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rimegroupllc.sharepoint.com/Prime/Shared Documents/Delta Gas/2021 Rate Case/Cost of Service Study/"/>
    </mc:Choice>
  </mc:AlternateContent>
  <xr:revisionPtr revIDLastSave="1832" documentId="11_01EDEC153C98EEF5CCDEF6BEDCF3C624A1655073" xr6:coauthVersionLast="47" xr6:coauthVersionMax="47" xr10:uidLastSave="{63349A1F-E915-44FE-8352-EC3C8982F7C1}"/>
  <bookViews>
    <workbookView xWindow="33015" yWindow="3690" windowWidth="21510" windowHeight="11370" activeTab="2" xr2:uid="{00000000-000D-0000-FFFF-FFFF00000000}"/>
  </bookViews>
  <sheets>
    <sheet name="S5-Functional Assignment" sheetId="1" r:id="rId1"/>
    <sheet name="S6-Allocation" sheetId="4" r:id="rId2"/>
    <sheet name="Residntial Unit Cost" sheetId="5" r:id="rId3"/>
    <sheet name="Class ROR Summary" sheetId="6" r:id="rId4"/>
    <sheet name="Class ROR Pres vs Proposed" sheetId="7" r:id="rId5"/>
  </sheets>
  <externalReferences>
    <externalReference r:id="rId6"/>
  </externalReferences>
  <definedNames>
    <definedName name="_xlnm.Print_Area" localSheetId="4">'Class ROR Pres vs Proposed'!$A$1:$F$27</definedName>
    <definedName name="_xlnm.Print_Area" localSheetId="3">'Class ROR Summary'!$A$1:$E$25</definedName>
    <definedName name="_xlnm.Print_Area" localSheetId="2">'Residntial Unit Cost'!$A$1:$H$37</definedName>
    <definedName name="_xlnm.Print_Area" localSheetId="0">'S5-Functional Assignment'!$A$1:$T$655</definedName>
    <definedName name="_xlnm.Print_Area" localSheetId="1">'S6-Allocation'!$A$1:$M$584</definedName>
    <definedName name="_xlnm.Print_Titles" localSheetId="0">'S5-Functional Assignment'!$A:$D,'S5-Functional Assignment'!$1:$3</definedName>
    <definedName name="_xlnm.Print_Titles" localSheetId="1">'S6-Allocation'!$A:$E,'S6-Allocation'!$1:$3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5" l="1"/>
  <c r="G452" i="4" l="1"/>
  <c r="F12" i="1" l="1"/>
  <c r="F345" i="4" l="1"/>
  <c r="L447" i="4" l="1"/>
  <c r="L446" i="4" s="1"/>
  <c r="J447" i="4"/>
  <c r="J446" i="4" s="1"/>
  <c r="K446" i="4"/>
  <c r="I447" i="4"/>
  <c r="I446" i="4" s="1"/>
  <c r="G447" i="4"/>
  <c r="G446" i="4" s="1"/>
  <c r="M446" i="4"/>
  <c r="F446" i="4"/>
  <c r="C24" i="7" l="1"/>
  <c r="C22" i="7"/>
  <c r="C20" i="7"/>
  <c r="C18" i="7"/>
  <c r="C16" i="7"/>
  <c r="C14" i="7"/>
  <c r="C12" i="7"/>
  <c r="C10" i="7"/>
  <c r="B22" i="7" l="1"/>
  <c r="B18" i="7"/>
  <c r="B10" i="7"/>
  <c r="B23" i="6"/>
  <c r="B21" i="6"/>
  <c r="B19" i="6"/>
  <c r="B17" i="6"/>
  <c r="B15" i="6"/>
  <c r="B13" i="6"/>
  <c r="B11" i="6"/>
  <c r="M445" i="4"/>
  <c r="K445" i="4"/>
  <c r="F445" i="4"/>
  <c r="J485" i="4"/>
  <c r="K485" i="4"/>
  <c r="L485" i="4"/>
  <c r="I485" i="4"/>
  <c r="G485" i="4"/>
  <c r="B25" i="6" l="1"/>
  <c r="F377" i="1" l="1"/>
  <c r="K461" i="4" l="1"/>
  <c r="K471" i="4" s="1"/>
  <c r="T487" i="4" l="1"/>
  <c r="U487" i="4" s="1"/>
  <c r="M485" i="4"/>
  <c r="H485" i="4"/>
  <c r="T531" i="4"/>
  <c r="U531" i="4" s="1"/>
  <c r="G526" i="4"/>
  <c r="G529" i="4" s="1"/>
  <c r="H526" i="4"/>
  <c r="I526" i="4"/>
  <c r="I529" i="4" s="1"/>
  <c r="J526" i="4"/>
  <c r="J529" i="4" s="1"/>
  <c r="K526" i="4"/>
  <c r="K529" i="4" s="1"/>
  <c r="L526" i="4"/>
  <c r="L529" i="4" s="1"/>
  <c r="M526" i="4"/>
  <c r="M529" i="4" s="1"/>
  <c r="T485" i="4" l="1"/>
  <c r="U485" i="4" s="1"/>
  <c r="T526" i="4"/>
  <c r="U526" i="4" s="1"/>
  <c r="T529" i="4"/>
  <c r="U529" i="4" s="1"/>
  <c r="T537" i="4"/>
  <c r="U537" i="4" s="1"/>
  <c r="M525" i="4"/>
  <c r="L525" i="4"/>
  <c r="K525" i="4"/>
  <c r="J525" i="4"/>
  <c r="I525" i="4"/>
  <c r="H525" i="4"/>
  <c r="G525" i="4"/>
  <c r="T524" i="4"/>
  <c r="U524" i="4" s="1"/>
  <c r="T519" i="4"/>
  <c r="U519" i="4" s="1"/>
  <c r="T497" i="4"/>
  <c r="U497" i="4" s="1"/>
  <c r="T508" i="4"/>
  <c r="U508" i="4" s="1"/>
  <c r="T476" i="4"/>
  <c r="U476" i="4" s="1"/>
  <c r="M474" i="4"/>
  <c r="K474" i="4"/>
  <c r="J474" i="4"/>
  <c r="I474" i="4"/>
  <c r="H474" i="4"/>
  <c r="G474" i="4"/>
  <c r="T466" i="4"/>
  <c r="U466" i="4" s="1"/>
  <c r="H464" i="4"/>
  <c r="I464" i="4"/>
  <c r="J464" i="4"/>
  <c r="K464" i="4"/>
  <c r="M464" i="4"/>
  <c r="G464" i="4"/>
  <c r="T579" i="4"/>
  <c r="U579" i="4" s="1"/>
  <c r="S577" i="4"/>
  <c r="R577" i="4"/>
  <c r="Q577" i="4"/>
  <c r="P577" i="4"/>
  <c r="O577" i="4"/>
  <c r="N577" i="4"/>
  <c r="T525" i="4" l="1"/>
  <c r="U525" i="4" s="1"/>
  <c r="L461" i="4"/>
  <c r="L471" i="4" l="1"/>
  <c r="L464" i="4"/>
  <c r="T464" i="4" s="1"/>
  <c r="U464" i="4" s="1"/>
  <c r="T458" i="4"/>
  <c r="F484" i="1"/>
  <c r="F407" i="1"/>
  <c r="L474" i="4" l="1"/>
  <c r="T474" i="4" l="1"/>
  <c r="U474" i="4" s="1"/>
  <c r="G345" i="4" l="1"/>
  <c r="H345" i="4"/>
  <c r="I345" i="4"/>
  <c r="J345" i="4"/>
  <c r="K345" i="4"/>
  <c r="L345" i="4"/>
  <c r="M345" i="4"/>
  <c r="N345" i="4"/>
  <c r="O345" i="4"/>
  <c r="P345" i="4"/>
  <c r="Q345" i="4"/>
  <c r="R345" i="4"/>
  <c r="S345" i="4"/>
  <c r="T345" i="4" l="1"/>
  <c r="U345" i="4" s="1"/>
  <c r="L558" i="4" l="1"/>
  <c r="K558" i="4"/>
  <c r="J558" i="4"/>
  <c r="I558" i="4"/>
  <c r="G558" i="4"/>
  <c r="J552" i="4"/>
  <c r="L552" i="4"/>
  <c r="K552" i="4"/>
  <c r="I552" i="4"/>
  <c r="H552" i="4"/>
  <c r="G552" i="4"/>
  <c r="J450" i="4" l="1"/>
  <c r="I450" i="4"/>
  <c r="H450" i="4"/>
  <c r="G450" i="4"/>
  <c r="L551" i="4" l="1"/>
  <c r="L553" i="4" s="1"/>
  <c r="I557" i="4"/>
  <c r="I551" i="4" s="1"/>
  <c r="I553" i="4" s="1"/>
  <c r="J557" i="4"/>
  <c r="J551" i="4" s="1"/>
  <c r="J553" i="4" s="1"/>
  <c r="K557" i="4"/>
  <c r="K559" i="4" s="1"/>
  <c r="K492" i="4" s="1"/>
  <c r="K495" i="4" s="1"/>
  <c r="M557" i="4"/>
  <c r="M559" i="4" s="1"/>
  <c r="I559" i="4"/>
  <c r="L559" i="4"/>
  <c r="I514" i="4"/>
  <c r="I517" i="4" s="1"/>
  <c r="J514" i="4"/>
  <c r="J517" i="4" s="1"/>
  <c r="K514" i="4"/>
  <c r="K517" i="4" s="1"/>
  <c r="L514" i="4"/>
  <c r="L517" i="4" s="1"/>
  <c r="M514" i="4"/>
  <c r="M517" i="4" s="1"/>
  <c r="I459" i="4"/>
  <c r="J459" i="4"/>
  <c r="I460" i="4"/>
  <c r="J460" i="4"/>
  <c r="K460" i="4"/>
  <c r="L460" i="4"/>
  <c r="M460" i="4"/>
  <c r="I453" i="4"/>
  <c r="J453" i="4"/>
  <c r="K453" i="4"/>
  <c r="W427" i="4"/>
  <c r="M577" i="4" l="1"/>
  <c r="L577" i="4"/>
  <c r="K577" i="4"/>
  <c r="J577" i="4"/>
  <c r="I577" i="4"/>
  <c r="J559" i="4"/>
  <c r="K551" i="4"/>
  <c r="K553" i="4" s="1"/>
  <c r="K503" i="4" s="1"/>
  <c r="K506" i="4" s="1"/>
  <c r="M551" i="4"/>
  <c r="M553" i="4" s="1"/>
  <c r="M503" i="4" s="1"/>
  <c r="M506" i="4" s="1"/>
  <c r="F528" i="1" l="1"/>
  <c r="T572" i="4"/>
  <c r="U572" i="4" s="1"/>
  <c r="S570" i="4"/>
  <c r="R570" i="4"/>
  <c r="Q570" i="4"/>
  <c r="P570" i="4"/>
  <c r="O570" i="4"/>
  <c r="N570" i="4"/>
  <c r="M570" i="4"/>
  <c r="T567" i="4"/>
  <c r="U567" i="4" s="1"/>
  <c r="T565" i="4"/>
  <c r="U565" i="4" s="1"/>
  <c r="T563" i="4"/>
  <c r="U563" i="4" s="1"/>
  <c r="T561" i="4"/>
  <c r="U561" i="4" s="1"/>
  <c r="S557" i="4"/>
  <c r="S559" i="4" s="1"/>
  <c r="S492" i="4" s="1"/>
  <c r="R557" i="4"/>
  <c r="R559" i="4" s="1"/>
  <c r="R492" i="4" s="1"/>
  <c r="Q557" i="4"/>
  <c r="Q559" i="4" s="1"/>
  <c r="Q492" i="4" s="1"/>
  <c r="P557" i="4"/>
  <c r="P559" i="4" s="1"/>
  <c r="P492" i="4" s="1"/>
  <c r="O557" i="4"/>
  <c r="O559" i="4" s="1"/>
  <c r="O492" i="4" s="1"/>
  <c r="N557" i="4"/>
  <c r="N559" i="4" s="1"/>
  <c r="N492" i="4" s="1"/>
  <c r="M492" i="4"/>
  <c r="M495" i="4" s="1"/>
  <c r="L492" i="4"/>
  <c r="L495" i="4" s="1"/>
  <c r="J492" i="4"/>
  <c r="J495" i="4" s="1"/>
  <c r="I492" i="4"/>
  <c r="I495" i="4" s="1"/>
  <c r="H557" i="4"/>
  <c r="H559" i="4" s="1"/>
  <c r="H492" i="4" s="1"/>
  <c r="H495" i="4" s="1"/>
  <c r="G557" i="4"/>
  <c r="G559" i="4" s="1"/>
  <c r="H553" i="4"/>
  <c r="H503" i="4" s="1"/>
  <c r="F544" i="4"/>
  <c r="T482" i="4"/>
  <c r="U482" i="4" s="1"/>
  <c r="T471" i="4"/>
  <c r="U471" i="4" s="1"/>
  <c r="T461" i="4"/>
  <c r="U461" i="4" s="1"/>
  <c r="L570" i="4"/>
  <c r="K570" i="4"/>
  <c r="I570" i="4"/>
  <c r="G460" i="4"/>
  <c r="H459" i="4"/>
  <c r="G459" i="4"/>
  <c r="U458" i="4"/>
  <c r="J570" i="4"/>
  <c r="K456" i="4"/>
  <c r="G453" i="4"/>
  <c r="G35" i="5" s="1"/>
  <c r="T452" i="4"/>
  <c r="U452" i="4" s="1"/>
  <c r="T451" i="4"/>
  <c r="U451" i="4" s="1"/>
  <c r="T449" i="4"/>
  <c r="U449" i="4" s="1"/>
  <c r="S423" i="4"/>
  <c r="R423" i="4"/>
  <c r="Q423" i="4"/>
  <c r="P423" i="4"/>
  <c r="O423" i="4"/>
  <c r="N423" i="4"/>
  <c r="M423" i="4"/>
  <c r="M425" i="4" s="1"/>
  <c r="L391" i="4"/>
  <c r="K391" i="4"/>
  <c r="I391" i="4"/>
  <c r="G391" i="4"/>
  <c r="F391" i="4"/>
  <c r="L389" i="4"/>
  <c r="K389" i="4"/>
  <c r="J389" i="4"/>
  <c r="I389" i="4"/>
  <c r="H389" i="4"/>
  <c r="G389" i="4"/>
  <c r="F389" i="4"/>
  <c r="S375" i="4"/>
  <c r="R375" i="4"/>
  <c r="Q375" i="4"/>
  <c r="P375" i="4"/>
  <c r="O375" i="4"/>
  <c r="N375" i="4"/>
  <c r="M375" i="4"/>
  <c r="L375" i="4"/>
  <c r="K375" i="4"/>
  <c r="J375" i="4"/>
  <c r="I375" i="4"/>
  <c r="H375" i="4"/>
  <c r="G375" i="4"/>
  <c r="L352" i="4"/>
  <c r="K352" i="4"/>
  <c r="J352" i="4"/>
  <c r="I352" i="4"/>
  <c r="H352" i="4"/>
  <c r="G352" i="4"/>
  <c r="F352" i="4"/>
  <c r="F348" i="4"/>
  <c r="S343" i="4"/>
  <c r="R343" i="4"/>
  <c r="Q343" i="4"/>
  <c r="P343" i="4"/>
  <c r="O343" i="4"/>
  <c r="N343" i="4"/>
  <c r="M343" i="4"/>
  <c r="L343" i="4"/>
  <c r="K343" i="4"/>
  <c r="J343" i="4"/>
  <c r="I343" i="4"/>
  <c r="H343" i="4"/>
  <c r="G343" i="4"/>
  <c r="S342" i="4"/>
  <c r="R342" i="4"/>
  <c r="Q342" i="4"/>
  <c r="P342" i="4"/>
  <c r="O342" i="4"/>
  <c r="N342" i="4"/>
  <c r="M342" i="4"/>
  <c r="L342" i="4"/>
  <c r="K342" i="4"/>
  <c r="J342" i="4"/>
  <c r="I342" i="4"/>
  <c r="H342" i="4"/>
  <c r="G342" i="4"/>
  <c r="T341" i="4"/>
  <c r="U341" i="4" s="1"/>
  <c r="F653" i="1"/>
  <c r="F652" i="1"/>
  <c r="U651" i="1"/>
  <c r="V651" i="1" s="1"/>
  <c r="F649" i="1"/>
  <c r="F648" i="1"/>
  <c r="V606" i="1"/>
  <c r="U606" i="1"/>
  <c r="U605" i="1"/>
  <c r="V605" i="1" s="1"/>
  <c r="U604" i="1"/>
  <c r="V604" i="1" s="1"/>
  <c r="U603" i="1"/>
  <c r="V603" i="1" s="1"/>
  <c r="V602" i="1"/>
  <c r="U602" i="1"/>
  <c r="U601" i="1"/>
  <c r="V601" i="1" s="1"/>
  <c r="U600" i="1"/>
  <c r="V600" i="1" s="1"/>
  <c r="U599" i="1"/>
  <c r="V599" i="1" s="1"/>
  <c r="V598" i="1"/>
  <c r="U598" i="1"/>
  <c r="U597" i="1"/>
  <c r="V597" i="1" s="1"/>
  <c r="U596" i="1"/>
  <c r="V596" i="1" s="1"/>
  <c r="U595" i="1"/>
  <c r="V595" i="1" s="1"/>
  <c r="V594" i="1"/>
  <c r="U594" i="1"/>
  <c r="F558" i="1"/>
  <c r="T530" i="1"/>
  <c r="S530" i="1"/>
  <c r="R530" i="1"/>
  <c r="Q530" i="1"/>
  <c r="P530" i="1"/>
  <c r="O530" i="1"/>
  <c r="N530" i="1"/>
  <c r="M530" i="1"/>
  <c r="L530" i="1"/>
  <c r="K530" i="1"/>
  <c r="J530" i="1"/>
  <c r="I530" i="1"/>
  <c r="H530" i="1"/>
  <c r="G530" i="1"/>
  <c r="T525" i="1"/>
  <c r="S525" i="1"/>
  <c r="R525" i="1"/>
  <c r="Q525" i="1"/>
  <c r="P525" i="1"/>
  <c r="O525" i="1"/>
  <c r="N525" i="1"/>
  <c r="M525" i="1"/>
  <c r="L525" i="1"/>
  <c r="K525" i="1"/>
  <c r="J525" i="1"/>
  <c r="I525" i="1"/>
  <c r="H525" i="1"/>
  <c r="G525" i="1"/>
  <c r="T524" i="1"/>
  <c r="S524" i="1"/>
  <c r="R524" i="1"/>
  <c r="Q524" i="1"/>
  <c r="P524" i="1"/>
  <c r="O524" i="1"/>
  <c r="N524" i="1"/>
  <c r="M524" i="1"/>
  <c r="L524" i="1"/>
  <c r="K524" i="1"/>
  <c r="J524" i="1"/>
  <c r="I524" i="1"/>
  <c r="H524" i="1"/>
  <c r="G524" i="1"/>
  <c r="T523" i="1"/>
  <c r="S523" i="1"/>
  <c r="R523" i="1"/>
  <c r="Q523" i="1"/>
  <c r="P523" i="1"/>
  <c r="O523" i="1"/>
  <c r="N523" i="1"/>
  <c r="M523" i="1"/>
  <c r="L523" i="1"/>
  <c r="K523" i="1"/>
  <c r="J523" i="1"/>
  <c r="I523" i="1"/>
  <c r="H523" i="1"/>
  <c r="G523" i="1"/>
  <c r="T522" i="1"/>
  <c r="S522" i="1"/>
  <c r="R522" i="1"/>
  <c r="Q522" i="1"/>
  <c r="P522" i="1"/>
  <c r="O522" i="1"/>
  <c r="N522" i="1"/>
  <c r="M522" i="1"/>
  <c r="L522" i="1"/>
  <c r="K522" i="1"/>
  <c r="J522" i="1"/>
  <c r="I522" i="1"/>
  <c r="H522" i="1"/>
  <c r="G522" i="1"/>
  <c r="T521" i="1"/>
  <c r="S521" i="1"/>
  <c r="R521" i="1"/>
  <c r="Q521" i="1"/>
  <c r="P521" i="1"/>
  <c r="O521" i="1"/>
  <c r="N521" i="1"/>
  <c r="M521" i="1"/>
  <c r="L521" i="1"/>
  <c r="K521" i="1"/>
  <c r="J521" i="1"/>
  <c r="I521" i="1"/>
  <c r="H521" i="1"/>
  <c r="G521" i="1"/>
  <c r="T520" i="1"/>
  <c r="S520" i="1"/>
  <c r="R520" i="1"/>
  <c r="Q520" i="1"/>
  <c r="P520" i="1"/>
  <c r="O520" i="1"/>
  <c r="N520" i="1"/>
  <c r="M520" i="1"/>
  <c r="L520" i="1"/>
  <c r="K520" i="1"/>
  <c r="J520" i="1"/>
  <c r="I520" i="1"/>
  <c r="H520" i="1"/>
  <c r="G520" i="1"/>
  <c r="T519" i="1"/>
  <c r="S519" i="1"/>
  <c r="R519" i="1"/>
  <c r="Q519" i="1"/>
  <c r="P519" i="1"/>
  <c r="O519" i="1"/>
  <c r="N519" i="1"/>
  <c r="M519" i="1"/>
  <c r="L519" i="1"/>
  <c r="K519" i="1"/>
  <c r="J519" i="1"/>
  <c r="I519" i="1"/>
  <c r="H519" i="1"/>
  <c r="G519" i="1"/>
  <c r="T518" i="1"/>
  <c r="S518" i="1"/>
  <c r="R518" i="1"/>
  <c r="Q518" i="1"/>
  <c r="P518" i="1"/>
  <c r="O518" i="1"/>
  <c r="N518" i="1"/>
  <c r="M518" i="1"/>
  <c r="L518" i="1"/>
  <c r="K518" i="1"/>
  <c r="J518" i="1"/>
  <c r="I518" i="1"/>
  <c r="H518" i="1"/>
  <c r="G518" i="1"/>
  <c r="T517" i="1"/>
  <c r="S517" i="1"/>
  <c r="R517" i="1"/>
  <c r="Q517" i="1"/>
  <c r="P517" i="1"/>
  <c r="O517" i="1"/>
  <c r="N517" i="1"/>
  <c r="M517" i="1"/>
  <c r="L517" i="1"/>
  <c r="K517" i="1"/>
  <c r="J517" i="1"/>
  <c r="I517" i="1"/>
  <c r="H517" i="1"/>
  <c r="G517" i="1"/>
  <c r="T516" i="1"/>
  <c r="S516" i="1"/>
  <c r="R516" i="1"/>
  <c r="Q516" i="1"/>
  <c r="P516" i="1"/>
  <c r="O516" i="1"/>
  <c r="N516" i="1"/>
  <c r="M516" i="1"/>
  <c r="L516" i="1"/>
  <c r="K516" i="1"/>
  <c r="J516" i="1"/>
  <c r="I516" i="1"/>
  <c r="H516" i="1"/>
  <c r="G516" i="1"/>
  <c r="T515" i="1"/>
  <c r="S515" i="1"/>
  <c r="R515" i="1"/>
  <c r="Q515" i="1"/>
  <c r="P515" i="1"/>
  <c r="O515" i="1"/>
  <c r="N515" i="1"/>
  <c r="M515" i="1"/>
  <c r="L515" i="1"/>
  <c r="K515" i="1"/>
  <c r="J515" i="1"/>
  <c r="I515" i="1"/>
  <c r="H515" i="1"/>
  <c r="G515" i="1"/>
  <c r="T514" i="1"/>
  <c r="S514" i="1"/>
  <c r="R514" i="1"/>
  <c r="Q514" i="1"/>
  <c r="P514" i="1"/>
  <c r="O514" i="1"/>
  <c r="N514" i="1"/>
  <c r="M514" i="1"/>
  <c r="L514" i="1"/>
  <c r="K514" i="1"/>
  <c r="J514" i="1"/>
  <c r="I514" i="1"/>
  <c r="H514" i="1"/>
  <c r="G514" i="1"/>
  <c r="R511" i="1"/>
  <c r="M511" i="1"/>
  <c r="J511" i="1"/>
  <c r="F539" i="1"/>
  <c r="T508" i="1"/>
  <c r="S508" i="1"/>
  <c r="R508" i="1"/>
  <c r="Q508" i="1"/>
  <c r="P508" i="1"/>
  <c r="O508" i="1"/>
  <c r="N508" i="1"/>
  <c r="M508" i="1"/>
  <c r="L508" i="1"/>
  <c r="K508" i="1"/>
  <c r="J508" i="1"/>
  <c r="I508" i="1"/>
  <c r="H508" i="1"/>
  <c r="G508" i="1"/>
  <c r="F480" i="1"/>
  <c r="T449" i="1"/>
  <c r="S449" i="1"/>
  <c r="R449" i="1"/>
  <c r="Q449" i="1"/>
  <c r="P449" i="1"/>
  <c r="O449" i="1"/>
  <c r="N449" i="1"/>
  <c r="M449" i="1"/>
  <c r="L449" i="1"/>
  <c r="K449" i="1"/>
  <c r="J449" i="1"/>
  <c r="I449" i="1"/>
  <c r="H449" i="1"/>
  <c r="G449" i="1"/>
  <c r="T444" i="1"/>
  <c r="S444" i="1"/>
  <c r="R444" i="1"/>
  <c r="Q444" i="1"/>
  <c r="P444" i="1"/>
  <c r="O444" i="1"/>
  <c r="N444" i="1"/>
  <c r="M444" i="1"/>
  <c r="L444" i="1"/>
  <c r="K444" i="1"/>
  <c r="J444" i="1"/>
  <c r="I444" i="1"/>
  <c r="H444" i="1"/>
  <c r="G444" i="1"/>
  <c r="S443" i="1"/>
  <c r="R443" i="1"/>
  <c r="Q443" i="1"/>
  <c r="P443" i="1"/>
  <c r="O443" i="1"/>
  <c r="M443" i="1"/>
  <c r="K443" i="1"/>
  <c r="J443" i="1"/>
  <c r="I443" i="1"/>
  <c r="H443" i="1"/>
  <c r="G443" i="1"/>
  <c r="N443" i="1"/>
  <c r="Q442" i="1"/>
  <c r="I442" i="1"/>
  <c r="N442" i="1"/>
  <c r="T441" i="1"/>
  <c r="S441" i="1"/>
  <c r="R441" i="1"/>
  <c r="Q441" i="1"/>
  <c r="P441" i="1"/>
  <c r="O441" i="1"/>
  <c r="N441" i="1"/>
  <c r="M441" i="1"/>
  <c r="L441" i="1"/>
  <c r="K441" i="1"/>
  <c r="J441" i="1"/>
  <c r="I441" i="1"/>
  <c r="H441" i="1"/>
  <c r="G441" i="1"/>
  <c r="T440" i="1"/>
  <c r="S440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Q429" i="1"/>
  <c r="T428" i="1"/>
  <c r="S428" i="1"/>
  <c r="R428" i="1"/>
  <c r="Q428" i="1"/>
  <c r="P428" i="1"/>
  <c r="O428" i="1"/>
  <c r="N428" i="1"/>
  <c r="M428" i="1"/>
  <c r="L428" i="1"/>
  <c r="K428" i="1"/>
  <c r="J428" i="1"/>
  <c r="I428" i="1"/>
  <c r="H428" i="1"/>
  <c r="G428" i="1"/>
  <c r="T427" i="1"/>
  <c r="S427" i="1"/>
  <c r="R427" i="1"/>
  <c r="Q427" i="1"/>
  <c r="P427" i="1"/>
  <c r="O427" i="1"/>
  <c r="N427" i="1"/>
  <c r="M427" i="1"/>
  <c r="L427" i="1"/>
  <c r="K427" i="1"/>
  <c r="J427" i="1"/>
  <c r="I427" i="1"/>
  <c r="H427" i="1"/>
  <c r="G427" i="1"/>
  <c r="T426" i="1"/>
  <c r="S426" i="1"/>
  <c r="R426" i="1"/>
  <c r="Q426" i="1"/>
  <c r="P426" i="1"/>
  <c r="O426" i="1"/>
  <c r="N426" i="1"/>
  <c r="M426" i="1"/>
  <c r="L426" i="1"/>
  <c r="K426" i="1"/>
  <c r="J426" i="1"/>
  <c r="I426" i="1"/>
  <c r="H426" i="1"/>
  <c r="G426" i="1"/>
  <c r="T425" i="1"/>
  <c r="S425" i="1"/>
  <c r="R425" i="1"/>
  <c r="Q425" i="1"/>
  <c r="P425" i="1"/>
  <c r="O425" i="1"/>
  <c r="N425" i="1"/>
  <c r="M425" i="1"/>
  <c r="L425" i="1"/>
  <c r="K425" i="1"/>
  <c r="J425" i="1"/>
  <c r="I425" i="1"/>
  <c r="H425" i="1"/>
  <c r="G425" i="1"/>
  <c r="T424" i="1"/>
  <c r="S424" i="1"/>
  <c r="R424" i="1"/>
  <c r="Q424" i="1"/>
  <c r="P424" i="1"/>
  <c r="O424" i="1"/>
  <c r="N424" i="1"/>
  <c r="M424" i="1"/>
  <c r="L424" i="1"/>
  <c r="K424" i="1"/>
  <c r="J424" i="1"/>
  <c r="I424" i="1"/>
  <c r="H424" i="1"/>
  <c r="G424" i="1"/>
  <c r="N423" i="1"/>
  <c r="K423" i="1"/>
  <c r="T422" i="1"/>
  <c r="S422" i="1"/>
  <c r="R422" i="1"/>
  <c r="Q422" i="1"/>
  <c r="P422" i="1"/>
  <c r="O422" i="1"/>
  <c r="N422" i="1"/>
  <c r="M422" i="1"/>
  <c r="L422" i="1"/>
  <c r="K422" i="1"/>
  <c r="J422" i="1"/>
  <c r="I422" i="1"/>
  <c r="H422" i="1"/>
  <c r="G422" i="1"/>
  <c r="F403" i="1"/>
  <c r="T399" i="1"/>
  <c r="S399" i="1"/>
  <c r="R399" i="1"/>
  <c r="Q399" i="1"/>
  <c r="P399" i="1"/>
  <c r="O399" i="1"/>
  <c r="N399" i="1"/>
  <c r="M399" i="1"/>
  <c r="L399" i="1"/>
  <c r="K399" i="1"/>
  <c r="J399" i="1"/>
  <c r="I399" i="1"/>
  <c r="H399" i="1"/>
  <c r="G399" i="1"/>
  <c r="T398" i="1"/>
  <c r="S398" i="1"/>
  <c r="R398" i="1"/>
  <c r="Q398" i="1"/>
  <c r="P398" i="1"/>
  <c r="O398" i="1"/>
  <c r="N398" i="1"/>
  <c r="M398" i="1"/>
  <c r="L398" i="1"/>
  <c r="K398" i="1"/>
  <c r="J398" i="1"/>
  <c r="I398" i="1"/>
  <c r="H398" i="1"/>
  <c r="G398" i="1"/>
  <c r="T397" i="1"/>
  <c r="S397" i="1"/>
  <c r="R397" i="1"/>
  <c r="Q397" i="1"/>
  <c r="P397" i="1"/>
  <c r="O397" i="1"/>
  <c r="N397" i="1"/>
  <c r="M397" i="1"/>
  <c r="L397" i="1"/>
  <c r="K397" i="1"/>
  <c r="J397" i="1"/>
  <c r="I397" i="1"/>
  <c r="H397" i="1"/>
  <c r="G397" i="1"/>
  <c r="T396" i="1"/>
  <c r="S396" i="1"/>
  <c r="R396" i="1"/>
  <c r="Q396" i="1"/>
  <c r="P396" i="1"/>
  <c r="O396" i="1"/>
  <c r="N396" i="1"/>
  <c r="M396" i="1"/>
  <c r="L396" i="1"/>
  <c r="K396" i="1"/>
  <c r="J396" i="1"/>
  <c r="I396" i="1"/>
  <c r="H396" i="1"/>
  <c r="G396" i="1"/>
  <c r="T395" i="1"/>
  <c r="S395" i="1"/>
  <c r="R395" i="1"/>
  <c r="Q395" i="1"/>
  <c r="P395" i="1"/>
  <c r="O395" i="1"/>
  <c r="N395" i="1"/>
  <c r="M395" i="1"/>
  <c r="L395" i="1"/>
  <c r="K395" i="1"/>
  <c r="J395" i="1"/>
  <c r="I395" i="1"/>
  <c r="H395" i="1"/>
  <c r="G395" i="1"/>
  <c r="T394" i="1"/>
  <c r="S394" i="1"/>
  <c r="R394" i="1"/>
  <c r="Q394" i="1"/>
  <c r="P394" i="1"/>
  <c r="O394" i="1"/>
  <c r="N394" i="1"/>
  <c r="M394" i="1"/>
  <c r="L394" i="1"/>
  <c r="K394" i="1"/>
  <c r="J394" i="1"/>
  <c r="I394" i="1"/>
  <c r="H394" i="1"/>
  <c r="G394" i="1"/>
  <c r="T393" i="1"/>
  <c r="S393" i="1"/>
  <c r="R393" i="1"/>
  <c r="Q393" i="1"/>
  <c r="P393" i="1"/>
  <c r="O393" i="1"/>
  <c r="N393" i="1"/>
  <c r="M393" i="1"/>
  <c r="L393" i="1"/>
  <c r="K393" i="1"/>
  <c r="J393" i="1"/>
  <c r="I393" i="1"/>
  <c r="H393" i="1"/>
  <c r="G393" i="1"/>
  <c r="T392" i="1"/>
  <c r="S392" i="1"/>
  <c r="R392" i="1"/>
  <c r="Q392" i="1"/>
  <c r="P392" i="1"/>
  <c r="O392" i="1"/>
  <c r="N392" i="1"/>
  <c r="M392" i="1"/>
  <c r="L392" i="1"/>
  <c r="K392" i="1"/>
  <c r="J392" i="1"/>
  <c r="I392" i="1"/>
  <c r="H392" i="1"/>
  <c r="G392" i="1"/>
  <c r="T391" i="1"/>
  <c r="S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T390" i="1"/>
  <c r="S390" i="1"/>
  <c r="R390" i="1"/>
  <c r="Q390" i="1"/>
  <c r="P390" i="1"/>
  <c r="O390" i="1"/>
  <c r="N390" i="1"/>
  <c r="M390" i="1"/>
  <c r="L390" i="1"/>
  <c r="K390" i="1"/>
  <c r="J390" i="1"/>
  <c r="I390" i="1"/>
  <c r="H390" i="1"/>
  <c r="G390" i="1"/>
  <c r="T389" i="1"/>
  <c r="S389" i="1"/>
  <c r="R389" i="1"/>
  <c r="Q389" i="1"/>
  <c r="P389" i="1"/>
  <c r="O389" i="1"/>
  <c r="N389" i="1"/>
  <c r="M389" i="1"/>
  <c r="L389" i="1"/>
  <c r="K389" i="1"/>
  <c r="J389" i="1"/>
  <c r="I389" i="1"/>
  <c r="H389" i="1"/>
  <c r="G389" i="1"/>
  <c r="T387" i="1"/>
  <c r="S387" i="1"/>
  <c r="R387" i="1"/>
  <c r="Q387" i="1"/>
  <c r="P387" i="1"/>
  <c r="O387" i="1"/>
  <c r="N387" i="1"/>
  <c r="M387" i="1"/>
  <c r="L387" i="1"/>
  <c r="K387" i="1"/>
  <c r="J387" i="1"/>
  <c r="I387" i="1"/>
  <c r="H387" i="1"/>
  <c r="G387" i="1"/>
  <c r="T386" i="1"/>
  <c r="S386" i="1"/>
  <c r="R386" i="1"/>
  <c r="Q386" i="1"/>
  <c r="P386" i="1"/>
  <c r="O386" i="1"/>
  <c r="N386" i="1"/>
  <c r="M386" i="1"/>
  <c r="L386" i="1"/>
  <c r="K386" i="1"/>
  <c r="J386" i="1"/>
  <c r="I386" i="1"/>
  <c r="H386" i="1"/>
  <c r="G386" i="1"/>
  <c r="T384" i="1"/>
  <c r="S384" i="1"/>
  <c r="R384" i="1"/>
  <c r="Q384" i="1"/>
  <c r="P384" i="1"/>
  <c r="O384" i="1"/>
  <c r="N384" i="1"/>
  <c r="M384" i="1"/>
  <c r="L384" i="1"/>
  <c r="K384" i="1"/>
  <c r="J384" i="1"/>
  <c r="I384" i="1"/>
  <c r="H384" i="1"/>
  <c r="G384" i="1"/>
  <c r="T383" i="1"/>
  <c r="S383" i="1"/>
  <c r="R383" i="1"/>
  <c r="Q383" i="1"/>
  <c r="P383" i="1"/>
  <c r="O383" i="1"/>
  <c r="N383" i="1"/>
  <c r="M383" i="1"/>
  <c r="L383" i="1"/>
  <c r="K383" i="1"/>
  <c r="J383" i="1"/>
  <c r="I383" i="1"/>
  <c r="H383" i="1"/>
  <c r="G383" i="1"/>
  <c r="T382" i="1"/>
  <c r="S382" i="1"/>
  <c r="R382" i="1"/>
  <c r="Q382" i="1"/>
  <c r="P382" i="1"/>
  <c r="O382" i="1"/>
  <c r="N382" i="1"/>
  <c r="M382" i="1"/>
  <c r="L382" i="1"/>
  <c r="K382" i="1"/>
  <c r="J382" i="1"/>
  <c r="I382" i="1"/>
  <c r="H382" i="1"/>
  <c r="G382" i="1"/>
  <c r="T377" i="1"/>
  <c r="S377" i="1"/>
  <c r="R377" i="1"/>
  <c r="Q377" i="1"/>
  <c r="P377" i="1"/>
  <c r="O377" i="1"/>
  <c r="N377" i="1"/>
  <c r="M377" i="1"/>
  <c r="L377" i="1"/>
  <c r="K377" i="1"/>
  <c r="J377" i="1"/>
  <c r="I377" i="1"/>
  <c r="H377" i="1"/>
  <c r="G377" i="1"/>
  <c r="T362" i="1"/>
  <c r="S362" i="1"/>
  <c r="R362" i="1"/>
  <c r="Q362" i="1"/>
  <c r="P362" i="1"/>
  <c r="O362" i="1"/>
  <c r="N362" i="1"/>
  <c r="M362" i="1"/>
  <c r="L362" i="1"/>
  <c r="K362" i="1"/>
  <c r="J362" i="1"/>
  <c r="I362" i="1"/>
  <c r="H362" i="1"/>
  <c r="G362" i="1"/>
  <c r="T361" i="1"/>
  <c r="S361" i="1"/>
  <c r="R361" i="1"/>
  <c r="Q361" i="1"/>
  <c r="P361" i="1"/>
  <c r="O361" i="1"/>
  <c r="N361" i="1"/>
  <c r="M361" i="1"/>
  <c r="L361" i="1"/>
  <c r="K361" i="1"/>
  <c r="J361" i="1"/>
  <c r="I361" i="1"/>
  <c r="H361" i="1"/>
  <c r="G361" i="1"/>
  <c r="T360" i="1"/>
  <c r="R360" i="1"/>
  <c r="P360" i="1"/>
  <c r="O360" i="1"/>
  <c r="M360" i="1"/>
  <c r="L360" i="1"/>
  <c r="J360" i="1"/>
  <c r="H360" i="1"/>
  <c r="G360" i="1"/>
  <c r="S360" i="1"/>
  <c r="Q359" i="1"/>
  <c r="O359" i="1"/>
  <c r="N359" i="1"/>
  <c r="L359" i="1"/>
  <c r="K359" i="1"/>
  <c r="I359" i="1"/>
  <c r="T358" i="1"/>
  <c r="S358" i="1"/>
  <c r="R358" i="1"/>
  <c r="Q358" i="1"/>
  <c r="P358" i="1"/>
  <c r="O358" i="1"/>
  <c r="N358" i="1"/>
  <c r="M358" i="1"/>
  <c r="L358" i="1"/>
  <c r="K358" i="1"/>
  <c r="J358" i="1"/>
  <c r="I358" i="1"/>
  <c r="H358" i="1"/>
  <c r="G358" i="1"/>
  <c r="T357" i="1"/>
  <c r="S357" i="1"/>
  <c r="R357" i="1"/>
  <c r="Q357" i="1"/>
  <c r="P357" i="1"/>
  <c r="O357" i="1"/>
  <c r="N357" i="1"/>
  <c r="M357" i="1"/>
  <c r="L357" i="1"/>
  <c r="K357" i="1"/>
  <c r="J357" i="1"/>
  <c r="I357" i="1"/>
  <c r="H357" i="1"/>
  <c r="G357" i="1"/>
  <c r="T356" i="1"/>
  <c r="S356" i="1"/>
  <c r="R356" i="1"/>
  <c r="Q356" i="1"/>
  <c r="P356" i="1"/>
  <c r="O356" i="1"/>
  <c r="N356" i="1"/>
  <c r="M356" i="1"/>
  <c r="L356" i="1"/>
  <c r="K356" i="1"/>
  <c r="J356" i="1"/>
  <c r="I356" i="1"/>
  <c r="H356" i="1"/>
  <c r="G356" i="1"/>
  <c r="F349" i="1"/>
  <c r="T347" i="1"/>
  <c r="S347" i="1"/>
  <c r="R347" i="1"/>
  <c r="Q347" i="1"/>
  <c r="P347" i="1"/>
  <c r="O347" i="1"/>
  <c r="N347" i="1"/>
  <c r="M347" i="1"/>
  <c r="L347" i="1"/>
  <c r="K347" i="1"/>
  <c r="J347" i="1"/>
  <c r="I347" i="1"/>
  <c r="H347" i="1"/>
  <c r="G347" i="1"/>
  <c r="T346" i="1"/>
  <c r="S346" i="1"/>
  <c r="R346" i="1"/>
  <c r="Q346" i="1"/>
  <c r="P346" i="1"/>
  <c r="O346" i="1"/>
  <c r="N346" i="1"/>
  <c r="M346" i="1"/>
  <c r="L346" i="1"/>
  <c r="K346" i="1"/>
  <c r="J346" i="1"/>
  <c r="I346" i="1"/>
  <c r="H346" i="1"/>
  <c r="G346" i="1"/>
  <c r="T345" i="1"/>
  <c r="S345" i="1"/>
  <c r="R345" i="1"/>
  <c r="Q345" i="1"/>
  <c r="P345" i="1"/>
  <c r="O345" i="1"/>
  <c r="N345" i="1"/>
  <c r="M345" i="1"/>
  <c r="L345" i="1"/>
  <c r="K345" i="1"/>
  <c r="J345" i="1"/>
  <c r="I345" i="1"/>
  <c r="H345" i="1"/>
  <c r="G345" i="1"/>
  <c r="T344" i="1"/>
  <c r="S344" i="1"/>
  <c r="R344" i="1"/>
  <c r="Q344" i="1"/>
  <c r="P344" i="1"/>
  <c r="O344" i="1"/>
  <c r="N344" i="1"/>
  <c r="M344" i="1"/>
  <c r="L344" i="1"/>
  <c r="K344" i="1"/>
  <c r="J344" i="1"/>
  <c r="I344" i="1"/>
  <c r="H344" i="1"/>
  <c r="G344" i="1"/>
  <c r="T343" i="1"/>
  <c r="S343" i="1"/>
  <c r="R343" i="1"/>
  <c r="Q343" i="1"/>
  <c r="P343" i="1"/>
  <c r="O343" i="1"/>
  <c r="N343" i="1"/>
  <c r="M343" i="1"/>
  <c r="L343" i="1"/>
  <c r="K343" i="1"/>
  <c r="J343" i="1"/>
  <c r="I343" i="1"/>
  <c r="H343" i="1"/>
  <c r="G343" i="1"/>
  <c r="T342" i="1"/>
  <c r="S342" i="1"/>
  <c r="R342" i="1"/>
  <c r="Q342" i="1"/>
  <c r="P342" i="1"/>
  <c r="O342" i="1"/>
  <c r="N342" i="1"/>
  <c r="M342" i="1"/>
  <c r="L342" i="1"/>
  <c r="K342" i="1"/>
  <c r="J342" i="1"/>
  <c r="I342" i="1"/>
  <c r="H342" i="1"/>
  <c r="G342" i="1"/>
  <c r="T341" i="1"/>
  <c r="S341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S340" i="1"/>
  <c r="R340" i="1"/>
  <c r="Q340" i="1"/>
  <c r="P340" i="1"/>
  <c r="O340" i="1"/>
  <c r="M340" i="1"/>
  <c r="K340" i="1"/>
  <c r="J340" i="1"/>
  <c r="I340" i="1"/>
  <c r="H340" i="1"/>
  <c r="G340" i="1"/>
  <c r="N340" i="1"/>
  <c r="T339" i="1"/>
  <c r="S339" i="1"/>
  <c r="R339" i="1"/>
  <c r="Q339" i="1"/>
  <c r="P339" i="1"/>
  <c r="O339" i="1"/>
  <c r="N339" i="1"/>
  <c r="M339" i="1"/>
  <c r="L339" i="1"/>
  <c r="K339" i="1"/>
  <c r="J339" i="1"/>
  <c r="I339" i="1"/>
  <c r="H339" i="1"/>
  <c r="G339" i="1"/>
  <c r="T338" i="1"/>
  <c r="R338" i="1"/>
  <c r="P338" i="1"/>
  <c r="O338" i="1"/>
  <c r="M338" i="1"/>
  <c r="L338" i="1"/>
  <c r="J338" i="1"/>
  <c r="H338" i="1"/>
  <c r="G338" i="1"/>
  <c r="S338" i="1"/>
  <c r="T337" i="1"/>
  <c r="S337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T332" i="1"/>
  <c r="S332" i="1"/>
  <c r="R332" i="1"/>
  <c r="Q332" i="1"/>
  <c r="P332" i="1"/>
  <c r="O332" i="1"/>
  <c r="N332" i="1"/>
  <c r="M332" i="1"/>
  <c r="L332" i="1"/>
  <c r="K332" i="1"/>
  <c r="J332" i="1"/>
  <c r="I332" i="1"/>
  <c r="H332" i="1"/>
  <c r="G332" i="1"/>
  <c r="T328" i="1"/>
  <c r="N328" i="1"/>
  <c r="L328" i="1"/>
  <c r="K328" i="1"/>
  <c r="H328" i="1"/>
  <c r="Q328" i="1"/>
  <c r="T327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M326" i="1"/>
  <c r="K326" i="1"/>
  <c r="I326" i="1"/>
  <c r="T325" i="1"/>
  <c r="R325" i="1"/>
  <c r="P325" i="1"/>
  <c r="O325" i="1"/>
  <c r="M325" i="1"/>
  <c r="L325" i="1"/>
  <c r="J325" i="1"/>
  <c r="H325" i="1"/>
  <c r="G325" i="1"/>
  <c r="S325" i="1"/>
  <c r="F297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3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1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20" i="1"/>
  <c r="F222" i="1" s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81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66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7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S119" i="1"/>
  <c r="Q119" i="1"/>
  <c r="O119" i="1"/>
  <c r="N119" i="1"/>
  <c r="M119" i="1"/>
  <c r="K119" i="1"/>
  <c r="I119" i="1"/>
  <c r="H119" i="1"/>
  <c r="G119" i="1"/>
  <c r="F107" i="1"/>
  <c r="T102" i="1"/>
  <c r="S102" i="1"/>
  <c r="R102" i="1"/>
  <c r="Q102" i="1"/>
  <c r="P102" i="1"/>
  <c r="O102" i="1"/>
  <c r="M102" i="1"/>
  <c r="L102" i="1"/>
  <c r="K102" i="1"/>
  <c r="J102" i="1"/>
  <c r="I102" i="1"/>
  <c r="H102" i="1"/>
  <c r="G102" i="1"/>
  <c r="N102" i="1"/>
  <c r="F60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S25" i="1"/>
  <c r="R25" i="1"/>
  <c r="Q25" i="1"/>
  <c r="P25" i="1"/>
  <c r="O25" i="1"/>
  <c r="M25" i="1"/>
  <c r="K25" i="1"/>
  <c r="J25" i="1"/>
  <c r="I25" i="1"/>
  <c r="H25" i="1"/>
  <c r="G25" i="1"/>
  <c r="N25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T23" i="1"/>
  <c r="R23" i="1"/>
  <c r="O23" i="1"/>
  <c r="M23" i="1"/>
  <c r="L23" i="1"/>
  <c r="J23" i="1"/>
  <c r="H23" i="1"/>
  <c r="G23" i="1"/>
  <c r="N23" i="1"/>
  <c r="T22" i="1"/>
  <c r="O22" i="1"/>
  <c r="N22" i="1"/>
  <c r="M22" i="1"/>
  <c r="L22" i="1"/>
  <c r="I22" i="1"/>
  <c r="P21" i="1"/>
  <c r="M21" i="1"/>
  <c r="N21" i="1"/>
  <c r="T20" i="1"/>
  <c r="S20" i="1"/>
  <c r="R20" i="1"/>
  <c r="Q20" i="1"/>
  <c r="P20" i="1"/>
  <c r="O20" i="1"/>
  <c r="M20" i="1"/>
  <c r="L20" i="1"/>
  <c r="K20" i="1"/>
  <c r="J20" i="1"/>
  <c r="I20" i="1"/>
  <c r="H20" i="1"/>
  <c r="G20" i="1"/>
  <c r="N20" i="1"/>
  <c r="T19" i="1"/>
  <c r="S19" i="1"/>
  <c r="R19" i="1"/>
  <c r="P19" i="1"/>
  <c r="L19" i="1"/>
  <c r="K19" i="1"/>
  <c r="J19" i="1"/>
  <c r="I19" i="1"/>
  <c r="H19" i="1"/>
  <c r="N19" i="1"/>
  <c r="S18" i="1"/>
  <c r="R18" i="1"/>
  <c r="Q18" i="1"/>
  <c r="P18" i="1"/>
  <c r="O18" i="1"/>
  <c r="M18" i="1"/>
  <c r="K18" i="1"/>
  <c r="J18" i="1"/>
  <c r="I18" i="1"/>
  <c r="H18" i="1"/>
  <c r="G18" i="1"/>
  <c r="N18" i="1"/>
  <c r="T17" i="1"/>
  <c r="R17" i="1"/>
  <c r="Q17" i="1"/>
  <c r="O17" i="1"/>
  <c r="L17" i="1"/>
  <c r="J17" i="1"/>
  <c r="I17" i="1"/>
  <c r="H17" i="1"/>
  <c r="G17" i="1"/>
  <c r="N17" i="1"/>
  <c r="S16" i="1"/>
  <c r="O16" i="1"/>
  <c r="N16" i="1"/>
  <c r="M16" i="1"/>
  <c r="K16" i="1"/>
  <c r="H16" i="1"/>
  <c r="O15" i="1"/>
  <c r="M15" i="1"/>
  <c r="N15" i="1"/>
  <c r="S12" i="1"/>
  <c r="O7" i="1"/>
  <c r="O9" i="1" s="1"/>
  <c r="N7" i="1"/>
  <c r="N9" i="1" s="1"/>
  <c r="L7" i="1"/>
  <c r="L9" i="1" s="1"/>
  <c r="R551" i="4" l="1"/>
  <c r="F570" i="4"/>
  <c r="F577" i="4"/>
  <c r="G570" i="4"/>
  <c r="G577" i="4"/>
  <c r="H570" i="4"/>
  <c r="H577" i="4"/>
  <c r="F253" i="1"/>
  <c r="F299" i="1" s="1"/>
  <c r="F184" i="1"/>
  <c r="M263" i="1"/>
  <c r="I648" i="1"/>
  <c r="I336" i="1" s="1"/>
  <c r="Q648" i="1"/>
  <c r="Q336" i="1" s="1"/>
  <c r="J648" i="1"/>
  <c r="J153" i="1" s="1"/>
  <c r="J166" i="1" s="1"/>
  <c r="R648" i="1"/>
  <c r="R336" i="1" s="1"/>
  <c r="R349" i="1" s="1"/>
  <c r="G649" i="1"/>
  <c r="G172" i="1" s="1"/>
  <c r="G181" i="1" s="1"/>
  <c r="O649" i="1"/>
  <c r="O355" i="1" s="1"/>
  <c r="O364" i="1" s="1"/>
  <c r="H263" i="1"/>
  <c r="P263" i="1"/>
  <c r="L649" i="1"/>
  <c r="L355" i="1" s="1"/>
  <c r="L364" i="1" s="1"/>
  <c r="T649" i="1"/>
  <c r="T355" i="1" s="1"/>
  <c r="J147" i="1"/>
  <c r="R147" i="1"/>
  <c r="N446" i="1"/>
  <c r="I649" i="1"/>
  <c r="I355" i="1" s="1"/>
  <c r="Q649" i="1"/>
  <c r="Q355" i="1" s="1"/>
  <c r="Q12" i="1"/>
  <c r="Q640" i="1" s="1"/>
  <c r="R7" i="1"/>
  <c r="R9" i="1" s="1"/>
  <c r="J7" i="1"/>
  <c r="J9" i="1" s="1"/>
  <c r="P7" i="1"/>
  <c r="P9" i="1" s="1"/>
  <c r="H7" i="1"/>
  <c r="H9" i="1" s="1"/>
  <c r="Q7" i="1"/>
  <c r="Q9" i="1" s="1"/>
  <c r="L12" i="1"/>
  <c r="L608" i="1" s="1"/>
  <c r="G15" i="1"/>
  <c r="R15" i="1"/>
  <c r="G7" i="1"/>
  <c r="G9" i="1" s="1"/>
  <c r="I7" i="1"/>
  <c r="I9" i="1" s="1"/>
  <c r="T7" i="1"/>
  <c r="T9" i="1" s="1"/>
  <c r="N12" i="1"/>
  <c r="N640" i="1" s="1"/>
  <c r="J15" i="1"/>
  <c r="T16" i="1"/>
  <c r="L16" i="1"/>
  <c r="R16" i="1"/>
  <c r="J16" i="1"/>
  <c r="P16" i="1"/>
  <c r="H147" i="1"/>
  <c r="G648" i="1"/>
  <c r="G153" i="1" s="1"/>
  <c r="G166" i="1" s="1"/>
  <c r="J649" i="1"/>
  <c r="N263" i="1"/>
  <c r="T326" i="1"/>
  <c r="T330" i="1" s="1"/>
  <c r="L326" i="1"/>
  <c r="L330" i="1" s="1"/>
  <c r="R326" i="1"/>
  <c r="J326" i="1"/>
  <c r="O326" i="1"/>
  <c r="G326" i="1"/>
  <c r="S326" i="1"/>
  <c r="T147" i="1"/>
  <c r="R21" i="1"/>
  <c r="H21" i="1"/>
  <c r="S21" i="1"/>
  <c r="J21" i="1"/>
  <c r="T21" i="1"/>
  <c r="K21" i="1"/>
  <c r="R22" i="1"/>
  <c r="J22" i="1"/>
  <c r="P22" i="1"/>
  <c r="H22" i="1"/>
  <c r="Q22" i="1"/>
  <c r="P147" i="1"/>
  <c r="O648" i="1"/>
  <c r="R649" i="1"/>
  <c r="K7" i="1"/>
  <c r="K9" i="1" s="1"/>
  <c r="K639" i="1" s="1"/>
  <c r="F9" i="1"/>
  <c r="O12" i="1"/>
  <c r="O640" i="1" s="1"/>
  <c r="L15" i="1"/>
  <c r="G16" i="1"/>
  <c r="Q16" i="1"/>
  <c r="L21" i="1"/>
  <c r="G22" i="1"/>
  <c r="S22" i="1"/>
  <c r="T119" i="1"/>
  <c r="L119" i="1"/>
  <c r="R119" i="1"/>
  <c r="J119" i="1"/>
  <c r="P119" i="1"/>
  <c r="H648" i="1"/>
  <c r="P648" i="1"/>
  <c r="H326" i="1"/>
  <c r="H330" i="1" s="1"/>
  <c r="I328" i="1"/>
  <c r="M7" i="1"/>
  <c r="M9" i="1" s="1"/>
  <c r="G12" i="1"/>
  <c r="G640" i="1" s="1"/>
  <c r="I16" i="1"/>
  <c r="F650" i="1"/>
  <c r="M17" i="1"/>
  <c r="M650" i="1" s="1"/>
  <c r="S17" i="1"/>
  <c r="K17" i="1"/>
  <c r="K650" i="1" s="1"/>
  <c r="P17" i="1"/>
  <c r="P650" i="1" s="1"/>
  <c r="O19" i="1"/>
  <c r="G19" i="1"/>
  <c r="M19" i="1"/>
  <c r="Q19" i="1"/>
  <c r="K22" i="1"/>
  <c r="S23" i="1"/>
  <c r="K23" i="1"/>
  <c r="Q23" i="1"/>
  <c r="I23" i="1"/>
  <c r="P23" i="1"/>
  <c r="R423" i="1"/>
  <c r="J423" i="1"/>
  <c r="Q423" i="1"/>
  <c r="I423" i="1"/>
  <c r="P423" i="1"/>
  <c r="H423" i="1"/>
  <c r="O423" i="1"/>
  <c r="G423" i="1"/>
  <c r="F434" i="1"/>
  <c r="M423" i="1"/>
  <c r="T423" i="1"/>
  <c r="L423" i="1"/>
  <c r="R12" i="1"/>
  <c r="J12" i="1"/>
  <c r="J640" i="1" s="1"/>
  <c r="P12" i="1"/>
  <c r="P640" i="1" s="1"/>
  <c r="H12" i="1"/>
  <c r="H608" i="1" s="1"/>
  <c r="F608" i="1"/>
  <c r="L147" i="1"/>
  <c r="J263" i="1"/>
  <c r="R263" i="1"/>
  <c r="F405" i="1"/>
  <c r="S452" i="1"/>
  <c r="K452" i="1"/>
  <c r="R452" i="1"/>
  <c r="J452" i="1"/>
  <c r="Q452" i="1"/>
  <c r="I452" i="1"/>
  <c r="P452" i="1"/>
  <c r="H452" i="1"/>
  <c r="O452" i="1"/>
  <c r="G452" i="1"/>
  <c r="N452" i="1"/>
  <c r="M452" i="1"/>
  <c r="T452" i="1"/>
  <c r="L452" i="1"/>
  <c r="I12" i="1"/>
  <c r="I640" i="1" s="1"/>
  <c r="T12" i="1"/>
  <c r="T640" i="1" s="1"/>
  <c r="K648" i="1"/>
  <c r="Q21" i="1"/>
  <c r="I21" i="1"/>
  <c r="O21" i="1"/>
  <c r="G21" i="1"/>
  <c r="K263" i="1"/>
  <c r="S263" i="1"/>
  <c r="N326" i="1"/>
  <c r="P328" i="1"/>
  <c r="M429" i="1"/>
  <c r="T429" i="1"/>
  <c r="L429" i="1"/>
  <c r="S429" i="1"/>
  <c r="K429" i="1"/>
  <c r="R429" i="1"/>
  <c r="J429" i="1"/>
  <c r="P429" i="1"/>
  <c r="H429" i="1"/>
  <c r="O429" i="1"/>
  <c r="G429" i="1"/>
  <c r="O639" i="1"/>
  <c r="K12" i="1"/>
  <c r="S15" i="1"/>
  <c r="K15" i="1"/>
  <c r="Q15" i="1"/>
  <c r="I15" i="1"/>
  <c r="P15" i="1"/>
  <c r="F29" i="1"/>
  <c r="F31" i="1" s="1"/>
  <c r="N147" i="1"/>
  <c r="M648" i="1"/>
  <c r="H649" i="1"/>
  <c r="P649" i="1"/>
  <c r="L263" i="1"/>
  <c r="T263" i="1"/>
  <c r="P326" i="1"/>
  <c r="R359" i="1"/>
  <c r="J359" i="1"/>
  <c r="F364" i="1"/>
  <c r="F367" i="1" s="1"/>
  <c r="P359" i="1"/>
  <c r="H359" i="1"/>
  <c r="M359" i="1"/>
  <c r="S359" i="1"/>
  <c r="S423" i="1"/>
  <c r="I429" i="1"/>
  <c r="S648" i="1"/>
  <c r="N649" i="1"/>
  <c r="S7" i="1"/>
  <c r="S9" i="1" s="1"/>
  <c r="S639" i="1" s="1"/>
  <c r="M12" i="1"/>
  <c r="H15" i="1"/>
  <c r="T15" i="1"/>
  <c r="Q326" i="1"/>
  <c r="O328" i="1"/>
  <c r="G328" i="1"/>
  <c r="M328" i="1"/>
  <c r="M330" i="1" s="1"/>
  <c r="R328" i="1"/>
  <c r="J328" i="1"/>
  <c r="S328" i="1"/>
  <c r="G359" i="1"/>
  <c r="T359" i="1"/>
  <c r="N429" i="1"/>
  <c r="G442" i="1"/>
  <c r="G446" i="1" s="1"/>
  <c r="O442" i="1"/>
  <c r="O446" i="1" s="1"/>
  <c r="K511" i="1"/>
  <c r="S511" i="1"/>
  <c r="N325" i="1"/>
  <c r="N338" i="1"/>
  <c r="N360" i="1"/>
  <c r="H442" i="1"/>
  <c r="H446" i="1" s="1"/>
  <c r="P442" i="1"/>
  <c r="P446" i="1" s="1"/>
  <c r="L511" i="1"/>
  <c r="T511" i="1"/>
  <c r="H391" i="4"/>
  <c r="J503" i="4"/>
  <c r="J506" i="4" s="1"/>
  <c r="N551" i="4"/>
  <c r="J442" i="1"/>
  <c r="R442" i="1"/>
  <c r="R446" i="1" s="1"/>
  <c r="F446" i="1"/>
  <c r="N511" i="1"/>
  <c r="L18" i="1"/>
  <c r="T18" i="1"/>
  <c r="L25" i="1"/>
  <c r="T25" i="1"/>
  <c r="L648" i="1"/>
  <c r="T648" i="1"/>
  <c r="K649" i="1"/>
  <c r="S649" i="1"/>
  <c r="G263" i="1"/>
  <c r="O263" i="1"/>
  <c r="I325" i="1"/>
  <c r="Q325" i="1"/>
  <c r="F330" i="1"/>
  <c r="F436" i="1" s="1"/>
  <c r="I338" i="1"/>
  <c r="Q338" i="1"/>
  <c r="L340" i="1"/>
  <c r="T340" i="1"/>
  <c r="I360" i="1"/>
  <c r="Q360" i="1"/>
  <c r="K442" i="1"/>
  <c r="K446" i="1" s="1"/>
  <c r="S442" i="1"/>
  <c r="S446" i="1" s="1"/>
  <c r="L443" i="1"/>
  <c r="T443" i="1"/>
  <c r="G511" i="1"/>
  <c r="O511" i="1"/>
  <c r="P551" i="4"/>
  <c r="I446" i="1"/>
  <c r="Q446" i="1"/>
  <c r="L442" i="1"/>
  <c r="T442" i="1"/>
  <c r="H511" i="1"/>
  <c r="P511" i="1"/>
  <c r="N648" i="1"/>
  <c r="M649" i="1"/>
  <c r="I263" i="1"/>
  <c r="Q263" i="1"/>
  <c r="K325" i="1"/>
  <c r="K330" i="1" s="1"/>
  <c r="K338" i="1"/>
  <c r="K360" i="1"/>
  <c r="M442" i="1"/>
  <c r="M446" i="1" s="1"/>
  <c r="I511" i="1"/>
  <c r="Q511" i="1"/>
  <c r="U518" i="1"/>
  <c r="V518" i="1" s="1"/>
  <c r="U515" i="1"/>
  <c r="V515" i="1" s="1"/>
  <c r="U516" i="1"/>
  <c r="V516" i="1" s="1"/>
  <c r="U517" i="1"/>
  <c r="V517" i="1" s="1"/>
  <c r="U519" i="1"/>
  <c r="V519" i="1" s="1"/>
  <c r="U520" i="1"/>
  <c r="V520" i="1" s="1"/>
  <c r="U521" i="1"/>
  <c r="V521" i="1" s="1"/>
  <c r="U522" i="1"/>
  <c r="V522" i="1" s="1"/>
  <c r="U523" i="1"/>
  <c r="V523" i="1" s="1"/>
  <c r="U524" i="1"/>
  <c r="V524" i="1" s="1"/>
  <c r="U525" i="1"/>
  <c r="V525" i="1" s="1"/>
  <c r="U530" i="1"/>
  <c r="V530" i="1" s="1"/>
  <c r="G551" i="4"/>
  <c r="G553" i="4" s="1"/>
  <c r="G503" i="4" s="1"/>
  <c r="G506" i="4" s="1"/>
  <c r="L503" i="4"/>
  <c r="L506" i="4" s="1"/>
  <c r="U449" i="1"/>
  <c r="V449" i="1" s="1"/>
  <c r="G650" i="1"/>
  <c r="I650" i="1"/>
  <c r="O650" i="1"/>
  <c r="O110" i="1" s="1"/>
  <c r="Q650" i="1"/>
  <c r="U24" i="1"/>
  <c r="V24" i="1" s="1"/>
  <c r="U35" i="1"/>
  <c r="V35" i="1" s="1"/>
  <c r="U54" i="1"/>
  <c r="V54" i="1" s="1"/>
  <c r="U55" i="1"/>
  <c r="V55" i="1" s="1"/>
  <c r="U56" i="1"/>
  <c r="V56" i="1" s="1"/>
  <c r="U143" i="1"/>
  <c r="V143" i="1" s="1"/>
  <c r="U144" i="1"/>
  <c r="V144" i="1" s="1"/>
  <c r="U145" i="1"/>
  <c r="V145" i="1" s="1"/>
  <c r="U174" i="1"/>
  <c r="V174" i="1" s="1"/>
  <c r="U175" i="1"/>
  <c r="V175" i="1" s="1"/>
  <c r="U176" i="1"/>
  <c r="V176" i="1" s="1"/>
  <c r="U177" i="1"/>
  <c r="V177" i="1" s="1"/>
  <c r="U178" i="1"/>
  <c r="V178" i="1" s="1"/>
  <c r="U179" i="1"/>
  <c r="V179" i="1" s="1"/>
  <c r="U194" i="1"/>
  <c r="V194" i="1" s="1"/>
  <c r="U200" i="1"/>
  <c r="V200" i="1" s="1"/>
  <c r="U201" i="1"/>
  <c r="V201" i="1" s="1"/>
  <c r="U203" i="1"/>
  <c r="V203" i="1" s="1"/>
  <c r="U204" i="1"/>
  <c r="V204" i="1" s="1"/>
  <c r="U206" i="1"/>
  <c r="V206" i="1" s="1"/>
  <c r="U207" i="1"/>
  <c r="V207" i="1" s="1"/>
  <c r="U208" i="1"/>
  <c r="V208" i="1" s="1"/>
  <c r="U209" i="1"/>
  <c r="V209" i="1" s="1"/>
  <c r="U210" i="1"/>
  <c r="V210" i="1" s="1"/>
  <c r="U211" i="1"/>
  <c r="V211" i="1" s="1"/>
  <c r="U212" i="1"/>
  <c r="V212" i="1" s="1"/>
  <c r="U213" i="1"/>
  <c r="V213" i="1" s="1"/>
  <c r="U214" i="1"/>
  <c r="V214" i="1" s="1"/>
  <c r="U215" i="1"/>
  <c r="V215" i="1" s="1"/>
  <c r="U216" i="1"/>
  <c r="V216" i="1" s="1"/>
  <c r="U240" i="1"/>
  <c r="V240" i="1" s="1"/>
  <c r="U241" i="1"/>
  <c r="V241" i="1" s="1"/>
  <c r="U242" i="1"/>
  <c r="V242" i="1" s="1"/>
  <c r="U243" i="1"/>
  <c r="V243" i="1" s="1"/>
  <c r="U244" i="1"/>
  <c r="V244" i="1" s="1"/>
  <c r="U245" i="1"/>
  <c r="V245" i="1" s="1"/>
  <c r="U246" i="1"/>
  <c r="V246" i="1" s="1"/>
  <c r="U258" i="1"/>
  <c r="V258" i="1" s="1"/>
  <c r="U259" i="1"/>
  <c r="V259" i="1" s="1"/>
  <c r="U260" i="1"/>
  <c r="V260" i="1" s="1"/>
  <c r="U261" i="1"/>
  <c r="V261" i="1" s="1"/>
  <c r="U339" i="1"/>
  <c r="V339" i="1" s="1"/>
  <c r="U356" i="1"/>
  <c r="V356" i="1" s="1"/>
  <c r="U357" i="1"/>
  <c r="V357" i="1" s="1"/>
  <c r="U358" i="1"/>
  <c r="V358" i="1" s="1"/>
  <c r="U361" i="1"/>
  <c r="V361" i="1" s="1"/>
  <c r="U362" i="1"/>
  <c r="V362" i="1" s="1"/>
  <c r="U377" i="1"/>
  <c r="V377" i="1" s="1"/>
  <c r="U382" i="1"/>
  <c r="V382" i="1" s="1"/>
  <c r="U383" i="1"/>
  <c r="V383" i="1" s="1"/>
  <c r="U384" i="1"/>
  <c r="V384" i="1" s="1"/>
  <c r="U386" i="1"/>
  <c r="V386" i="1" s="1"/>
  <c r="U387" i="1"/>
  <c r="V387" i="1" s="1"/>
  <c r="U389" i="1"/>
  <c r="V389" i="1" s="1"/>
  <c r="U390" i="1"/>
  <c r="V390" i="1" s="1"/>
  <c r="U391" i="1"/>
  <c r="V391" i="1" s="1"/>
  <c r="U392" i="1"/>
  <c r="V392" i="1" s="1"/>
  <c r="U393" i="1"/>
  <c r="V393" i="1" s="1"/>
  <c r="U394" i="1"/>
  <c r="V394" i="1" s="1"/>
  <c r="U395" i="1"/>
  <c r="V395" i="1" s="1"/>
  <c r="U396" i="1"/>
  <c r="V396" i="1" s="1"/>
  <c r="U397" i="1"/>
  <c r="V397" i="1" s="1"/>
  <c r="U398" i="1"/>
  <c r="V398" i="1" s="1"/>
  <c r="U399" i="1"/>
  <c r="V399" i="1" s="1"/>
  <c r="U422" i="1"/>
  <c r="V422" i="1" s="1"/>
  <c r="N27" i="1"/>
  <c r="N29" i="1" s="1"/>
  <c r="H650" i="1"/>
  <c r="J650" i="1"/>
  <c r="L650" i="1"/>
  <c r="N650" i="1"/>
  <c r="R650" i="1"/>
  <c r="R205" i="1" s="1"/>
  <c r="T650" i="1"/>
  <c r="U20" i="1"/>
  <c r="V20" i="1" s="1"/>
  <c r="U26" i="1"/>
  <c r="V26" i="1" s="1"/>
  <c r="U102" i="1"/>
  <c r="V102" i="1" s="1"/>
  <c r="U155" i="1"/>
  <c r="V155" i="1" s="1"/>
  <c r="U156" i="1"/>
  <c r="V156" i="1" s="1"/>
  <c r="U157" i="1"/>
  <c r="V157" i="1" s="1"/>
  <c r="U158" i="1"/>
  <c r="V158" i="1" s="1"/>
  <c r="U159" i="1"/>
  <c r="V159" i="1" s="1"/>
  <c r="U160" i="1"/>
  <c r="V160" i="1" s="1"/>
  <c r="U161" i="1"/>
  <c r="V161" i="1" s="1"/>
  <c r="U162" i="1"/>
  <c r="V162" i="1" s="1"/>
  <c r="U163" i="1"/>
  <c r="V163" i="1" s="1"/>
  <c r="U164" i="1"/>
  <c r="V164" i="1" s="1"/>
  <c r="U266" i="1"/>
  <c r="V266" i="1" s="1"/>
  <c r="U269" i="1"/>
  <c r="V269" i="1" s="1"/>
  <c r="U327" i="1"/>
  <c r="V327" i="1" s="1"/>
  <c r="U337" i="1"/>
  <c r="V337" i="1" s="1"/>
  <c r="U341" i="1"/>
  <c r="V341" i="1" s="1"/>
  <c r="U342" i="1"/>
  <c r="V342" i="1" s="1"/>
  <c r="U343" i="1"/>
  <c r="V343" i="1" s="1"/>
  <c r="U344" i="1"/>
  <c r="V344" i="1" s="1"/>
  <c r="U345" i="1"/>
  <c r="V345" i="1" s="1"/>
  <c r="U346" i="1"/>
  <c r="V346" i="1" s="1"/>
  <c r="U347" i="1"/>
  <c r="V347" i="1" s="1"/>
  <c r="U424" i="1"/>
  <c r="V424" i="1" s="1"/>
  <c r="U425" i="1"/>
  <c r="V425" i="1" s="1"/>
  <c r="U426" i="1"/>
  <c r="V426" i="1" s="1"/>
  <c r="U427" i="1"/>
  <c r="V427" i="1" s="1"/>
  <c r="U428" i="1"/>
  <c r="V428" i="1" s="1"/>
  <c r="U441" i="1"/>
  <c r="V441" i="1" s="1"/>
  <c r="U444" i="1"/>
  <c r="V444" i="1" s="1"/>
  <c r="F354" i="4"/>
  <c r="J391" i="4"/>
  <c r="I503" i="4"/>
  <c r="I506" i="4" s="1"/>
  <c r="O551" i="4"/>
  <c r="Q551" i="4"/>
  <c r="S551" i="4"/>
  <c r="T559" i="4"/>
  <c r="U559" i="4" s="1"/>
  <c r="G492" i="4"/>
  <c r="T457" i="4"/>
  <c r="U457" i="4" s="1"/>
  <c r="T460" i="4"/>
  <c r="U460" i="4" s="1"/>
  <c r="H514" i="4"/>
  <c r="T557" i="4"/>
  <c r="E35" i="5"/>
  <c r="F35" i="5" s="1"/>
  <c r="F378" i="4"/>
  <c r="G444" i="4" s="1"/>
  <c r="T453" i="4"/>
  <c r="U453" i="4" s="1"/>
  <c r="T513" i="4"/>
  <c r="U513" i="4" s="1"/>
  <c r="G514" i="4"/>
  <c r="T422" i="4"/>
  <c r="U422" i="4" s="1"/>
  <c r="T346" i="4"/>
  <c r="U346" i="4" s="1"/>
  <c r="T374" i="4"/>
  <c r="U374" i="4" s="1"/>
  <c r="L639" i="1"/>
  <c r="L101" i="1"/>
  <c r="N639" i="1"/>
  <c r="N101" i="1"/>
  <c r="S640" i="1"/>
  <c r="G147" i="1"/>
  <c r="I147" i="1"/>
  <c r="K147" i="1"/>
  <c r="M147" i="1"/>
  <c r="O147" i="1"/>
  <c r="Q147" i="1"/>
  <c r="S147" i="1"/>
  <c r="U149" i="1"/>
  <c r="V149" i="1" s="1"/>
  <c r="U154" i="1"/>
  <c r="V154" i="1" s="1"/>
  <c r="O101" i="1"/>
  <c r="U142" i="1"/>
  <c r="U173" i="1"/>
  <c r="V173" i="1" s="1"/>
  <c r="U199" i="1"/>
  <c r="V199" i="1" s="1"/>
  <c r="U239" i="1"/>
  <c r="V239" i="1" s="1"/>
  <c r="U257" i="1"/>
  <c r="V257" i="1" s="1"/>
  <c r="U440" i="1"/>
  <c r="V440" i="1" s="1"/>
  <c r="U508" i="1"/>
  <c r="U332" i="1"/>
  <c r="U514" i="1"/>
  <c r="T343" i="4"/>
  <c r="U343" i="4" s="1"/>
  <c r="T375" i="4"/>
  <c r="U375" i="4" s="1"/>
  <c r="T342" i="4"/>
  <c r="U342" i="4" s="1"/>
  <c r="K423" i="4"/>
  <c r="K425" i="4" s="1"/>
  <c r="Q101" i="1" l="1"/>
  <c r="H101" i="1"/>
  <c r="T517" i="4"/>
  <c r="U517" i="4" s="1"/>
  <c r="T492" i="4"/>
  <c r="U492" i="4" s="1"/>
  <c r="G495" i="4"/>
  <c r="T506" i="4"/>
  <c r="U506" i="4" s="1"/>
  <c r="T577" i="4"/>
  <c r="U577" i="4" s="1"/>
  <c r="T570" i="4"/>
  <c r="U570" i="4" s="1"/>
  <c r="F654" i="1"/>
  <c r="I110" i="1"/>
  <c r="T110" i="1"/>
  <c r="Q110" i="1"/>
  <c r="L388" i="1"/>
  <c r="G110" i="1"/>
  <c r="J202" i="1"/>
  <c r="N388" i="1"/>
  <c r="H202" i="1"/>
  <c r="K110" i="1"/>
  <c r="T639" i="1"/>
  <c r="I101" i="1"/>
  <c r="J639" i="1"/>
  <c r="H647" i="1"/>
  <c r="P110" i="1"/>
  <c r="L647" i="1"/>
  <c r="P101" i="1"/>
  <c r="R639" i="1"/>
  <c r="M639" i="1"/>
  <c r="T446" i="1"/>
  <c r="I349" i="1"/>
  <c r="I153" i="1"/>
  <c r="I166" i="1" s="1"/>
  <c r="J336" i="1"/>
  <c r="J349" i="1" s="1"/>
  <c r="R101" i="1"/>
  <c r="G205" i="1"/>
  <c r="G388" i="1"/>
  <c r="J101" i="1"/>
  <c r="Q608" i="1"/>
  <c r="Q647" i="1" s="1"/>
  <c r="T172" i="1"/>
  <c r="T181" i="1" s="1"/>
  <c r="R153" i="1"/>
  <c r="R166" i="1" s="1"/>
  <c r="Q153" i="1"/>
  <c r="Q166" i="1" s="1"/>
  <c r="T364" i="1"/>
  <c r="I388" i="1"/>
  <c r="I205" i="1"/>
  <c r="J330" i="1"/>
  <c r="Q349" i="1"/>
  <c r="O608" i="1"/>
  <c r="O647" i="1" s="1"/>
  <c r="M101" i="1"/>
  <c r="I202" i="1"/>
  <c r="H27" i="1"/>
  <c r="H29" i="1" s="1"/>
  <c r="H637" i="1" s="1"/>
  <c r="K608" i="1"/>
  <c r="K647" i="1" s="1"/>
  <c r="H639" i="1"/>
  <c r="I385" i="1"/>
  <c r="P639" i="1"/>
  <c r="K640" i="1"/>
  <c r="G608" i="1"/>
  <c r="G647" i="1" s="1"/>
  <c r="R330" i="1"/>
  <c r="K205" i="1"/>
  <c r="U443" i="1"/>
  <c r="V443" i="1" s="1"/>
  <c r="K385" i="1"/>
  <c r="K202" i="1"/>
  <c r="P27" i="1"/>
  <c r="P29" i="1" s="1"/>
  <c r="P31" i="1" s="1"/>
  <c r="P249" i="1" s="1"/>
  <c r="K388" i="1"/>
  <c r="L446" i="1"/>
  <c r="U119" i="1"/>
  <c r="V119" i="1" s="1"/>
  <c r="H205" i="1"/>
  <c r="L110" i="1"/>
  <c r="L205" i="1"/>
  <c r="G355" i="1"/>
  <c r="G364" i="1" s="1"/>
  <c r="R27" i="1"/>
  <c r="R29" i="1" s="1"/>
  <c r="R31" i="1" s="1"/>
  <c r="R432" i="1" s="1"/>
  <c r="J205" i="1"/>
  <c r="J110" i="1"/>
  <c r="J388" i="1"/>
  <c r="J27" i="1"/>
  <c r="J29" i="1" s="1"/>
  <c r="J385" i="1"/>
  <c r="U325" i="1"/>
  <c r="K27" i="1"/>
  <c r="K29" i="1" s="1"/>
  <c r="K401" i="1" s="1"/>
  <c r="N330" i="1"/>
  <c r="S330" i="1"/>
  <c r="T608" i="1"/>
  <c r="T647" i="1" s="1"/>
  <c r="I330" i="1"/>
  <c r="I172" i="1"/>
  <c r="I181" i="1" s="1"/>
  <c r="G202" i="1"/>
  <c r="J608" i="1"/>
  <c r="J647" i="1" s="1"/>
  <c r="Q27" i="1"/>
  <c r="Q29" i="1" s="1"/>
  <c r="Q248" i="1" s="1"/>
  <c r="O172" i="1"/>
  <c r="O181" i="1" s="1"/>
  <c r="N205" i="1"/>
  <c r="N385" i="1"/>
  <c r="U25" i="1"/>
  <c r="V25" i="1" s="1"/>
  <c r="M110" i="1"/>
  <c r="M202" i="1"/>
  <c r="Q172" i="1"/>
  <c r="Q181" i="1" s="1"/>
  <c r="R110" i="1"/>
  <c r="M27" i="1"/>
  <c r="M29" i="1" s="1"/>
  <c r="M642" i="1" s="1"/>
  <c r="P608" i="1"/>
  <c r="P647" i="1" s="1"/>
  <c r="R385" i="1"/>
  <c r="R202" i="1"/>
  <c r="R388" i="1"/>
  <c r="G27" i="1"/>
  <c r="G29" i="1" s="1"/>
  <c r="S101" i="1"/>
  <c r="Q330" i="1"/>
  <c r="M608" i="1"/>
  <c r="M647" i="1" s="1"/>
  <c r="U17" i="1"/>
  <c r="V17" i="1" s="1"/>
  <c r="U340" i="1"/>
  <c r="V340" i="1" s="1"/>
  <c r="T388" i="1"/>
  <c r="P330" i="1"/>
  <c r="U15" i="1"/>
  <c r="V15" i="1" s="1"/>
  <c r="U18" i="1"/>
  <c r="V18" i="1" s="1"/>
  <c r="U360" i="1"/>
  <c r="V360" i="1" s="1"/>
  <c r="U22" i="1"/>
  <c r="V22" i="1" s="1"/>
  <c r="Q202" i="1"/>
  <c r="U16" i="1"/>
  <c r="V16" i="1" s="1"/>
  <c r="Q385" i="1"/>
  <c r="U328" i="1"/>
  <c r="V328" i="1" s="1"/>
  <c r="Q205" i="1"/>
  <c r="S27" i="1"/>
  <c r="S29" i="1" s="1"/>
  <c r="S431" i="1" s="1"/>
  <c r="H640" i="1"/>
  <c r="U23" i="1"/>
  <c r="V23" i="1" s="1"/>
  <c r="O27" i="1"/>
  <c r="O29" i="1" s="1"/>
  <c r="O247" i="1" s="1"/>
  <c r="O653" i="1" s="1"/>
  <c r="T27" i="1"/>
  <c r="T29" i="1" s="1"/>
  <c r="T31" i="1" s="1"/>
  <c r="T432" i="1" s="1"/>
  <c r="Q388" i="1"/>
  <c r="L640" i="1"/>
  <c r="S650" i="1"/>
  <c r="U650" i="1" s="1"/>
  <c r="V650" i="1" s="1"/>
  <c r="G639" i="1"/>
  <c r="G101" i="1"/>
  <c r="U423" i="1"/>
  <c r="V423" i="1" s="1"/>
  <c r="H110" i="1"/>
  <c r="G385" i="1"/>
  <c r="T202" i="1"/>
  <c r="T385" i="1"/>
  <c r="H385" i="1"/>
  <c r="U511" i="1"/>
  <c r="V511" i="1" s="1"/>
  <c r="U442" i="1"/>
  <c r="V442" i="1" s="1"/>
  <c r="U452" i="1"/>
  <c r="V452" i="1" s="1"/>
  <c r="U263" i="1"/>
  <c r="V263" i="1" s="1"/>
  <c r="H388" i="1"/>
  <c r="U429" i="1"/>
  <c r="V429" i="1" s="1"/>
  <c r="M385" i="1"/>
  <c r="T205" i="1"/>
  <c r="N202" i="1"/>
  <c r="S608" i="1"/>
  <c r="S647" i="1" s="1"/>
  <c r="I608" i="1"/>
  <c r="I647" i="1" s="1"/>
  <c r="T101" i="1"/>
  <c r="M388" i="1"/>
  <c r="O330" i="1"/>
  <c r="N110" i="1"/>
  <c r="U338" i="1"/>
  <c r="V338" i="1" s="1"/>
  <c r="U359" i="1"/>
  <c r="V359" i="1" s="1"/>
  <c r="L172" i="1"/>
  <c r="L181" i="1" s="1"/>
  <c r="K101" i="1"/>
  <c r="M205" i="1"/>
  <c r="L27" i="1"/>
  <c r="L29" i="1" s="1"/>
  <c r="G330" i="1"/>
  <c r="F655" i="1"/>
  <c r="F482" i="1"/>
  <c r="K355" i="1"/>
  <c r="K364" i="1" s="1"/>
  <c r="K172" i="1"/>
  <c r="K181" i="1" s="1"/>
  <c r="R608" i="1"/>
  <c r="R647" i="1" s="1"/>
  <c r="I27" i="1"/>
  <c r="I29" i="1" s="1"/>
  <c r="I430" i="1" s="1"/>
  <c r="U326" i="1"/>
  <c r="V326" i="1" s="1"/>
  <c r="T336" i="1"/>
  <c r="T349" i="1" s="1"/>
  <c r="T153" i="1"/>
  <c r="T166" i="1" s="1"/>
  <c r="R640" i="1"/>
  <c r="T553" i="4"/>
  <c r="U553" i="4" s="1"/>
  <c r="M355" i="1"/>
  <c r="M364" i="1" s="1"/>
  <c r="M172" i="1"/>
  <c r="M181" i="1" s="1"/>
  <c r="L336" i="1"/>
  <c r="L349" i="1" s="1"/>
  <c r="L367" i="1" s="1"/>
  <c r="L153" i="1"/>
  <c r="L166" i="1" s="1"/>
  <c r="N355" i="1"/>
  <c r="N364" i="1" s="1"/>
  <c r="N172" i="1"/>
  <c r="N181" i="1" s="1"/>
  <c r="P355" i="1"/>
  <c r="P364" i="1" s="1"/>
  <c r="P172" i="1"/>
  <c r="P181" i="1" s="1"/>
  <c r="I639" i="1"/>
  <c r="H336" i="1"/>
  <c r="H349" i="1" s="1"/>
  <c r="H153" i="1"/>
  <c r="H166" i="1" s="1"/>
  <c r="O336" i="1"/>
  <c r="O349" i="1" s="1"/>
  <c r="O367" i="1" s="1"/>
  <c r="O153" i="1"/>
  <c r="O166" i="1" s="1"/>
  <c r="U12" i="1"/>
  <c r="V12" i="1" s="1"/>
  <c r="P388" i="1"/>
  <c r="M640" i="1"/>
  <c r="N336" i="1"/>
  <c r="N349" i="1" s="1"/>
  <c r="N153" i="1"/>
  <c r="N166" i="1" s="1"/>
  <c r="Q364" i="1"/>
  <c r="S336" i="1"/>
  <c r="S349" i="1" s="1"/>
  <c r="S153" i="1"/>
  <c r="S166" i="1" s="1"/>
  <c r="H355" i="1"/>
  <c r="H364" i="1" s="1"/>
  <c r="H172" i="1"/>
  <c r="U7" i="1"/>
  <c r="V7" i="1" s="1"/>
  <c r="U9" i="1"/>
  <c r="V9" i="1" s="1"/>
  <c r="O385" i="1"/>
  <c r="G336" i="1"/>
  <c r="G349" i="1" s="1"/>
  <c r="U21" i="1"/>
  <c r="V21" i="1" s="1"/>
  <c r="J446" i="1"/>
  <c r="K336" i="1"/>
  <c r="K349" i="1" s="1"/>
  <c r="K153" i="1"/>
  <c r="K166" i="1" s="1"/>
  <c r="P385" i="1"/>
  <c r="O202" i="1"/>
  <c r="O388" i="1"/>
  <c r="N608" i="1"/>
  <c r="N647" i="1" s="1"/>
  <c r="P202" i="1"/>
  <c r="U648" i="1"/>
  <c r="V648" i="1" s="1"/>
  <c r="U19" i="1"/>
  <c r="V19" i="1" s="1"/>
  <c r="I364" i="1"/>
  <c r="M336" i="1"/>
  <c r="M349" i="1" s="1"/>
  <c r="M153" i="1"/>
  <c r="M166" i="1" s="1"/>
  <c r="F33" i="1"/>
  <c r="F40" i="1" s="1"/>
  <c r="F42" i="1" s="1"/>
  <c r="N31" i="1"/>
  <c r="N249" i="1" s="1"/>
  <c r="P205" i="1"/>
  <c r="L385" i="1"/>
  <c r="O205" i="1"/>
  <c r="U649" i="1"/>
  <c r="V649" i="1" s="1"/>
  <c r="L202" i="1"/>
  <c r="S355" i="1"/>
  <c r="S364" i="1" s="1"/>
  <c r="S172" i="1"/>
  <c r="S181" i="1" s="1"/>
  <c r="P336" i="1"/>
  <c r="P349" i="1" s="1"/>
  <c r="P153" i="1"/>
  <c r="P166" i="1" s="1"/>
  <c r="R355" i="1"/>
  <c r="R364" i="1" s="1"/>
  <c r="R367" i="1" s="1"/>
  <c r="R172" i="1"/>
  <c r="R181" i="1" s="1"/>
  <c r="J355" i="1"/>
  <c r="J364" i="1" s="1"/>
  <c r="J172" i="1"/>
  <c r="J181" i="1" s="1"/>
  <c r="J184" i="1" s="1"/>
  <c r="Q639" i="1"/>
  <c r="T503" i="4"/>
  <c r="U503" i="4" s="1"/>
  <c r="U557" i="4"/>
  <c r="T551" i="4"/>
  <c r="U551" i="4" s="1"/>
  <c r="T514" i="4"/>
  <c r="U514" i="4" s="1"/>
  <c r="N642" i="1"/>
  <c r="N637" i="1"/>
  <c r="N431" i="1"/>
  <c r="N401" i="1"/>
  <c r="N400" i="1"/>
  <c r="N430" i="1"/>
  <c r="N248" i="1"/>
  <c r="N247" i="1"/>
  <c r="N653" i="1" s="1"/>
  <c r="N218" i="1"/>
  <c r="N217" i="1"/>
  <c r="N103" i="1"/>
  <c r="N57" i="1"/>
  <c r="G184" i="1"/>
  <c r="N33" i="1"/>
  <c r="N105" i="1" s="1"/>
  <c r="V514" i="1"/>
  <c r="V332" i="1"/>
  <c r="V508" i="1"/>
  <c r="U147" i="1"/>
  <c r="V142" i="1"/>
  <c r="M352" i="4"/>
  <c r="T495" i="4" l="1"/>
  <c r="U495" i="4" s="1"/>
  <c r="J367" i="1"/>
  <c r="F62" i="1"/>
  <c r="F96" i="1" s="1"/>
  <c r="F129" i="1" s="1"/>
  <c r="I184" i="1"/>
  <c r="I367" i="1"/>
  <c r="T184" i="1"/>
  <c r="Q184" i="1"/>
  <c r="U446" i="1"/>
  <c r="V446" i="1" s="1"/>
  <c r="T367" i="1"/>
  <c r="R184" i="1"/>
  <c r="T33" i="1"/>
  <c r="I217" i="1"/>
  <c r="P57" i="1"/>
  <c r="P400" i="1"/>
  <c r="P401" i="1"/>
  <c r="Q367" i="1"/>
  <c r="I637" i="1"/>
  <c r="U330" i="1"/>
  <c r="V330" i="1" s="1"/>
  <c r="V325" i="1"/>
  <c r="H642" i="1"/>
  <c r="S202" i="1"/>
  <c r="U202" i="1" s="1"/>
  <c r="V202" i="1" s="1"/>
  <c r="S385" i="1"/>
  <c r="U385" i="1" s="1"/>
  <c r="V385" i="1" s="1"/>
  <c r="P103" i="1"/>
  <c r="P431" i="1"/>
  <c r="P217" i="1"/>
  <c r="P637" i="1"/>
  <c r="P218" i="1"/>
  <c r="P642" i="1"/>
  <c r="P247" i="1"/>
  <c r="P653" i="1" s="1"/>
  <c r="P238" i="1" s="1"/>
  <c r="P33" i="1"/>
  <c r="H57" i="1"/>
  <c r="P248" i="1"/>
  <c r="H430" i="1"/>
  <c r="P430" i="1"/>
  <c r="Q401" i="1"/>
  <c r="H218" i="1"/>
  <c r="K57" i="1"/>
  <c r="H247" i="1"/>
  <c r="H653" i="1" s="1"/>
  <c r="H421" i="1" s="1"/>
  <c r="K103" i="1"/>
  <c r="K431" i="1"/>
  <c r="H400" i="1"/>
  <c r="K430" i="1"/>
  <c r="Q33" i="1"/>
  <c r="S218" i="1"/>
  <c r="Q31" i="1"/>
  <c r="Q249" i="1" s="1"/>
  <c r="S247" i="1"/>
  <c r="S653" i="1" s="1"/>
  <c r="S421" i="1" s="1"/>
  <c r="Q400" i="1"/>
  <c r="H33" i="1"/>
  <c r="H248" i="1"/>
  <c r="Q57" i="1"/>
  <c r="Q431" i="1"/>
  <c r="K217" i="1"/>
  <c r="K637" i="1"/>
  <c r="S248" i="1"/>
  <c r="H31" i="1"/>
  <c r="H432" i="1" s="1"/>
  <c r="Q103" i="1"/>
  <c r="Q430" i="1"/>
  <c r="K218" i="1"/>
  <c r="K642" i="1"/>
  <c r="S401" i="1"/>
  <c r="Q217" i="1"/>
  <c r="Q637" i="1"/>
  <c r="K247" i="1"/>
  <c r="K653" i="1" s="1"/>
  <c r="K421" i="1" s="1"/>
  <c r="S31" i="1"/>
  <c r="S432" i="1" s="1"/>
  <c r="S430" i="1"/>
  <c r="H401" i="1"/>
  <c r="Q218" i="1"/>
  <c r="Q642" i="1"/>
  <c r="K248" i="1"/>
  <c r="S57" i="1"/>
  <c r="S637" i="1"/>
  <c r="K400" i="1"/>
  <c r="S103" i="1"/>
  <c r="S642" i="1"/>
  <c r="H103" i="1"/>
  <c r="H431" i="1"/>
  <c r="Q247" i="1"/>
  <c r="Q653" i="1" s="1"/>
  <c r="Q421" i="1" s="1"/>
  <c r="K33" i="1"/>
  <c r="H217" i="1"/>
  <c r="K31" i="1"/>
  <c r="K432" i="1" s="1"/>
  <c r="S217" i="1"/>
  <c r="R103" i="1"/>
  <c r="O184" i="1"/>
  <c r="R33" i="1"/>
  <c r="R218" i="1"/>
  <c r="R248" i="1"/>
  <c r="R431" i="1"/>
  <c r="R217" i="1"/>
  <c r="R637" i="1"/>
  <c r="R642" i="1"/>
  <c r="R247" i="1"/>
  <c r="R653" i="1" s="1"/>
  <c r="R421" i="1" s="1"/>
  <c r="P432" i="1"/>
  <c r="R430" i="1"/>
  <c r="R400" i="1"/>
  <c r="M247" i="1"/>
  <c r="M653" i="1" s="1"/>
  <c r="M238" i="1" s="1"/>
  <c r="R57" i="1"/>
  <c r="R401" i="1"/>
  <c r="O57" i="1"/>
  <c r="J31" i="1"/>
  <c r="J431" i="1"/>
  <c r="J103" i="1"/>
  <c r="J401" i="1"/>
  <c r="J57" i="1"/>
  <c r="J218" i="1"/>
  <c r="J400" i="1"/>
  <c r="J642" i="1"/>
  <c r="J637" i="1"/>
  <c r="J430" i="1"/>
  <c r="J33" i="1"/>
  <c r="J217" i="1"/>
  <c r="J248" i="1"/>
  <c r="J247" i="1"/>
  <c r="J653" i="1" s="1"/>
  <c r="J421" i="1" s="1"/>
  <c r="T247" i="1"/>
  <c r="T653" i="1" s="1"/>
  <c r="T421" i="1" s="1"/>
  <c r="T248" i="1"/>
  <c r="T430" i="1"/>
  <c r="T400" i="1"/>
  <c r="T249" i="1"/>
  <c r="T57" i="1"/>
  <c r="T401" i="1"/>
  <c r="T103" i="1"/>
  <c r="T431" i="1"/>
  <c r="T217" i="1"/>
  <c r="T637" i="1"/>
  <c r="T218" i="1"/>
  <c r="T642" i="1"/>
  <c r="L31" i="1"/>
  <c r="L400" i="1"/>
  <c r="I218" i="1"/>
  <c r="I642" i="1"/>
  <c r="M248" i="1"/>
  <c r="N432" i="1"/>
  <c r="I247" i="1"/>
  <c r="I653" i="1" s="1"/>
  <c r="I421" i="1" s="1"/>
  <c r="M33" i="1"/>
  <c r="M400" i="1"/>
  <c r="I248" i="1"/>
  <c r="M31" i="1"/>
  <c r="M432" i="1" s="1"/>
  <c r="M401" i="1"/>
  <c r="I33" i="1"/>
  <c r="I400" i="1"/>
  <c r="M57" i="1"/>
  <c r="M431" i="1"/>
  <c r="I31" i="1"/>
  <c r="I432" i="1" s="1"/>
  <c r="I401" i="1"/>
  <c r="M103" i="1"/>
  <c r="M430" i="1"/>
  <c r="S33" i="1"/>
  <c r="S400" i="1"/>
  <c r="I57" i="1"/>
  <c r="I431" i="1"/>
  <c r="M217" i="1"/>
  <c r="M637" i="1"/>
  <c r="I103" i="1"/>
  <c r="M218" i="1"/>
  <c r="U27" i="1"/>
  <c r="V27" i="1" s="1"/>
  <c r="O103" i="1"/>
  <c r="O218" i="1"/>
  <c r="O248" i="1"/>
  <c r="O431" i="1"/>
  <c r="R249" i="1"/>
  <c r="O430" i="1"/>
  <c r="O642" i="1"/>
  <c r="O33" i="1"/>
  <c r="O400" i="1"/>
  <c r="O31" i="1"/>
  <c r="O432" i="1" s="1"/>
  <c r="O401" i="1"/>
  <c r="N367" i="1"/>
  <c r="O217" i="1"/>
  <c r="O637" i="1"/>
  <c r="U640" i="1"/>
  <c r="V640" i="1" s="1"/>
  <c r="U101" i="1"/>
  <c r="V101" i="1" s="1"/>
  <c r="U608" i="1"/>
  <c r="V608" i="1" s="1"/>
  <c r="S110" i="1"/>
  <c r="U110" i="1" s="1"/>
  <c r="V110" i="1" s="1"/>
  <c r="S205" i="1"/>
  <c r="U205" i="1" s="1"/>
  <c r="V205" i="1" s="1"/>
  <c r="S388" i="1"/>
  <c r="L57" i="1"/>
  <c r="U355" i="1"/>
  <c r="V355" i="1" s="1"/>
  <c r="L431" i="1"/>
  <c r="U647" i="1"/>
  <c r="V647" i="1" s="1"/>
  <c r="U364" i="1"/>
  <c r="V364" i="1" s="1"/>
  <c r="K184" i="1"/>
  <c r="L218" i="1"/>
  <c r="L642" i="1"/>
  <c r="U336" i="1"/>
  <c r="V336" i="1" s="1"/>
  <c r="K367" i="1"/>
  <c r="L103" i="1"/>
  <c r="L217" i="1"/>
  <c r="L248" i="1"/>
  <c r="P367" i="1"/>
  <c r="L184" i="1"/>
  <c r="L401" i="1"/>
  <c r="M184" i="1"/>
  <c r="U639" i="1"/>
  <c r="V639" i="1" s="1"/>
  <c r="M367" i="1"/>
  <c r="L637" i="1"/>
  <c r="L247" i="1"/>
  <c r="L653" i="1" s="1"/>
  <c r="L421" i="1" s="1"/>
  <c r="L33" i="1"/>
  <c r="L430" i="1"/>
  <c r="H181" i="1"/>
  <c r="U181" i="1" s="1"/>
  <c r="V181" i="1" s="1"/>
  <c r="U172" i="1"/>
  <c r="V172" i="1" s="1"/>
  <c r="S184" i="1"/>
  <c r="S367" i="1"/>
  <c r="P184" i="1"/>
  <c r="U153" i="1"/>
  <c r="V153" i="1" s="1"/>
  <c r="N184" i="1"/>
  <c r="H367" i="1"/>
  <c r="U166" i="1"/>
  <c r="N652" i="1"/>
  <c r="H526" i="1"/>
  <c r="H528" i="1" s="1"/>
  <c r="V147" i="1"/>
  <c r="N645" i="1"/>
  <c r="N638" i="1"/>
  <c r="N537" i="1"/>
  <c r="N535" i="1"/>
  <c r="N533" i="1"/>
  <c r="N532" i="1"/>
  <c r="N531" i="1"/>
  <c r="N526" i="1"/>
  <c r="N528" i="1" s="1"/>
  <c r="N124" i="1"/>
  <c r="N117" i="1"/>
  <c r="N38" i="1"/>
  <c r="N37" i="1"/>
  <c r="N118" i="1"/>
  <c r="N113" i="1"/>
  <c r="N112" i="1"/>
  <c r="N111" i="1"/>
  <c r="N36" i="1"/>
  <c r="G367" i="1"/>
  <c r="U349" i="1"/>
  <c r="N421" i="1"/>
  <c r="N238" i="1"/>
  <c r="N251" i="1" s="1"/>
  <c r="G642" i="1"/>
  <c r="G637" i="1"/>
  <c r="G430" i="1"/>
  <c r="G431" i="1"/>
  <c r="G401" i="1"/>
  <c r="G400" i="1"/>
  <c r="G248" i="1"/>
  <c r="G247" i="1"/>
  <c r="G218" i="1"/>
  <c r="G217" i="1"/>
  <c r="G103" i="1"/>
  <c r="G57" i="1"/>
  <c r="U29" i="1"/>
  <c r="G31" i="1"/>
  <c r="G33" i="1"/>
  <c r="G105" i="1" s="1"/>
  <c r="O421" i="1"/>
  <c r="O238" i="1"/>
  <c r="H537" i="1" l="1"/>
  <c r="H105" i="1"/>
  <c r="K531" i="1"/>
  <c r="K105" i="1"/>
  <c r="P531" i="1"/>
  <c r="P105" i="1"/>
  <c r="M532" i="1"/>
  <c r="M105" i="1"/>
  <c r="J531" i="1"/>
  <c r="J105" i="1"/>
  <c r="L532" i="1"/>
  <c r="L105" i="1"/>
  <c r="R535" i="1"/>
  <c r="R105" i="1"/>
  <c r="Q645" i="1"/>
  <c r="Q105" i="1"/>
  <c r="T638" i="1"/>
  <c r="T105" i="1"/>
  <c r="O535" i="1"/>
  <c r="O105" i="1"/>
  <c r="S645" i="1"/>
  <c r="S105" i="1"/>
  <c r="I537" i="1"/>
  <c r="I105" i="1"/>
  <c r="P421" i="1"/>
  <c r="T112" i="1"/>
  <c r="P251" i="1"/>
  <c r="Q432" i="1"/>
  <c r="M533" i="1"/>
  <c r="T36" i="1"/>
  <c r="H638" i="1"/>
  <c r="T124" i="1"/>
  <c r="T531" i="1"/>
  <c r="T645" i="1"/>
  <c r="H111" i="1"/>
  <c r="H117" i="1"/>
  <c r="O537" i="1"/>
  <c r="T111" i="1"/>
  <c r="T526" i="1"/>
  <c r="T528" i="1" s="1"/>
  <c r="H36" i="1"/>
  <c r="H124" i="1"/>
  <c r="H645" i="1"/>
  <c r="T113" i="1"/>
  <c r="T532" i="1"/>
  <c r="H112" i="1"/>
  <c r="H531" i="1"/>
  <c r="S249" i="1"/>
  <c r="T118" i="1"/>
  <c r="T533" i="1"/>
  <c r="H113" i="1"/>
  <c r="H532" i="1"/>
  <c r="T37" i="1"/>
  <c r="T641" i="1" s="1"/>
  <c r="T535" i="1"/>
  <c r="H118" i="1"/>
  <c r="H533" i="1"/>
  <c r="K249" i="1"/>
  <c r="T38" i="1"/>
  <c r="T537" i="1"/>
  <c r="H37" i="1"/>
  <c r="H295" i="1" s="1"/>
  <c r="H535" i="1"/>
  <c r="T117" i="1"/>
  <c r="H38" i="1"/>
  <c r="O112" i="1"/>
  <c r="S38" i="1"/>
  <c r="S526" i="1"/>
  <c r="S528" i="1" s="1"/>
  <c r="N381" i="1"/>
  <c r="N403" i="1" s="1"/>
  <c r="N405" i="1" s="1"/>
  <c r="N198" i="1"/>
  <c r="N220" i="1" s="1"/>
  <c r="N222" i="1" s="1"/>
  <c r="R38" i="1"/>
  <c r="Q38" i="1"/>
  <c r="R537" i="1"/>
  <c r="K111" i="1"/>
  <c r="K533" i="1"/>
  <c r="K535" i="1"/>
  <c r="P38" i="1"/>
  <c r="P638" i="1"/>
  <c r="H238" i="1"/>
  <c r="K36" i="1"/>
  <c r="K638" i="1"/>
  <c r="K117" i="1"/>
  <c r="K124" i="1"/>
  <c r="K532" i="1"/>
  <c r="P118" i="1"/>
  <c r="P535" i="1"/>
  <c r="P37" i="1"/>
  <c r="P295" i="1" s="1"/>
  <c r="P537" i="1"/>
  <c r="P117" i="1"/>
  <c r="P645" i="1"/>
  <c r="P124" i="1"/>
  <c r="K537" i="1"/>
  <c r="K113" i="1"/>
  <c r="K37" i="1"/>
  <c r="K641" i="1" s="1"/>
  <c r="P36" i="1"/>
  <c r="P526" i="1"/>
  <c r="P528" i="1" s="1"/>
  <c r="S238" i="1"/>
  <c r="K118" i="1"/>
  <c r="K645" i="1"/>
  <c r="K38" i="1"/>
  <c r="K526" i="1"/>
  <c r="K528" i="1" s="1"/>
  <c r="P111" i="1"/>
  <c r="P532" i="1"/>
  <c r="K112" i="1"/>
  <c r="P113" i="1"/>
  <c r="P533" i="1"/>
  <c r="Q526" i="1"/>
  <c r="Q528" i="1" s="1"/>
  <c r="J532" i="1"/>
  <c r="J535" i="1"/>
  <c r="J113" i="1"/>
  <c r="J37" i="1"/>
  <c r="J104" i="1" s="1"/>
  <c r="P112" i="1"/>
  <c r="S532" i="1"/>
  <c r="O645" i="1"/>
  <c r="S117" i="1"/>
  <c r="O113" i="1"/>
  <c r="S124" i="1"/>
  <c r="O37" i="1"/>
  <c r="O295" i="1" s="1"/>
  <c r="O118" i="1"/>
  <c r="S36" i="1"/>
  <c r="S533" i="1"/>
  <c r="O38" i="1"/>
  <c r="O526" i="1"/>
  <c r="O528" i="1" s="1"/>
  <c r="J652" i="1"/>
  <c r="S535" i="1"/>
  <c r="O531" i="1"/>
  <c r="S112" i="1"/>
  <c r="S537" i="1"/>
  <c r="O124" i="1"/>
  <c r="O532" i="1"/>
  <c r="S113" i="1"/>
  <c r="O36" i="1"/>
  <c r="O533" i="1"/>
  <c r="S531" i="1"/>
  <c r="O638" i="1"/>
  <c r="S111" i="1"/>
  <c r="O117" i="1"/>
  <c r="P652" i="1"/>
  <c r="S638" i="1"/>
  <c r="S37" i="1"/>
  <c r="S295" i="1" s="1"/>
  <c r="S118" i="1"/>
  <c r="O111" i="1"/>
  <c r="P434" i="1"/>
  <c r="K238" i="1"/>
  <c r="R117" i="1"/>
  <c r="R638" i="1"/>
  <c r="R36" i="1"/>
  <c r="R124" i="1"/>
  <c r="R645" i="1"/>
  <c r="R111" i="1"/>
  <c r="R526" i="1"/>
  <c r="R528" i="1" s="1"/>
  <c r="R112" i="1"/>
  <c r="R531" i="1"/>
  <c r="R113" i="1"/>
  <c r="R532" i="1"/>
  <c r="H652" i="1"/>
  <c r="I238" i="1"/>
  <c r="R118" i="1"/>
  <c r="R533" i="1"/>
  <c r="R37" i="1"/>
  <c r="R641" i="1" s="1"/>
  <c r="Q652" i="1"/>
  <c r="Q117" i="1"/>
  <c r="Q531" i="1"/>
  <c r="R238" i="1"/>
  <c r="R251" i="1" s="1"/>
  <c r="K652" i="1"/>
  <c r="Q36" i="1"/>
  <c r="Q533" i="1"/>
  <c r="Q532" i="1"/>
  <c r="Q111" i="1"/>
  <c r="Q535" i="1"/>
  <c r="N434" i="1"/>
  <c r="Q112" i="1"/>
  <c r="Q537" i="1"/>
  <c r="Q124" i="1"/>
  <c r="Q113" i="1"/>
  <c r="Q638" i="1"/>
  <c r="Q37" i="1"/>
  <c r="Q104" i="1" s="1"/>
  <c r="Q118" i="1"/>
  <c r="M421" i="1"/>
  <c r="M434" i="1" s="1"/>
  <c r="R652" i="1"/>
  <c r="J118" i="1"/>
  <c r="J533" i="1"/>
  <c r="H249" i="1"/>
  <c r="J117" i="1"/>
  <c r="J638" i="1"/>
  <c r="J537" i="1"/>
  <c r="J36" i="1"/>
  <c r="J124" i="1"/>
  <c r="J645" i="1"/>
  <c r="Q238" i="1"/>
  <c r="Q251" i="1" s="1"/>
  <c r="R434" i="1"/>
  <c r="J111" i="1"/>
  <c r="J526" i="1"/>
  <c r="J528" i="1" s="1"/>
  <c r="J38" i="1"/>
  <c r="H434" i="1"/>
  <c r="J112" i="1"/>
  <c r="I249" i="1"/>
  <c r="I434" i="1"/>
  <c r="T238" i="1"/>
  <c r="T251" i="1" s="1"/>
  <c r="T434" i="1"/>
  <c r="Q434" i="1"/>
  <c r="I652" i="1"/>
  <c r="M249" i="1"/>
  <c r="M251" i="1" s="1"/>
  <c r="J238" i="1"/>
  <c r="I113" i="1"/>
  <c r="L118" i="1"/>
  <c r="I638" i="1"/>
  <c r="L533" i="1"/>
  <c r="I118" i="1"/>
  <c r="I645" i="1"/>
  <c r="T652" i="1"/>
  <c r="I37" i="1"/>
  <c r="I478" i="1" s="1"/>
  <c r="I38" i="1"/>
  <c r="I526" i="1"/>
  <c r="I528" i="1" s="1"/>
  <c r="U248" i="1"/>
  <c r="V248" i="1" s="1"/>
  <c r="I117" i="1"/>
  <c r="I531" i="1"/>
  <c r="I124" i="1"/>
  <c r="I532" i="1"/>
  <c r="I36" i="1"/>
  <c r="I533" i="1"/>
  <c r="L238" i="1"/>
  <c r="I111" i="1"/>
  <c r="I535" i="1"/>
  <c r="I112" i="1"/>
  <c r="J432" i="1"/>
  <c r="J434" i="1" s="1"/>
  <c r="J249" i="1"/>
  <c r="M36" i="1"/>
  <c r="M652" i="1"/>
  <c r="M535" i="1"/>
  <c r="L37" i="1"/>
  <c r="L641" i="1" s="1"/>
  <c r="L535" i="1"/>
  <c r="M111" i="1"/>
  <c r="M112" i="1"/>
  <c r="M537" i="1"/>
  <c r="L38" i="1"/>
  <c r="L537" i="1"/>
  <c r="S652" i="1"/>
  <c r="M113" i="1"/>
  <c r="M638" i="1"/>
  <c r="O249" i="1"/>
  <c r="O251" i="1" s="1"/>
  <c r="L117" i="1"/>
  <c r="L638" i="1"/>
  <c r="M37" i="1"/>
  <c r="M641" i="1" s="1"/>
  <c r="M118" i="1"/>
  <c r="M645" i="1"/>
  <c r="L36" i="1"/>
  <c r="L124" i="1"/>
  <c r="L645" i="1"/>
  <c r="O434" i="1"/>
  <c r="M38" i="1"/>
  <c r="M526" i="1"/>
  <c r="M528" i="1" s="1"/>
  <c r="L111" i="1"/>
  <c r="L526" i="1"/>
  <c r="L528" i="1" s="1"/>
  <c r="M117" i="1"/>
  <c r="M531" i="1"/>
  <c r="L112" i="1"/>
  <c r="L531" i="1"/>
  <c r="M124" i="1"/>
  <c r="L113" i="1"/>
  <c r="L249" i="1"/>
  <c r="L432" i="1"/>
  <c r="L434" i="1" s="1"/>
  <c r="U401" i="1"/>
  <c r="V401" i="1" s="1"/>
  <c r="O652" i="1"/>
  <c r="U388" i="1"/>
  <c r="V388" i="1" s="1"/>
  <c r="U431" i="1"/>
  <c r="V431" i="1" s="1"/>
  <c r="U430" i="1"/>
  <c r="V430" i="1" s="1"/>
  <c r="S434" i="1"/>
  <c r="H184" i="1"/>
  <c r="L652" i="1"/>
  <c r="U637" i="1"/>
  <c r="V637" i="1" s="1"/>
  <c r="U218" i="1"/>
  <c r="V218" i="1" s="1"/>
  <c r="U642" i="1"/>
  <c r="V642" i="1" s="1"/>
  <c r="U184" i="1"/>
  <c r="V184" i="1" s="1"/>
  <c r="V166" i="1"/>
  <c r="K434" i="1"/>
  <c r="N40" i="1"/>
  <c r="F25" i="4" s="1"/>
  <c r="N539" i="1"/>
  <c r="F215" i="4" s="1"/>
  <c r="L215" i="4" s="1"/>
  <c r="G432" i="1"/>
  <c r="G249" i="1"/>
  <c r="U57" i="1"/>
  <c r="V57" i="1" s="1"/>
  <c r="U217" i="1"/>
  <c r="V217" i="1" s="1"/>
  <c r="G652" i="1"/>
  <c r="U247" i="1"/>
  <c r="V247" i="1" s="1"/>
  <c r="G653" i="1"/>
  <c r="U400" i="1"/>
  <c r="V349" i="1"/>
  <c r="U367" i="1"/>
  <c r="N478" i="1"/>
  <c r="N641" i="1"/>
  <c r="N295" i="1"/>
  <c r="N104" i="1"/>
  <c r="N107" i="1" s="1"/>
  <c r="N58" i="1"/>
  <c r="N60" i="1" s="1"/>
  <c r="N643" i="1" s="1"/>
  <c r="T478" i="1"/>
  <c r="G645" i="1"/>
  <c r="G638" i="1"/>
  <c r="G537" i="1"/>
  <c r="G535" i="1"/>
  <c r="G533" i="1"/>
  <c r="G532" i="1"/>
  <c r="G531" i="1"/>
  <c r="G526" i="1"/>
  <c r="G118" i="1"/>
  <c r="G113" i="1"/>
  <c r="G112" i="1"/>
  <c r="G111" i="1"/>
  <c r="G36" i="1"/>
  <c r="G124" i="1"/>
  <c r="G117" i="1"/>
  <c r="G38" i="1"/>
  <c r="G37" i="1"/>
  <c r="V29" i="1"/>
  <c r="U33" i="1"/>
  <c r="V33" i="1" s="1"/>
  <c r="U31" i="1"/>
  <c r="V31" i="1" s="1"/>
  <c r="U103" i="1"/>
  <c r="V103" i="1" s="1"/>
  <c r="U105" i="1" l="1"/>
  <c r="V105" i="1" s="1"/>
  <c r="Q107" i="1"/>
  <c r="J107" i="1"/>
  <c r="J644" i="1" s="1"/>
  <c r="O478" i="1"/>
  <c r="O641" i="1"/>
  <c r="N253" i="1"/>
  <c r="T104" i="1"/>
  <c r="T107" i="1" s="1"/>
  <c r="T109" i="1" s="1"/>
  <c r="T58" i="1"/>
  <c r="T60" i="1" s="1"/>
  <c r="T643" i="1" s="1"/>
  <c r="T295" i="1"/>
  <c r="P641" i="1"/>
  <c r="T40" i="1"/>
  <c r="F45" i="4" s="1"/>
  <c r="L45" i="4" s="1"/>
  <c r="O104" i="1"/>
  <c r="O107" i="1" s="1"/>
  <c r="O644" i="1" s="1"/>
  <c r="O58" i="1"/>
  <c r="O60" i="1" s="1"/>
  <c r="O643" i="1" s="1"/>
  <c r="S478" i="1"/>
  <c r="S641" i="1"/>
  <c r="S251" i="1"/>
  <c r="S104" i="1"/>
  <c r="S107" i="1" s="1"/>
  <c r="S644" i="1" s="1"/>
  <c r="S58" i="1"/>
  <c r="S60" i="1" s="1"/>
  <c r="S643" i="1" s="1"/>
  <c r="K251" i="1"/>
  <c r="H539" i="1"/>
  <c r="F198" i="4" s="1"/>
  <c r="Q198" i="4" s="1"/>
  <c r="H641" i="1"/>
  <c r="H478" i="1"/>
  <c r="H40" i="1"/>
  <c r="F8" i="4" s="1"/>
  <c r="K8" i="4" s="1"/>
  <c r="H58" i="1"/>
  <c r="H60" i="1" s="1"/>
  <c r="H643" i="1" s="1"/>
  <c r="H104" i="1"/>
  <c r="H107" i="1" s="1"/>
  <c r="H644" i="1" s="1"/>
  <c r="H251" i="1"/>
  <c r="Q478" i="1"/>
  <c r="Q295" i="1"/>
  <c r="Q58" i="1"/>
  <c r="Q60" i="1" s="1"/>
  <c r="Q643" i="1" s="1"/>
  <c r="Q641" i="1"/>
  <c r="P58" i="1"/>
  <c r="P60" i="1" s="1"/>
  <c r="P643" i="1" s="1"/>
  <c r="P478" i="1"/>
  <c r="P104" i="1"/>
  <c r="P107" i="1" s="1"/>
  <c r="P644" i="1" s="1"/>
  <c r="N436" i="1"/>
  <c r="N655" i="1" s="1"/>
  <c r="N476" i="1" s="1"/>
  <c r="T539" i="1"/>
  <c r="F235" i="4" s="1"/>
  <c r="Q235" i="4" s="1"/>
  <c r="S198" i="4"/>
  <c r="K539" i="1"/>
  <c r="F207" i="4" s="1"/>
  <c r="O381" i="1"/>
  <c r="O403" i="1" s="1"/>
  <c r="O405" i="1" s="1"/>
  <c r="O198" i="1"/>
  <c r="O220" i="1" s="1"/>
  <c r="O222" i="1" s="1"/>
  <c r="T198" i="1"/>
  <c r="T220" i="1" s="1"/>
  <c r="T222" i="1" s="1"/>
  <c r="T381" i="1"/>
  <c r="T403" i="1" s="1"/>
  <c r="T405" i="1" s="1"/>
  <c r="L198" i="1"/>
  <c r="L220" i="1" s="1"/>
  <c r="L222" i="1" s="1"/>
  <c r="L381" i="1"/>
  <c r="L403" i="1" s="1"/>
  <c r="L405" i="1" s="1"/>
  <c r="I198" i="1"/>
  <c r="I220" i="1" s="1"/>
  <c r="I222" i="1" s="1"/>
  <c r="I381" i="1"/>
  <c r="I403" i="1" s="1"/>
  <c r="I405" i="1" s="1"/>
  <c r="H381" i="1"/>
  <c r="H403" i="1" s="1"/>
  <c r="H405" i="1" s="1"/>
  <c r="H198" i="1"/>
  <c r="H220" i="1" s="1"/>
  <c r="H222" i="1" s="1"/>
  <c r="J198" i="1"/>
  <c r="J220" i="1" s="1"/>
  <c r="J222" i="1" s="1"/>
  <c r="J381" i="1"/>
  <c r="J403" i="1" s="1"/>
  <c r="J405" i="1" s="1"/>
  <c r="Q198" i="1"/>
  <c r="Q220" i="1" s="1"/>
  <c r="Q222" i="1" s="1"/>
  <c r="Q381" i="1"/>
  <c r="Q403" i="1" s="1"/>
  <c r="Q405" i="1" s="1"/>
  <c r="S381" i="1"/>
  <c r="S403" i="1" s="1"/>
  <c r="S405" i="1" s="1"/>
  <c r="S198" i="1"/>
  <c r="S220" i="1" s="1"/>
  <c r="S222" i="1" s="1"/>
  <c r="P381" i="1"/>
  <c r="P403" i="1" s="1"/>
  <c r="P405" i="1" s="1"/>
  <c r="P198" i="1"/>
  <c r="P220" i="1" s="1"/>
  <c r="P222" i="1" s="1"/>
  <c r="G381" i="1"/>
  <c r="G198" i="1"/>
  <c r="M198" i="1"/>
  <c r="M220" i="1" s="1"/>
  <c r="M222" i="1" s="1"/>
  <c r="M381" i="1"/>
  <c r="M403" i="1" s="1"/>
  <c r="M405" i="1" s="1"/>
  <c r="R198" i="1"/>
  <c r="R220" i="1" s="1"/>
  <c r="R222" i="1" s="1"/>
  <c r="R381" i="1"/>
  <c r="R403" i="1" s="1"/>
  <c r="R405" i="1" s="1"/>
  <c r="K198" i="1"/>
  <c r="K220" i="1" s="1"/>
  <c r="K222" i="1" s="1"/>
  <c r="K381" i="1"/>
  <c r="K403" i="1" s="1"/>
  <c r="K405" i="1" s="1"/>
  <c r="P40" i="1"/>
  <c r="F32" i="4" s="1"/>
  <c r="O32" i="4" s="1"/>
  <c r="J295" i="1"/>
  <c r="J478" i="1"/>
  <c r="J641" i="1"/>
  <c r="K104" i="1"/>
  <c r="K107" i="1" s="1"/>
  <c r="K644" i="1" s="1"/>
  <c r="K295" i="1"/>
  <c r="K58" i="1"/>
  <c r="K60" i="1" s="1"/>
  <c r="K643" i="1" s="1"/>
  <c r="K40" i="1"/>
  <c r="F17" i="4" s="1"/>
  <c r="K478" i="1"/>
  <c r="P539" i="1"/>
  <c r="F222" i="4" s="1"/>
  <c r="I222" i="4" s="1"/>
  <c r="I295" i="1"/>
  <c r="J58" i="1"/>
  <c r="J60" i="1" s="1"/>
  <c r="J643" i="1" s="1"/>
  <c r="I251" i="1"/>
  <c r="Q40" i="1"/>
  <c r="F36" i="4" s="1"/>
  <c r="Q36" i="4" s="1"/>
  <c r="O40" i="1"/>
  <c r="F31" i="4" s="1"/>
  <c r="K31" i="4" s="1"/>
  <c r="M104" i="1"/>
  <c r="M107" i="1" s="1"/>
  <c r="M644" i="1" s="1"/>
  <c r="M478" i="1"/>
  <c r="R40" i="1"/>
  <c r="F39" i="4" s="1"/>
  <c r="S39" i="4" s="1"/>
  <c r="R478" i="1"/>
  <c r="R58" i="1"/>
  <c r="R60" i="1" s="1"/>
  <c r="R643" i="1" s="1"/>
  <c r="R104" i="1"/>
  <c r="R107" i="1" s="1"/>
  <c r="R126" i="1" s="1"/>
  <c r="R295" i="1"/>
  <c r="O539" i="1"/>
  <c r="F221" i="4" s="1"/>
  <c r="N221" i="4" s="1"/>
  <c r="M58" i="1"/>
  <c r="M60" i="1" s="1"/>
  <c r="M643" i="1" s="1"/>
  <c r="M295" i="1"/>
  <c r="L251" i="1"/>
  <c r="S40" i="1"/>
  <c r="F42" i="4" s="1"/>
  <c r="L42" i="4" s="1"/>
  <c r="J40" i="1"/>
  <c r="F13" i="4" s="1"/>
  <c r="S13" i="4" s="1"/>
  <c r="R539" i="1"/>
  <c r="F229" i="4" s="1"/>
  <c r="H229" i="4" s="1"/>
  <c r="S539" i="1"/>
  <c r="F232" i="4" s="1"/>
  <c r="J232" i="4" s="1"/>
  <c r="U38" i="1"/>
  <c r="V38" i="1" s="1"/>
  <c r="Q539" i="1"/>
  <c r="F226" i="4" s="1"/>
  <c r="N226" i="4" s="1"/>
  <c r="J539" i="1"/>
  <c r="F203" i="4" s="1"/>
  <c r="Q203" i="4" s="1"/>
  <c r="U533" i="1"/>
  <c r="V533" i="1" s="1"/>
  <c r="U537" i="1"/>
  <c r="V537" i="1" s="1"/>
  <c r="U535" i="1"/>
  <c r="V535" i="1" s="1"/>
  <c r="L478" i="1"/>
  <c r="I641" i="1"/>
  <c r="I104" i="1"/>
  <c r="I107" i="1" s="1"/>
  <c r="I644" i="1" s="1"/>
  <c r="I58" i="1"/>
  <c r="I60" i="1" s="1"/>
  <c r="I643" i="1" s="1"/>
  <c r="U532" i="1"/>
  <c r="V532" i="1" s="1"/>
  <c r="I40" i="1"/>
  <c r="F12" i="4" s="1"/>
  <c r="N12" i="4" s="1"/>
  <c r="U124" i="1"/>
  <c r="V124" i="1" s="1"/>
  <c r="I539" i="1"/>
  <c r="F202" i="4" s="1"/>
  <c r="G202" i="4" s="1"/>
  <c r="U249" i="1"/>
  <c r="V249" i="1" s="1"/>
  <c r="U113" i="1"/>
  <c r="V113" i="1" s="1"/>
  <c r="L58" i="1"/>
  <c r="L60" i="1" s="1"/>
  <c r="L643" i="1" s="1"/>
  <c r="L104" i="1"/>
  <c r="L107" i="1" s="1"/>
  <c r="L644" i="1" s="1"/>
  <c r="L295" i="1"/>
  <c r="M539" i="1"/>
  <c r="F212" i="4" s="1"/>
  <c r="J212" i="4" s="1"/>
  <c r="L539" i="1"/>
  <c r="F208" i="4" s="1"/>
  <c r="M208" i="4" s="1"/>
  <c r="U117" i="1"/>
  <c r="V117" i="1" s="1"/>
  <c r="U531" i="1"/>
  <c r="V531" i="1" s="1"/>
  <c r="J251" i="1"/>
  <c r="U36" i="1"/>
  <c r="V36" i="1" s="1"/>
  <c r="U118" i="1"/>
  <c r="V118" i="1" s="1"/>
  <c r="U645" i="1"/>
  <c r="V645" i="1" s="1"/>
  <c r="U111" i="1"/>
  <c r="V111" i="1" s="1"/>
  <c r="U652" i="1"/>
  <c r="V652" i="1" s="1"/>
  <c r="U432" i="1"/>
  <c r="V432" i="1" s="1"/>
  <c r="M40" i="1"/>
  <c r="F22" i="4" s="1"/>
  <c r="I22" i="4" s="1"/>
  <c r="L40" i="1"/>
  <c r="F18" i="4" s="1"/>
  <c r="J18" i="4" s="1"/>
  <c r="U112" i="1"/>
  <c r="V112" i="1" s="1"/>
  <c r="U638" i="1"/>
  <c r="V638" i="1" s="1"/>
  <c r="O215" i="4"/>
  <c r="J215" i="4"/>
  <c r="N215" i="4"/>
  <c r="P215" i="4"/>
  <c r="M215" i="4"/>
  <c r="G215" i="4"/>
  <c r="R215" i="4"/>
  <c r="S215" i="4"/>
  <c r="K215" i="4"/>
  <c r="Q215" i="4"/>
  <c r="H215" i="4"/>
  <c r="I215" i="4"/>
  <c r="T644" i="1"/>
  <c r="T126" i="1"/>
  <c r="J126" i="1"/>
  <c r="N644" i="1"/>
  <c r="N126" i="1"/>
  <c r="N109" i="1"/>
  <c r="V367" i="1"/>
  <c r="U653" i="1"/>
  <c r="V653" i="1" s="1"/>
  <c r="G421" i="1"/>
  <c r="G238" i="1"/>
  <c r="S25" i="4"/>
  <c r="Q25" i="4"/>
  <c r="O25" i="4"/>
  <c r="M25" i="4"/>
  <c r="K25" i="4"/>
  <c r="I25" i="4"/>
  <c r="G25" i="4"/>
  <c r="R25" i="4"/>
  <c r="P25" i="4"/>
  <c r="N25" i="4"/>
  <c r="L25" i="4"/>
  <c r="J25" i="4"/>
  <c r="H25" i="4"/>
  <c r="Q8" i="4"/>
  <c r="O8" i="4"/>
  <c r="M8" i="4"/>
  <c r="I8" i="4"/>
  <c r="G8" i="4"/>
  <c r="R8" i="4"/>
  <c r="N8" i="4"/>
  <c r="L8" i="4"/>
  <c r="J8" i="4"/>
  <c r="G40" i="1"/>
  <c r="G641" i="1"/>
  <c r="G478" i="1"/>
  <c r="G295" i="1"/>
  <c r="G58" i="1"/>
  <c r="G104" i="1"/>
  <c r="U37" i="1"/>
  <c r="V37" i="1" s="1"/>
  <c r="U526" i="1"/>
  <c r="G528" i="1"/>
  <c r="G539" i="1" s="1"/>
  <c r="F197" i="4" s="1"/>
  <c r="Q644" i="1"/>
  <c r="Q109" i="1"/>
  <c r="Q126" i="1"/>
  <c r="H126" i="1"/>
  <c r="N646" i="1"/>
  <c r="N654" i="1"/>
  <c r="V400" i="1"/>
  <c r="F571" i="4"/>
  <c r="N62" i="1"/>
  <c r="I32" i="4" l="1"/>
  <c r="J109" i="1"/>
  <c r="M32" i="4"/>
  <c r="Q32" i="4"/>
  <c r="J32" i="4"/>
  <c r="N32" i="4"/>
  <c r="P8" i="4"/>
  <c r="S8" i="4"/>
  <c r="H62" i="1"/>
  <c r="H8" i="4"/>
  <c r="P62" i="1"/>
  <c r="P32" i="4"/>
  <c r="S32" i="4"/>
  <c r="R32" i="4"/>
  <c r="G32" i="4"/>
  <c r="H32" i="4"/>
  <c r="K32" i="4"/>
  <c r="K33" i="4" s="1"/>
  <c r="L32" i="4"/>
  <c r="K45" i="4"/>
  <c r="N45" i="4"/>
  <c r="M45" i="4"/>
  <c r="P45" i="4"/>
  <c r="O45" i="4"/>
  <c r="R45" i="4"/>
  <c r="Q45" i="4"/>
  <c r="S45" i="4"/>
  <c r="T62" i="1"/>
  <c r="H45" i="4"/>
  <c r="G45" i="4"/>
  <c r="J45" i="4"/>
  <c r="I45" i="4"/>
  <c r="K198" i="4"/>
  <c r="R198" i="4"/>
  <c r="O126" i="1"/>
  <c r="O109" i="1"/>
  <c r="N198" i="4"/>
  <c r="J253" i="1"/>
  <c r="J646" i="1" s="1"/>
  <c r="T253" i="1"/>
  <c r="T646" i="1" s="1"/>
  <c r="O253" i="1"/>
  <c r="O654" i="1" s="1"/>
  <c r="O465" i="1" s="1"/>
  <c r="K42" i="4"/>
  <c r="H109" i="1"/>
  <c r="S126" i="1"/>
  <c r="H13" i="4"/>
  <c r="S109" i="1"/>
  <c r="I235" i="4"/>
  <c r="G235" i="4"/>
  <c r="S235" i="4"/>
  <c r="L235" i="4"/>
  <c r="O235" i="4"/>
  <c r="O62" i="1"/>
  <c r="O477" i="1" s="1"/>
  <c r="P235" i="4"/>
  <c r="M235" i="4"/>
  <c r="H235" i="4"/>
  <c r="R235" i="4"/>
  <c r="K235" i="4"/>
  <c r="J235" i="4"/>
  <c r="N235" i="4"/>
  <c r="O198" i="4"/>
  <c r="H198" i="4"/>
  <c r="L198" i="4"/>
  <c r="I198" i="4"/>
  <c r="P198" i="4"/>
  <c r="J198" i="4"/>
  <c r="M198" i="4"/>
  <c r="G198" i="4"/>
  <c r="O436" i="1"/>
  <c r="O655" i="1" s="1"/>
  <c r="O468" i="1" s="1"/>
  <c r="H253" i="1"/>
  <c r="H646" i="1" s="1"/>
  <c r="P36" i="4"/>
  <c r="O36" i="4"/>
  <c r="N468" i="1"/>
  <c r="J36" i="4"/>
  <c r="M12" i="4"/>
  <c r="N285" i="1"/>
  <c r="Q253" i="1"/>
  <c r="Q654" i="1" s="1"/>
  <c r="Q471" i="1" s="1"/>
  <c r="P12" i="4"/>
  <c r="N293" i="1"/>
  <c r="L253" i="1"/>
  <c r="L646" i="1" s="1"/>
  <c r="R644" i="1"/>
  <c r="M253" i="1"/>
  <c r="M646" i="1" s="1"/>
  <c r="S253" i="1"/>
  <c r="S646" i="1" s="1"/>
  <c r="I436" i="1"/>
  <c r="I655" i="1" s="1"/>
  <c r="I468" i="1" s="1"/>
  <c r="U478" i="1"/>
  <c r="V478" i="1" s="1"/>
  <c r="J202" i="4"/>
  <c r="T436" i="1"/>
  <c r="T655" i="1" s="1"/>
  <c r="T285" i="1" s="1"/>
  <c r="J436" i="1"/>
  <c r="J655" i="1" s="1"/>
  <c r="J476" i="1" s="1"/>
  <c r="S222" i="4"/>
  <c r="P109" i="1"/>
  <c r="P126" i="1"/>
  <c r="L31" i="4"/>
  <c r="N31" i="4"/>
  <c r="M31" i="4"/>
  <c r="O31" i="4"/>
  <c r="O33" i="4" s="1"/>
  <c r="P31" i="4"/>
  <c r="Q31" i="4"/>
  <c r="I229" i="4"/>
  <c r="R31" i="4"/>
  <c r="S31" i="4"/>
  <c r="L436" i="1"/>
  <c r="L655" i="1" s="1"/>
  <c r="L476" i="1" s="1"/>
  <c r="L232" i="4"/>
  <c r="F33" i="4"/>
  <c r="G31" i="4"/>
  <c r="M436" i="1"/>
  <c r="M655" i="1" s="1"/>
  <c r="M285" i="1" s="1"/>
  <c r="H31" i="4"/>
  <c r="I31" i="4"/>
  <c r="I33" i="4" s="1"/>
  <c r="I232" i="4"/>
  <c r="J31" i="4"/>
  <c r="K126" i="1"/>
  <c r="M221" i="4"/>
  <c r="K109" i="1"/>
  <c r="H221" i="4"/>
  <c r="S436" i="1"/>
  <c r="S655" i="1" s="1"/>
  <c r="I253" i="1"/>
  <c r="I646" i="1" s="1"/>
  <c r="P221" i="4"/>
  <c r="M126" i="1"/>
  <c r="R253" i="1"/>
  <c r="R646" i="1" s="1"/>
  <c r="P253" i="1"/>
  <c r="Q436" i="1"/>
  <c r="Q655" i="1" s="1"/>
  <c r="K253" i="1"/>
  <c r="U381" i="1"/>
  <c r="G403" i="1"/>
  <c r="G405" i="1" s="1"/>
  <c r="K436" i="1"/>
  <c r="K655" i="1" s="1"/>
  <c r="P436" i="1"/>
  <c r="P655" i="1" s="1"/>
  <c r="P476" i="1" s="1"/>
  <c r="U198" i="1"/>
  <c r="V198" i="1" s="1"/>
  <c r="G220" i="1"/>
  <c r="R436" i="1"/>
  <c r="R655" i="1" s="1"/>
  <c r="H436" i="1"/>
  <c r="H655" i="1" s="1"/>
  <c r="H293" i="1" s="1"/>
  <c r="K62" i="1"/>
  <c r="K561" i="1" s="1"/>
  <c r="F303" i="4" s="1"/>
  <c r="O226" i="4"/>
  <c r="Q226" i="4"/>
  <c r="J226" i="4"/>
  <c r="L226" i="4"/>
  <c r="P226" i="4"/>
  <c r="G226" i="4"/>
  <c r="R226" i="4"/>
  <c r="I226" i="4"/>
  <c r="M226" i="4"/>
  <c r="L222" i="4"/>
  <c r="O222" i="4"/>
  <c r="M222" i="4"/>
  <c r="N222" i="4"/>
  <c r="N223" i="4" s="1"/>
  <c r="P222" i="4"/>
  <c r="J222" i="4"/>
  <c r="K222" i="4"/>
  <c r="Q222" i="4"/>
  <c r="R222" i="4"/>
  <c r="H222" i="4"/>
  <c r="S226" i="4"/>
  <c r="H226" i="4"/>
  <c r="K226" i="4"/>
  <c r="Q62" i="1"/>
  <c r="Q554" i="1" s="1"/>
  <c r="G36" i="4"/>
  <c r="S36" i="4"/>
  <c r="H36" i="4"/>
  <c r="L36" i="4"/>
  <c r="I36" i="4"/>
  <c r="R36" i="4"/>
  <c r="M36" i="4"/>
  <c r="J62" i="1"/>
  <c r="J477" i="1" s="1"/>
  <c r="K36" i="4"/>
  <c r="N36" i="4"/>
  <c r="R109" i="1"/>
  <c r="M202" i="4"/>
  <c r="M109" i="1"/>
  <c r="O221" i="4"/>
  <c r="R221" i="4"/>
  <c r="Q229" i="4"/>
  <c r="Q221" i="4"/>
  <c r="F223" i="4"/>
  <c r="S221" i="4"/>
  <c r="G221" i="4"/>
  <c r="J221" i="4"/>
  <c r="I221" i="4"/>
  <c r="I223" i="4" s="1"/>
  <c r="L221" i="4"/>
  <c r="K221" i="4"/>
  <c r="G222" i="4"/>
  <c r="D25" i="5" s="1"/>
  <c r="I39" i="4"/>
  <c r="I126" i="1"/>
  <c r="H39" i="4"/>
  <c r="I109" i="1"/>
  <c r="G39" i="4"/>
  <c r="J39" i="4"/>
  <c r="L39" i="4"/>
  <c r="K39" i="4"/>
  <c r="N39" i="4"/>
  <c r="R62" i="1"/>
  <c r="R477" i="1" s="1"/>
  <c r="M39" i="4"/>
  <c r="P39" i="4"/>
  <c r="O39" i="4"/>
  <c r="R39" i="4"/>
  <c r="Q39" i="4"/>
  <c r="I202" i="4"/>
  <c r="H202" i="4"/>
  <c r="K202" i="4"/>
  <c r="L202" i="4"/>
  <c r="O202" i="4"/>
  <c r="N202" i="4"/>
  <c r="P202" i="4"/>
  <c r="S202" i="4"/>
  <c r="Q202" i="4"/>
  <c r="Q204" i="4" s="1"/>
  <c r="R202" i="4"/>
  <c r="R654" i="1"/>
  <c r="R466" i="1" s="1"/>
  <c r="G203" i="4"/>
  <c r="G204" i="4" s="1"/>
  <c r="K203" i="4"/>
  <c r="F204" i="4"/>
  <c r="M203" i="4"/>
  <c r="J203" i="4"/>
  <c r="N203" i="4"/>
  <c r="H203" i="4"/>
  <c r="O203" i="4"/>
  <c r="H654" i="1"/>
  <c r="H466" i="1" s="1"/>
  <c r="I203" i="4"/>
  <c r="L203" i="4"/>
  <c r="S203" i="4"/>
  <c r="P203" i="4"/>
  <c r="R203" i="4"/>
  <c r="S62" i="1"/>
  <c r="S292" i="1" s="1"/>
  <c r="H42" i="4"/>
  <c r="N42" i="4"/>
  <c r="I212" i="4"/>
  <c r="S212" i="4"/>
  <c r="L212" i="4"/>
  <c r="K212" i="4"/>
  <c r="N212" i="4"/>
  <c r="M42" i="4"/>
  <c r="P42" i="4"/>
  <c r="M212" i="4"/>
  <c r="P212" i="4"/>
  <c r="O42" i="4"/>
  <c r="R42" i="4"/>
  <c r="O212" i="4"/>
  <c r="R212" i="4"/>
  <c r="Q42" i="4"/>
  <c r="Q212" i="4"/>
  <c r="S42" i="4"/>
  <c r="H212" i="4"/>
  <c r="G42" i="4"/>
  <c r="J42" i="4"/>
  <c r="G212" i="4"/>
  <c r="I42" i="4"/>
  <c r="G13" i="4"/>
  <c r="J13" i="4"/>
  <c r="I13" i="4"/>
  <c r="L13" i="4"/>
  <c r="K13" i="4"/>
  <c r="N13" i="4"/>
  <c r="N14" i="4" s="1"/>
  <c r="M13" i="4"/>
  <c r="P13" i="4"/>
  <c r="O13" i="4"/>
  <c r="R13" i="4"/>
  <c r="Q13" i="4"/>
  <c r="N232" i="4"/>
  <c r="K232" i="4"/>
  <c r="P232" i="4"/>
  <c r="O232" i="4"/>
  <c r="R232" i="4"/>
  <c r="M232" i="4"/>
  <c r="Q232" i="4"/>
  <c r="S232" i="4"/>
  <c r="H232" i="4"/>
  <c r="G232" i="4"/>
  <c r="O12" i="4"/>
  <c r="R12" i="4"/>
  <c r="N229" i="4"/>
  <c r="Q12" i="4"/>
  <c r="F14" i="4"/>
  <c r="R229" i="4"/>
  <c r="K229" i="4"/>
  <c r="S12" i="4"/>
  <c r="S14" i="4" s="1"/>
  <c r="O229" i="4"/>
  <c r="U641" i="1"/>
  <c r="V641" i="1" s="1"/>
  <c r="H12" i="4"/>
  <c r="H14" i="4" s="1"/>
  <c r="P229" i="4"/>
  <c r="I62" i="1"/>
  <c r="I555" i="1" s="1"/>
  <c r="G12" i="4"/>
  <c r="J12" i="4"/>
  <c r="S229" i="4"/>
  <c r="M229" i="4"/>
  <c r="I12" i="4"/>
  <c r="L12" i="4"/>
  <c r="J229" i="4"/>
  <c r="K12" i="4"/>
  <c r="G229" i="4"/>
  <c r="L229" i="4"/>
  <c r="I18" i="4"/>
  <c r="L18" i="4"/>
  <c r="L208" i="4"/>
  <c r="J285" i="1"/>
  <c r="K208" i="4"/>
  <c r="H208" i="4"/>
  <c r="Q208" i="4"/>
  <c r="G208" i="4"/>
  <c r="H22" i="4"/>
  <c r="L22" i="4"/>
  <c r="S208" i="4"/>
  <c r="P22" i="4"/>
  <c r="L109" i="1"/>
  <c r="P208" i="4"/>
  <c r="L126" i="1"/>
  <c r="J208" i="4"/>
  <c r="I208" i="4"/>
  <c r="R208" i="4"/>
  <c r="N208" i="4"/>
  <c r="F209" i="4"/>
  <c r="O208" i="4"/>
  <c r="U295" i="1"/>
  <c r="V295" i="1" s="1"/>
  <c r="K18" i="4"/>
  <c r="N18" i="4"/>
  <c r="M18" i="4"/>
  <c r="P18" i="4"/>
  <c r="F19" i="4"/>
  <c r="O18" i="4"/>
  <c r="R18" i="4"/>
  <c r="Q18" i="4"/>
  <c r="S18" i="4"/>
  <c r="L62" i="1"/>
  <c r="L554" i="1" s="1"/>
  <c r="H18" i="4"/>
  <c r="G18" i="4"/>
  <c r="K22" i="4"/>
  <c r="O22" i="4"/>
  <c r="S22" i="4"/>
  <c r="J22" i="4"/>
  <c r="M22" i="4"/>
  <c r="M62" i="1"/>
  <c r="M554" i="1" s="1"/>
  <c r="N22" i="4"/>
  <c r="Q22" i="4"/>
  <c r="R22" i="4"/>
  <c r="G22" i="4"/>
  <c r="T215" i="4"/>
  <c r="U215" i="4" s="1"/>
  <c r="F573" i="4"/>
  <c r="T571" i="4"/>
  <c r="U571" i="4" s="1"/>
  <c r="F199" i="4"/>
  <c r="R197" i="4"/>
  <c r="P197" i="4"/>
  <c r="N197" i="4"/>
  <c r="L197" i="4"/>
  <c r="J197" i="4"/>
  <c r="H197" i="4"/>
  <c r="S197" i="4"/>
  <c r="S199" i="4" s="1"/>
  <c r="Q197" i="4"/>
  <c r="Q199" i="4" s="1"/>
  <c r="O197" i="4"/>
  <c r="M197" i="4"/>
  <c r="K197" i="4"/>
  <c r="I197" i="4"/>
  <c r="G197" i="4"/>
  <c r="U58" i="1"/>
  <c r="V58" i="1" s="1"/>
  <c r="G60" i="1"/>
  <c r="G62" i="1" s="1"/>
  <c r="F7" i="4"/>
  <c r="U40" i="1"/>
  <c r="V40" i="1" s="1"/>
  <c r="G434" i="1"/>
  <c r="U421" i="1"/>
  <c r="T25" i="4"/>
  <c r="U25" i="4" s="1"/>
  <c r="H561" i="1"/>
  <c r="F294" i="4" s="1"/>
  <c r="H555" i="1"/>
  <c r="H554" i="1"/>
  <c r="H477" i="1"/>
  <c r="H475" i="1"/>
  <c r="H474" i="1"/>
  <c r="H473" i="1"/>
  <c r="H472" i="1"/>
  <c r="H470" i="1"/>
  <c r="H469" i="1"/>
  <c r="H294" i="1"/>
  <c r="H292" i="1"/>
  <c r="H291" i="1"/>
  <c r="H290" i="1"/>
  <c r="H289" i="1"/>
  <c r="H287" i="1"/>
  <c r="H286" i="1"/>
  <c r="H125" i="1"/>
  <c r="H96" i="1"/>
  <c r="N561" i="1"/>
  <c r="F311" i="4" s="1"/>
  <c r="N477" i="1"/>
  <c r="N555" i="1"/>
  <c r="N554" i="1"/>
  <c r="N475" i="1"/>
  <c r="N474" i="1"/>
  <c r="N473" i="1"/>
  <c r="N472" i="1"/>
  <c r="N470" i="1"/>
  <c r="N469" i="1"/>
  <c r="N294" i="1"/>
  <c r="N292" i="1"/>
  <c r="N291" i="1"/>
  <c r="N290" i="1"/>
  <c r="N289" i="1"/>
  <c r="N287" i="1"/>
  <c r="N286" i="1"/>
  <c r="N125" i="1"/>
  <c r="N96" i="1"/>
  <c r="P561" i="1"/>
  <c r="F318" i="4" s="1"/>
  <c r="P477" i="1"/>
  <c r="P555" i="1"/>
  <c r="P554" i="1"/>
  <c r="P475" i="1"/>
  <c r="P474" i="1"/>
  <c r="P473" i="1"/>
  <c r="P472" i="1"/>
  <c r="P470" i="1"/>
  <c r="P469" i="1"/>
  <c r="P294" i="1"/>
  <c r="P292" i="1"/>
  <c r="P291" i="1"/>
  <c r="P290" i="1"/>
  <c r="P289" i="1"/>
  <c r="P287" i="1"/>
  <c r="P286" i="1"/>
  <c r="P125" i="1"/>
  <c r="P96" i="1"/>
  <c r="T561" i="1"/>
  <c r="F331" i="4" s="1"/>
  <c r="T477" i="1"/>
  <c r="T555" i="1"/>
  <c r="T554" i="1"/>
  <c r="T475" i="1"/>
  <c r="T474" i="1"/>
  <c r="T473" i="1"/>
  <c r="T472" i="1"/>
  <c r="T470" i="1"/>
  <c r="T469" i="1"/>
  <c r="T294" i="1"/>
  <c r="T292" i="1"/>
  <c r="T291" i="1"/>
  <c r="T290" i="1"/>
  <c r="T289" i="1"/>
  <c r="T287" i="1"/>
  <c r="T286" i="1"/>
  <c r="T125" i="1"/>
  <c r="T96" i="1"/>
  <c r="N471" i="1"/>
  <c r="N467" i="1"/>
  <c r="N466" i="1"/>
  <c r="N465" i="1"/>
  <c r="N288" i="1"/>
  <c r="N284" i="1"/>
  <c r="N283" i="1"/>
  <c r="N282" i="1"/>
  <c r="V526" i="1"/>
  <c r="U528" i="1"/>
  <c r="U104" i="1"/>
  <c r="V104" i="1" s="1"/>
  <c r="G107" i="1"/>
  <c r="G251" i="1"/>
  <c r="U238" i="1"/>
  <c r="M33" i="4" l="1"/>
  <c r="J33" i="4"/>
  <c r="N33" i="4"/>
  <c r="T8" i="4"/>
  <c r="U8" i="4" s="1"/>
  <c r="Q33" i="4"/>
  <c r="R33" i="4"/>
  <c r="T654" i="1"/>
  <c r="T465" i="1" s="1"/>
  <c r="G33" i="4"/>
  <c r="M199" i="4"/>
  <c r="P33" i="4"/>
  <c r="S33" i="4"/>
  <c r="T32" i="4"/>
  <c r="U32" i="4" s="1"/>
  <c r="H33" i="4"/>
  <c r="L33" i="4"/>
  <c r="H199" i="4"/>
  <c r="K199" i="4"/>
  <c r="O96" i="1"/>
  <c r="O199" i="4"/>
  <c r="R199" i="4"/>
  <c r="O289" i="1"/>
  <c r="O561" i="1"/>
  <c r="F317" i="4" s="1"/>
  <c r="M317" i="4" s="1"/>
  <c r="O125" i="1"/>
  <c r="O555" i="1"/>
  <c r="O293" i="1"/>
  <c r="O292" i="1"/>
  <c r="O476" i="1"/>
  <c r="O474" i="1"/>
  <c r="O290" i="1"/>
  <c r="O472" i="1"/>
  <c r="O473" i="1"/>
  <c r="O475" i="1"/>
  <c r="O469" i="1"/>
  <c r="O285" i="1"/>
  <c r="O554" i="1"/>
  <c r="O291" i="1"/>
  <c r="O294" i="1"/>
  <c r="O286" i="1"/>
  <c r="O470" i="1"/>
  <c r="O287" i="1"/>
  <c r="T45" i="4"/>
  <c r="U45" i="4" s="1"/>
  <c r="J654" i="1"/>
  <c r="J471" i="1" s="1"/>
  <c r="J293" i="1"/>
  <c r="J468" i="1"/>
  <c r="I199" i="4"/>
  <c r="L654" i="1"/>
  <c r="L471" i="1" s="1"/>
  <c r="O466" i="1"/>
  <c r="O467" i="1"/>
  <c r="O282" i="1"/>
  <c r="O283" i="1"/>
  <c r="O284" i="1"/>
  <c r="O646" i="1"/>
  <c r="O288" i="1"/>
  <c r="O471" i="1"/>
  <c r="N199" i="4"/>
  <c r="K475" i="1"/>
  <c r="K290" i="1"/>
  <c r="K469" i="1"/>
  <c r="K554" i="1"/>
  <c r="K125" i="1"/>
  <c r="L199" i="4"/>
  <c r="T293" i="1"/>
  <c r="T468" i="1"/>
  <c r="T476" i="1"/>
  <c r="Q477" i="1"/>
  <c r="Q287" i="1"/>
  <c r="K472" i="1"/>
  <c r="K291" i="1"/>
  <c r="K555" i="1"/>
  <c r="K473" i="1"/>
  <c r="K292" i="1"/>
  <c r="K474" i="1"/>
  <c r="K294" i="1"/>
  <c r="K286" i="1"/>
  <c r="K470" i="1"/>
  <c r="M14" i="4"/>
  <c r="K287" i="1"/>
  <c r="K477" i="1"/>
  <c r="S654" i="1"/>
  <c r="S288" i="1" s="1"/>
  <c r="K96" i="1"/>
  <c r="K289" i="1"/>
  <c r="T235" i="4"/>
  <c r="U235" i="4" s="1"/>
  <c r="P199" i="4"/>
  <c r="T466" i="1"/>
  <c r="T198" i="4"/>
  <c r="U198" i="4" s="1"/>
  <c r="M654" i="1"/>
  <c r="M282" i="1" s="1"/>
  <c r="J470" i="1"/>
  <c r="Q290" i="1"/>
  <c r="J199" i="4"/>
  <c r="Q555" i="1"/>
  <c r="I285" i="1"/>
  <c r="I476" i="1"/>
  <c r="I293" i="1"/>
  <c r="Q466" i="1"/>
  <c r="Q465" i="1"/>
  <c r="Q646" i="1"/>
  <c r="Q467" i="1"/>
  <c r="Q284" i="1"/>
  <c r="P223" i="4"/>
  <c r="L223" i="4"/>
  <c r="Q283" i="1"/>
  <c r="Q288" i="1"/>
  <c r="Q282" i="1"/>
  <c r="P14" i="4"/>
  <c r="J204" i="4"/>
  <c r="R223" i="4"/>
  <c r="H285" i="1"/>
  <c r="H468" i="1"/>
  <c r="T467" i="1"/>
  <c r="H476" i="1"/>
  <c r="T471" i="1"/>
  <c r="H223" i="4"/>
  <c r="M293" i="1"/>
  <c r="T282" i="1"/>
  <c r="T284" i="1"/>
  <c r="I473" i="1"/>
  <c r="R204" i="4"/>
  <c r="T31" i="4"/>
  <c r="U31" i="4" s="1"/>
  <c r="S204" i="4"/>
  <c r="L285" i="1"/>
  <c r="L293" i="1"/>
  <c r="L468" i="1"/>
  <c r="R474" i="1"/>
  <c r="G436" i="1"/>
  <c r="G655" i="1" s="1"/>
  <c r="I654" i="1"/>
  <c r="I466" i="1" s="1"/>
  <c r="M223" i="4"/>
  <c r="G223" i="4"/>
  <c r="M204" i="4"/>
  <c r="R282" i="1"/>
  <c r="J561" i="1"/>
  <c r="F299" i="4" s="1"/>
  <c r="N299" i="4" s="1"/>
  <c r="M468" i="1"/>
  <c r="M476" i="1"/>
  <c r="G253" i="1"/>
  <c r="G646" i="1" s="1"/>
  <c r="J286" i="1"/>
  <c r="R561" i="1"/>
  <c r="F325" i="4" s="1"/>
  <c r="P325" i="4" s="1"/>
  <c r="P285" i="1"/>
  <c r="P293" i="1"/>
  <c r="R289" i="1"/>
  <c r="P468" i="1"/>
  <c r="S476" i="1"/>
  <c r="S285" i="1"/>
  <c r="S468" i="1"/>
  <c r="S293" i="1"/>
  <c r="R290" i="1"/>
  <c r="R286" i="1"/>
  <c r="R292" i="1"/>
  <c r="O223" i="4"/>
  <c r="R470" i="1"/>
  <c r="R473" i="1"/>
  <c r="S294" i="1"/>
  <c r="P646" i="1"/>
  <c r="P654" i="1"/>
  <c r="Q468" i="1"/>
  <c r="Q293" i="1"/>
  <c r="Q285" i="1"/>
  <c r="Q476" i="1"/>
  <c r="R476" i="1"/>
  <c r="R468" i="1"/>
  <c r="R293" i="1"/>
  <c r="R285" i="1"/>
  <c r="G222" i="1"/>
  <c r="U220" i="1"/>
  <c r="K468" i="1"/>
  <c r="K293" i="1"/>
  <c r="K285" i="1"/>
  <c r="K476" i="1"/>
  <c r="I204" i="4"/>
  <c r="V381" i="1"/>
  <c r="U403" i="1"/>
  <c r="K646" i="1"/>
  <c r="K654" i="1"/>
  <c r="H204" i="4"/>
  <c r="J223" i="4"/>
  <c r="T283" i="1"/>
  <c r="T288" i="1"/>
  <c r="H288" i="1"/>
  <c r="H282" i="1"/>
  <c r="H467" i="1"/>
  <c r="K223" i="4"/>
  <c r="Q223" i="4"/>
  <c r="T226" i="4"/>
  <c r="U226" i="4" s="1"/>
  <c r="Q96" i="1"/>
  <c r="Q291" i="1"/>
  <c r="I291" i="1"/>
  <c r="Q472" i="1"/>
  <c r="Q473" i="1"/>
  <c r="Q294" i="1"/>
  <c r="Q292" i="1"/>
  <c r="Q474" i="1"/>
  <c r="Q469" i="1"/>
  <c r="Q475" i="1"/>
  <c r="Q561" i="1"/>
  <c r="F322" i="4" s="1"/>
  <c r="P322" i="4" s="1"/>
  <c r="T222" i="4"/>
  <c r="U222" i="4" s="1"/>
  <c r="R284" i="1"/>
  <c r="Q286" i="1"/>
  <c r="Q470" i="1"/>
  <c r="Q125" i="1"/>
  <c r="Q289" i="1"/>
  <c r="H465" i="1"/>
  <c r="H284" i="1"/>
  <c r="T36" i="4"/>
  <c r="U36" i="4" s="1"/>
  <c r="J287" i="1"/>
  <c r="J472" i="1"/>
  <c r="J289" i="1"/>
  <c r="J473" i="1"/>
  <c r="R288" i="1"/>
  <c r="J290" i="1"/>
  <c r="J474" i="1"/>
  <c r="J291" i="1"/>
  <c r="J475" i="1"/>
  <c r="J292" i="1"/>
  <c r="J554" i="1"/>
  <c r="R465" i="1"/>
  <c r="J96" i="1"/>
  <c r="J294" i="1"/>
  <c r="J555" i="1"/>
  <c r="R283" i="1"/>
  <c r="J125" i="1"/>
  <c r="J469" i="1"/>
  <c r="L204" i="4"/>
  <c r="T221" i="4"/>
  <c r="U221" i="4" s="1"/>
  <c r="R287" i="1"/>
  <c r="R472" i="1"/>
  <c r="S223" i="4"/>
  <c r="K204" i="4"/>
  <c r="P204" i="4"/>
  <c r="R291" i="1"/>
  <c r="R475" i="1"/>
  <c r="R96" i="1"/>
  <c r="R294" i="1"/>
  <c r="R555" i="1"/>
  <c r="R554" i="1"/>
  <c r="R125" i="1"/>
  <c r="R469" i="1"/>
  <c r="T202" i="4"/>
  <c r="U202" i="4" s="1"/>
  <c r="T39" i="4"/>
  <c r="U39" i="4" s="1"/>
  <c r="S474" i="1"/>
  <c r="S475" i="1"/>
  <c r="S469" i="1"/>
  <c r="S286" i="1"/>
  <c r="S470" i="1"/>
  <c r="S477" i="1"/>
  <c r="O14" i="4"/>
  <c r="S289" i="1"/>
  <c r="S125" i="1"/>
  <c r="S290" i="1"/>
  <c r="S554" i="1"/>
  <c r="S287" i="1"/>
  <c r="S291" i="1"/>
  <c r="N204" i="4"/>
  <c r="S96" i="1"/>
  <c r="S561" i="1"/>
  <c r="F328" i="4" s="1"/>
  <c r="N328" i="4" s="1"/>
  <c r="S472" i="1"/>
  <c r="S555" i="1"/>
  <c r="S473" i="1"/>
  <c r="K14" i="4"/>
  <c r="R471" i="1"/>
  <c r="R467" i="1"/>
  <c r="M555" i="1"/>
  <c r="Q14" i="4"/>
  <c r="T203" i="4"/>
  <c r="U203" i="4" s="1"/>
  <c r="M290" i="1"/>
  <c r="L14" i="4"/>
  <c r="O204" i="4"/>
  <c r="M472" i="1"/>
  <c r="M291" i="1"/>
  <c r="H471" i="1"/>
  <c r="H283" i="1"/>
  <c r="M292" i="1"/>
  <c r="M474" i="1"/>
  <c r="M287" i="1"/>
  <c r="M477" i="1"/>
  <c r="I292" i="1"/>
  <c r="I475" i="1"/>
  <c r="I294" i="1"/>
  <c r="I477" i="1"/>
  <c r="I469" i="1"/>
  <c r="I474" i="1"/>
  <c r="I286" i="1"/>
  <c r="I470" i="1"/>
  <c r="T42" i="4"/>
  <c r="U42" i="4" s="1"/>
  <c r="I96" i="1"/>
  <c r="I287" i="1"/>
  <c r="I561" i="1"/>
  <c r="F298" i="4" s="1"/>
  <c r="H298" i="4" s="1"/>
  <c r="I125" i="1"/>
  <c r="I289" i="1"/>
  <c r="I554" i="1"/>
  <c r="I472" i="1"/>
  <c r="I290" i="1"/>
  <c r="J14" i="4"/>
  <c r="R14" i="4"/>
  <c r="I14" i="4"/>
  <c r="T212" i="4"/>
  <c r="U212" i="4" s="1"/>
  <c r="L473" i="1"/>
  <c r="T13" i="4"/>
  <c r="U13" i="4" s="1"/>
  <c r="L287" i="1"/>
  <c r="T232" i="4"/>
  <c r="U232" i="4" s="1"/>
  <c r="L289" i="1"/>
  <c r="L474" i="1"/>
  <c r="L290" i="1"/>
  <c r="L475" i="1"/>
  <c r="L291" i="1"/>
  <c r="L555" i="1"/>
  <c r="L292" i="1"/>
  <c r="L561" i="1"/>
  <c r="F304" i="4" s="1"/>
  <c r="H304" i="4" s="1"/>
  <c r="L469" i="1"/>
  <c r="L125" i="1"/>
  <c r="L470" i="1"/>
  <c r="L286" i="1"/>
  <c r="L472" i="1"/>
  <c r="T12" i="4"/>
  <c r="U12" i="4" s="1"/>
  <c r="G14" i="4"/>
  <c r="T229" i="4"/>
  <c r="U229" i="4" s="1"/>
  <c r="E25" i="5"/>
  <c r="F25" i="5" s="1"/>
  <c r="L96" i="1"/>
  <c r="L294" i="1"/>
  <c r="L477" i="1"/>
  <c r="M96" i="1"/>
  <c r="M294" i="1"/>
  <c r="M473" i="1"/>
  <c r="M469" i="1"/>
  <c r="M475" i="1"/>
  <c r="M470" i="1"/>
  <c r="M286" i="1"/>
  <c r="M561" i="1"/>
  <c r="F308" i="4" s="1"/>
  <c r="Q308" i="4" s="1"/>
  <c r="M125" i="1"/>
  <c r="M289" i="1"/>
  <c r="F237" i="4"/>
  <c r="F358" i="4" s="1"/>
  <c r="T208" i="4"/>
  <c r="U208" i="4" s="1"/>
  <c r="J467" i="1"/>
  <c r="J284" i="1"/>
  <c r="J282" i="1"/>
  <c r="J288" i="1"/>
  <c r="T18" i="4"/>
  <c r="U18" i="4" s="1"/>
  <c r="T22" i="4"/>
  <c r="U22" i="4" s="1"/>
  <c r="N480" i="1"/>
  <c r="N482" i="1" s="1"/>
  <c r="N120" i="1" s="1"/>
  <c r="N129" i="1" s="1"/>
  <c r="F73" i="4" s="1"/>
  <c r="N297" i="1"/>
  <c r="N299" i="1" s="1"/>
  <c r="F167" i="4" s="1"/>
  <c r="U251" i="1"/>
  <c r="V238" i="1"/>
  <c r="R331" i="4"/>
  <c r="P331" i="4"/>
  <c r="N331" i="4"/>
  <c r="L331" i="4"/>
  <c r="J331" i="4"/>
  <c r="H331" i="4"/>
  <c r="S331" i="4"/>
  <c r="Q331" i="4"/>
  <c r="O331" i="4"/>
  <c r="M331" i="4"/>
  <c r="K331" i="4"/>
  <c r="I331" i="4"/>
  <c r="G331" i="4"/>
  <c r="S318" i="4"/>
  <c r="Q318" i="4"/>
  <c r="O318" i="4"/>
  <c r="M318" i="4"/>
  <c r="K318" i="4"/>
  <c r="I318" i="4"/>
  <c r="G318" i="4"/>
  <c r="R318" i="4"/>
  <c r="P318" i="4"/>
  <c r="N318" i="4"/>
  <c r="L318" i="4"/>
  <c r="J318" i="4"/>
  <c r="H318" i="4"/>
  <c r="S311" i="4"/>
  <c r="Q311" i="4"/>
  <c r="O311" i="4"/>
  <c r="M311" i="4"/>
  <c r="K311" i="4"/>
  <c r="I311" i="4"/>
  <c r="G311" i="4"/>
  <c r="R311" i="4"/>
  <c r="P311" i="4"/>
  <c r="N311" i="4"/>
  <c r="L311" i="4"/>
  <c r="J311" i="4"/>
  <c r="H311" i="4"/>
  <c r="G555" i="1"/>
  <c r="G554" i="1"/>
  <c r="G561" i="1"/>
  <c r="G470" i="1"/>
  <c r="G469" i="1"/>
  <c r="G294" i="1"/>
  <c r="G292" i="1"/>
  <c r="G291" i="1"/>
  <c r="G290" i="1"/>
  <c r="G289" i="1"/>
  <c r="G287" i="1"/>
  <c r="G286" i="1"/>
  <c r="G477" i="1"/>
  <c r="G475" i="1"/>
  <c r="G474" i="1"/>
  <c r="G473" i="1"/>
  <c r="G472" i="1"/>
  <c r="G125" i="1"/>
  <c r="G96" i="1"/>
  <c r="F574" i="4"/>
  <c r="R573" i="4"/>
  <c r="P573" i="4"/>
  <c r="N573" i="4"/>
  <c r="L573" i="4"/>
  <c r="L574" i="4" s="1"/>
  <c r="J573" i="4"/>
  <c r="J574" i="4" s="1"/>
  <c r="H573" i="4"/>
  <c r="H574" i="4" s="1"/>
  <c r="S573" i="4"/>
  <c r="Q573" i="4"/>
  <c r="O573" i="4"/>
  <c r="M573" i="4"/>
  <c r="M574" i="4" s="1"/>
  <c r="K573" i="4"/>
  <c r="K574" i="4" s="1"/>
  <c r="I573" i="4"/>
  <c r="I574" i="4" s="1"/>
  <c r="G573" i="4"/>
  <c r="G644" i="1"/>
  <c r="U644" i="1" s="1"/>
  <c r="V644" i="1" s="1"/>
  <c r="G109" i="1"/>
  <c r="U109" i="1" s="1"/>
  <c r="V109" i="1" s="1"/>
  <c r="U107" i="1"/>
  <c r="V107" i="1" s="1"/>
  <c r="G126" i="1"/>
  <c r="U126" i="1" s="1"/>
  <c r="V126" i="1" s="1"/>
  <c r="V528" i="1"/>
  <c r="U539" i="1"/>
  <c r="V539" i="1" s="1"/>
  <c r="S294" i="4"/>
  <c r="Q294" i="4"/>
  <c r="O294" i="4"/>
  <c r="M294" i="4"/>
  <c r="K294" i="4"/>
  <c r="I294" i="4"/>
  <c r="G294" i="4"/>
  <c r="R294" i="4"/>
  <c r="P294" i="4"/>
  <c r="N294" i="4"/>
  <c r="L294" i="4"/>
  <c r="J294" i="4"/>
  <c r="H294" i="4"/>
  <c r="V421" i="1"/>
  <c r="U434" i="1"/>
  <c r="S7" i="4"/>
  <c r="S9" i="4" s="1"/>
  <c r="Q7" i="4"/>
  <c r="Q9" i="4" s="1"/>
  <c r="O7" i="4"/>
  <c r="O9" i="4" s="1"/>
  <c r="M7" i="4"/>
  <c r="M9" i="4" s="1"/>
  <c r="K7" i="4"/>
  <c r="K9" i="4" s="1"/>
  <c r="I7" i="4"/>
  <c r="I9" i="4" s="1"/>
  <c r="G7" i="4"/>
  <c r="F9" i="4"/>
  <c r="F47" i="4" s="1"/>
  <c r="R7" i="4"/>
  <c r="R9" i="4" s="1"/>
  <c r="P7" i="4"/>
  <c r="P9" i="4" s="1"/>
  <c r="N7" i="4"/>
  <c r="N9" i="4" s="1"/>
  <c r="L7" i="4"/>
  <c r="L9" i="4" s="1"/>
  <c r="J7" i="4"/>
  <c r="J9" i="4" s="1"/>
  <c r="H7" i="4"/>
  <c r="H9" i="4" s="1"/>
  <c r="G643" i="1"/>
  <c r="U643" i="1" s="1"/>
  <c r="V643" i="1" s="1"/>
  <c r="U60" i="1"/>
  <c r="V60" i="1" s="1"/>
  <c r="T197" i="4"/>
  <c r="U197" i="4" s="1"/>
  <c r="G199" i="4"/>
  <c r="P317" i="4" l="1"/>
  <c r="P319" i="4" s="1"/>
  <c r="L282" i="1"/>
  <c r="N317" i="4"/>
  <c r="R317" i="4"/>
  <c r="O317" i="4"/>
  <c r="Q317" i="4"/>
  <c r="Q319" i="4" s="1"/>
  <c r="S317" i="4"/>
  <c r="S319" i="4" s="1"/>
  <c r="F319" i="4"/>
  <c r="L465" i="1"/>
  <c r="L466" i="1"/>
  <c r="H317" i="4"/>
  <c r="H319" i="4" s="1"/>
  <c r="I317" i="4"/>
  <c r="I319" i="4" s="1"/>
  <c r="L283" i="1"/>
  <c r="J317" i="4"/>
  <c r="J319" i="4" s="1"/>
  <c r="K317" i="4"/>
  <c r="K319" i="4" s="1"/>
  <c r="L284" i="1"/>
  <c r="G317" i="4"/>
  <c r="G319" i="4" s="1"/>
  <c r="L317" i="4"/>
  <c r="L319" i="4" s="1"/>
  <c r="T33" i="4"/>
  <c r="U33" i="4" s="1"/>
  <c r="J465" i="1"/>
  <c r="J283" i="1"/>
  <c r="J466" i="1"/>
  <c r="S582" i="4"/>
  <c r="R582" i="4"/>
  <c r="Q582" i="4"/>
  <c r="O582" i="4"/>
  <c r="N582" i="4"/>
  <c r="P582" i="4"/>
  <c r="O297" i="1"/>
  <c r="O299" i="1" s="1"/>
  <c r="F173" i="4" s="1"/>
  <c r="L173" i="4" s="1"/>
  <c r="O480" i="1"/>
  <c r="O482" i="1" s="1"/>
  <c r="F125" i="4" s="1"/>
  <c r="L467" i="1"/>
  <c r="L288" i="1"/>
  <c r="O325" i="4"/>
  <c r="M467" i="1"/>
  <c r="M288" i="1"/>
  <c r="M465" i="1"/>
  <c r="M471" i="1"/>
  <c r="M283" i="1"/>
  <c r="S467" i="1"/>
  <c r="S466" i="1"/>
  <c r="S471" i="1"/>
  <c r="S465" i="1"/>
  <c r="S282" i="1"/>
  <c r="S283" i="1"/>
  <c r="S284" i="1"/>
  <c r="R325" i="4"/>
  <c r="M466" i="1"/>
  <c r="M284" i="1"/>
  <c r="G298" i="4"/>
  <c r="K298" i="4"/>
  <c r="K322" i="4"/>
  <c r="O322" i="4"/>
  <c r="I288" i="1"/>
  <c r="S322" i="4"/>
  <c r="I467" i="1"/>
  <c r="J322" i="4"/>
  <c r="I471" i="1"/>
  <c r="R322" i="4"/>
  <c r="I465" i="1"/>
  <c r="I284" i="1"/>
  <c r="G322" i="4"/>
  <c r="I282" i="1"/>
  <c r="I322" i="4"/>
  <c r="I283" i="1"/>
  <c r="T480" i="1"/>
  <c r="T482" i="1" s="1"/>
  <c r="F139" i="4" s="1"/>
  <c r="O139" i="4" s="1"/>
  <c r="T297" i="1"/>
  <c r="T299" i="1" s="1"/>
  <c r="F187" i="4" s="1"/>
  <c r="O187" i="4" s="1"/>
  <c r="P308" i="4"/>
  <c r="M299" i="4"/>
  <c r="P299" i="4"/>
  <c r="O299" i="4"/>
  <c r="R299" i="4"/>
  <c r="Q299" i="4"/>
  <c r="S299" i="4"/>
  <c r="H299" i="4"/>
  <c r="H300" i="4" s="1"/>
  <c r="G299" i="4"/>
  <c r="J299" i="4"/>
  <c r="I299" i="4"/>
  <c r="L299" i="4"/>
  <c r="K299" i="4"/>
  <c r="Q328" i="4"/>
  <c r="U646" i="1"/>
  <c r="V646" i="1" s="1"/>
  <c r="Q325" i="4"/>
  <c r="S325" i="4"/>
  <c r="H325" i="4"/>
  <c r="G325" i="4"/>
  <c r="J325" i="4"/>
  <c r="L325" i="4"/>
  <c r="G654" i="1"/>
  <c r="G465" i="1" s="1"/>
  <c r="I325" i="4"/>
  <c r="K325" i="4"/>
  <c r="N325" i="4"/>
  <c r="M325" i="4"/>
  <c r="P471" i="1"/>
  <c r="P282" i="1"/>
  <c r="P283" i="1"/>
  <c r="P465" i="1"/>
  <c r="P466" i="1"/>
  <c r="P288" i="1"/>
  <c r="P467" i="1"/>
  <c r="P284" i="1"/>
  <c r="J298" i="4"/>
  <c r="N298" i="4"/>
  <c r="N300" i="4" s="1"/>
  <c r="K466" i="1"/>
  <c r="K465" i="1"/>
  <c r="K282" i="1"/>
  <c r="K471" i="1"/>
  <c r="K467" i="1"/>
  <c r="K283" i="1"/>
  <c r="K288" i="1"/>
  <c r="K284" i="1"/>
  <c r="V220" i="1"/>
  <c r="U222" i="1"/>
  <c r="V222" i="1" s="1"/>
  <c r="U405" i="1"/>
  <c r="V405" i="1" s="1"/>
  <c r="V403" i="1"/>
  <c r="J304" i="4"/>
  <c r="N322" i="4"/>
  <c r="Q322" i="4"/>
  <c r="H322" i="4"/>
  <c r="L322" i="4"/>
  <c r="M322" i="4"/>
  <c r="H480" i="1"/>
  <c r="H482" i="1" s="1"/>
  <c r="F103" i="4" s="1"/>
  <c r="P103" i="4" s="1"/>
  <c r="R297" i="1"/>
  <c r="R299" i="1" s="1"/>
  <c r="F181" i="4" s="1"/>
  <c r="Q181" i="4" s="1"/>
  <c r="Q480" i="1"/>
  <c r="Q482" i="1" s="1"/>
  <c r="F130" i="4" s="1"/>
  <c r="F496" i="4" s="1"/>
  <c r="F498" i="4" s="1"/>
  <c r="Q297" i="1"/>
  <c r="Q299" i="1" s="1"/>
  <c r="F178" i="4" s="1"/>
  <c r="S178" i="4" s="1"/>
  <c r="T223" i="4"/>
  <c r="U223" i="4" s="1"/>
  <c r="S308" i="4"/>
  <c r="H297" i="1"/>
  <c r="H299" i="1" s="1"/>
  <c r="F150" i="4" s="1"/>
  <c r="P150" i="4" s="1"/>
  <c r="T204" i="4"/>
  <c r="U204" i="4" s="1"/>
  <c r="U555" i="1"/>
  <c r="V555" i="1" s="1"/>
  <c r="P328" i="4"/>
  <c r="M328" i="4"/>
  <c r="U291" i="1"/>
  <c r="V291" i="1" s="1"/>
  <c r="I298" i="4"/>
  <c r="L298" i="4"/>
  <c r="O328" i="4"/>
  <c r="R328" i="4"/>
  <c r="S328" i="4"/>
  <c r="H328" i="4"/>
  <c r="P298" i="4"/>
  <c r="G328" i="4"/>
  <c r="J328" i="4"/>
  <c r="R480" i="1"/>
  <c r="R482" i="1" s="1"/>
  <c r="F133" i="4" s="1"/>
  <c r="M298" i="4"/>
  <c r="R298" i="4"/>
  <c r="Q298" i="4"/>
  <c r="F300" i="4"/>
  <c r="S298" i="4"/>
  <c r="U286" i="1"/>
  <c r="V286" i="1" s="1"/>
  <c r="I328" i="4"/>
  <c r="L328" i="4"/>
  <c r="O298" i="4"/>
  <c r="K328" i="4"/>
  <c r="U472" i="1"/>
  <c r="V472" i="1" s="1"/>
  <c r="U290" i="1"/>
  <c r="V290" i="1" s="1"/>
  <c r="U287" i="1"/>
  <c r="V287" i="1" s="1"/>
  <c r="U470" i="1"/>
  <c r="V470" i="1" s="1"/>
  <c r="U125" i="1"/>
  <c r="V125" i="1" s="1"/>
  <c r="U474" i="1"/>
  <c r="V474" i="1" s="1"/>
  <c r="T14" i="4"/>
  <c r="U14" i="4" s="1"/>
  <c r="F120" i="4"/>
  <c r="G304" i="4"/>
  <c r="R308" i="4"/>
  <c r="G308" i="4"/>
  <c r="I308" i="4"/>
  <c r="H308" i="4"/>
  <c r="K308" i="4"/>
  <c r="J308" i="4"/>
  <c r="M308" i="4"/>
  <c r="L308" i="4"/>
  <c r="O308" i="4"/>
  <c r="U475" i="1"/>
  <c r="V475" i="1" s="1"/>
  <c r="N308" i="4"/>
  <c r="U477" i="1"/>
  <c r="V477" i="1" s="1"/>
  <c r="U473" i="1"/>
  <c r="V473" i="1" s="1"/>
  <c r="U292" i="1"/>
  <c r="V292" i="1" s="1"/>
  <c r="I304" i="4"/>
  <c r="L304" i="4"/>
  <c r="K304" i="4"/>
  <c r="N304" i="4"/>
  <c r="U469" i="1"/>
  <c r="V469" i="1" s="1"/>
  <c r="M304" i="4"/>
  <c r="P304" i="4"/>
  <c r="O304" i="4"/>
  <c r="R304" i="4"/>
  <c r="Q304" i="4"/>
  <c r="S304" i="4"/>
  <c r="F305" i="4"/>
  <c r="U289" i="1"/>
  <c r="V289" i="1" s="1"/>
  <c r="U294" i="1"/>
  <c r="V294" i="1" s="1"/>
  <c r="N319" i="4"/>
  <c r="J297" i="1"/>
  <c r="J299" i="1" s="1"/>
  <c r="F155" i="4" s="1"/>
  <c r="O155" i="4" s="1"/>
  <c r="O556" i="1"/>
  <c r="O558" i="1" s="1"/>
  <c r="F269" i="4" s="1"/>
  <c r="M269" i="4" s="1"/>
  <c r="R319" i="4"/>
  <c r="M319" i="4"/>
  <c r="N556" i="1"/>
  <c r="N558" i="1" s="1"/>
  <c r="F263" i="4" s="1"/>
  <c r="G263" i="4" s="1"/>
  <c r="O319" i="4"/>
  <c r="H575" i="4"/>
  <c r="H303" i="4" s="1"/>
  <c r="H305" i="4" s="1"/>
  <c r="I575" i="4"/>
  <c r="L575" i="4"/>
  <c r="K575" i="4"/>
  <c r="J575" i="4"/>
  <c r="T331" i="4"/>
  <c r="U331" i="4" s="1"/>
  <c r="G9" i="4"/>
  <c r="T7" i="4"/>
  <c r="U7" i="4" s="1"/>
  <c r="R575" i="4"/>
  <c r="P575" i="4"/>
  <c r="N575" i="4"/>
  <c r="S575" i="4"/>
  <c r="Q575" i="4"/>
  <c r="O575" i="4"/>
  <c r="M575" i="4"/>
  <c r="U96" i="1"/>
  <c r="V96" i="1" s="1"/>
  <c r="F293" i="4"/>
  <c r="U561" i="1"/>
  <c r="V561" i="1" s="1"/>
  <c r="U655" i="1"/>
  <c r="V655" i="1" s="1"/>
  <c r="G468" i="1"/>
  <c r="U468" i="1" s="1"/>
  <c r="V468" i="1" s="1"/>
  <c r="G293" i="1"/>
  <c r="U293" i="1" s="1"/>
  <c r="V293" i="1" s="1"/>
  <c r="G285" i="1"/>
  <c r="U285" i="1" s="1"/>
  <c r="V285" i="1" s="1"/>
  <c r="G476" i="1"/>
  <c r="U476" i="1" s="1"/>
  <c r="V476" i="1" s="1"/>
  <c r="D18" i="5"/>
  <c r="T318" i="4"/>
  <c r="U318" i="4" s="1"/>
  <c r="V251" i="1"/>
  <c r="U253" i="1"/>
  <c r="V253" i="1" s="1"/>
  <c r="P173" i="4"/>
  <c r="N173" i="4"/>
  <c r="M173" i="4"/>
  <c r="T311" i="4"/>
  <c r="U311" i="4" s="1"/>
  <c r="T199" i="4"/>
  <c r="U199" i="4" s="1"/>
  <c r="V434" i="1"/>
  <c r="U436" i="1"/>
  <c r="R167" i="4"/>
  <c r="P167" i="4"/>
  <c r="N167" i="4"/>
  <c r="L167" i="4"/>
  <c r="J167" i="4"/>
  <c r="H167" i="4"/>
  <c r="S167" i="4"/>
  <c r="Q167" i="4"/>
  <c r="O167" i="4"/>
  <c r="M167" i="4"/>
  <c r="K167" i="4"/>
  <c r="I167" i="4"/>
  <c r="G167" i="4"/>
  <c r="S73" i="4"/>
  <c r="Q73" i="4"/>
  <c r="O73" i="4"/>
  <c r="M73" i="4"/>
  <c r="K73" i="4"/>
  <c r="I73" i="4"/>
  <c r="G73" i="4"/>
  <c r="R73" i="4"/>
  <c r="P73" i="4"/>
  <c r="N73" i="4"/>
  <c r="L73" i="4"/>
  <c r="J73" i="4"/>
  <c r="H73" i="4"/>
  <c r="G574" i="4"/>
  <c r="T573" i="4"/>
  <c r="U573" i="4" s="1"/>
  <c r="U554" i="1"/>
  <c r="V554" i="1" s="1"/>
  <c r="T294" i="4"/>
  <c r="U294" i="4" s="1"/>
  <c r="J480" i="1" l="1"/>
  <c r="J482" i="1" s="1"/>
  <c r="F108" i="4" s="1"/>
  <c r="S108" i="4" s="1"/>
  <c r="K173" i="4"/>
  <c r="E18" i="5"/>
  <c r="L297" i="1"/>
  <c r="L299" i="1" s="1"/>
  <c r="F160" i="4" s="1"/>
  <c r="T317" i="4"/>
  <c r="U317" i="4" s="1"/>
  <c r="L480" i="1"/>
  <c r="L482" i="1" s="1"/>
  <c r="F113" i="4" s="1"/>
  <c r="O120" i="1"/>
  <c r="O129" i="1" s="1"/>
  <c r="F79" i="4" s="1"/>
  <c r="I79" i="4" s="1"/>
  <c r="K139" i="4"/>
  <c r="F530" i="4"/>
  <c r="F532" i="4" s="1"/>
  <c r="P498" i="4"/>
  <c r="H498" i="4"/>
  <c r="H499" i="4" s="1"/>
  <c r="O498" i="4"/>
  <c r="F499" i="4"/>
  <c r="Q498" i="4"/>
  <c r="N498" i="4"/>
  <c r="S498" i="4"/>
  <c r="R498" i="4"/>
  <c r="I498" i="4"/>
  <c r="I499" i="4" s="1"/>
  <c r="M498" i="4"/>
  <c r="M499" i="4" s="1"/>
  <c r="L498" i="4"/>
  <c r="L499" i="4" s="1"/>
  <c r="K498" i="4"/>
  <c r="K499" i="4" s="1"/>
  <c r="K500" i="4" s="1"/>
  <c r="K130" i="4" s="1"/>
  <c r="J498" i="4"/>
  <c r="J499" i="4" s="1"/>
  <c r="G498" i="4"/>
  <c r="F507" i="4"/>
  <c r="F509" i="4" s="1"/>
  <c r="S125" i="4"/>
  <c r="F475" i="4"/>
  <c r="F477" i="4" s="1"/>
  <c r="F478" i="4" s="1"/>
  <c r="S130" i="4"/>
  <c r="F465" i="4"/>
  <c r="F467" i="4" s="1"/>
  <c r="N125" i="4"/>
  <c r="Q173" i="4"/>
  <c r="P125" i="4"/>
  <c r="S173" i="4"/>
  <c r="R173" i="4"/>
  <c r="R125" i="4"/>
  <c r="H173" i="4"/>
  <c r="O173" i="4"/>
  <c r="O125" i="4"/>
  <c r="Q125" i="4"/>
  <c r="G173" i="4"/>
  <c r="J173" i="4"/>
  <c r="I173" i="4"/>
  <c r="S297" i="1"/>
  <c r="S299" i="1" s="1"/>
  <c r="F184" i="4" s="1"/>
  <c r="O184" i="4" s="1"/>
  <c r="M297" i="1"/>
  <c r="M299" i="1" s="1"/>
  <c r="M556" i="1" s="1"/>
  <c r="M558" i="1" s="1"/>
  <c r="F260" i="4" s="1"/>
  <c r="G260" i="4" s="1"/>
  <c r="S480" i="1"/>
  <c r="S482" i="1" s="1"/>
  <c r="S120" i="1" s="1"/>
  <c r="S129" i="1" s="1"/>
  <c r="F90" i="4" s="1"/>
  <c r="R90" i="4" s="1"/>
  <c r="M480" i="1"/>
  <c r="M482" i="1" s="1"/>
  <c r="F117" i="4" s="1"/>
  <c r="R117" i="4" s="1"/>
  <c r="I297" i="1"/>
  <c r="I299" i="1" s="1"/>
  <c r="F154" i="4" s="1"/>
  <c r="M154" i="4" s="1"/>
  <c r="I480" i="1"/>
  <c r="I482" i="1" s="1"/>
  <c r="F107" i="4" s="1"/>
  <c r="O107" i="4" s="1"/>
  <c r="L139" i="4"/>
  <c r="P139" i="4"/>
  <c r="R139" i="4"/>
  <c r="M139" i="4"/>
  <c r="J139" i="4"/>
  <c r="N139" i="4"/>
  <c r="Q139" i="4"/>
  <c r="S139" i="4"/>
  <c r="G139" i="4"/>
  <c r="I139" i="4"/>
  <c r="H139" i="4"/>
  <c r="T120" i="1"/>
  <c r="T129" i="1" s="1"/>
  <c r="F93" i="4" s="1"/>
  <c r="Q93" i="4" s="1"/>
  <c r="K300" i="4"/>
  <c r="G300" i="4"/>
  <c r="R300" i="4"/>
  <c r="P300" i="4"/>
  <c r="O133" i="4"/>
  <c r="J300" i="4"/>
  <c r="Q120" i="1"/>
  <c r="Q129" i="1" s="1"/>
  <c r="F84" i="4" s="1"/>
  <c r="Q84" i="4" s="1"/>
  <c r="M300" i="4"/>
  <c r="R130" i="4"/>
  <c r="O130" i="4"/>
  <c r="N130" i="4"/>
  <c r="Q130" i="4"/>
  <c r="P130" i="4"/>
  <c r="O300" i="4"/>
  <c r="L300" i="4"/>
  <c r="N187" i="4"/>
  <c r="R187" i="4"/>
  <c r="Q187" i="4"/>
  <c r="P187" i="4"/>
  <c r="S187" i="4"/>
  <c r="G187" i="4"/>
  <c r="I103" i="4"/>
  <c r="I187" i="4"/>
  <c r="R103" i="4"/>
  <c r="H187" i="4"/>
  <c r="K187" i="4"/>
  <c r="J187" i="4"/>
  <c r="M187" i="4"/>
  <c r="L187" i="4"/>
  <c r="T556" i="1"/>
  <c r="T558" i="1" s="1"/>
  <c r="F283" i="4" s="1"/>
  <c r="N283" i="4" s="1"/>
  <c r="G466" i="1"/>
  <c r="U466" i="1" s="1"/>
  <c r="V466" i="1" s="1"/>
  <c r="S300" i="4"/>
  <c r="N150" i="4"/>
  <c r="Q300" i="4"/>
  <c r="K103" i="4"/>
  <c r="O103" i="4"/>
  <c r="Q103" i="4"/>
  <c r="H103" i="4"/>
  <c r="S103" i="4"/>
  <c r="H120" i="1"/>
  <c r="H129" i="1" s="1"/>
  <c r="F56" i="4" s="1"/>
  <c r="S56" i="4" s="1"/>
  <c r="J103" i="4"/>
  <c r="L103" i="4"/>
  <c r="M103" i="4"/>
  <c r="N103" i="4"/>
  <c r="G103" i="4"/>
  <c r="T299" i="4"/>
  <c r="U299" i="4" s="1"/>
  <c r="T325" i="4"/>
  <c r="U325" i="4" s="1"/>
  <c r="I300" i="4"/>
  <c r="R150" i="4"/>
  <c r="I150" i="4"/>
  <c r="K150" i="4"/>
  <c r="O150" i="4"/>
  <c r="Q150" i="4"/>
  <c r="G467" i="1"/>
  <c r="U467" i="1" s="1"/>
  <c r="V467" i="1" s="1"/>
  <c r="G471" i="1"/>
  <c r="U471" i="1" s="1"/>
  <c r="V471" i="1" s="1"/>
  <c r="U654" i="1"/>
  <c r="V654" i="1" s="1"/>
  <c r="S150" i="4"/>
  <c r="G282" i="1"/>
  <c r="U282" i="1" s="1"/>
  <c r="V282" i="1" s="1"/>
  <c r="H150" i="4"/>
  <c r="G283" i="1"/>
  <c r="U283" i="1" s="1"/>
  <c r="V283" i="1" s="1"/>
  <c r="G150" i="4"/>
  <c r="J150" i="4"/>
  <c r="G284" i="1"/>
  <c r="U284" i="1" s="1"/>
  <c r="V284" i="1" s="1"/>
  <c r="L150" i="4"/>
  <c r="H556" i="1"/>
  <c r="H558" i="1" s="1"/>
  <c r="F246" i="4" s="1"/>
  <c r="R246" i="4" s="1"/>
  <c r="G288" i="1"/>
  <c r="U288" i="1" s="1"/>
  <c r="V288" i="1" s="1"/>
  <c r="M150" i="4"/>
  <c r="P297" i="1"/>
  <c r="P299" i="1" s="1"/>
  <c r="T322" i="4"/>
  <c r="U322" i="4" s="1"/>
  <c r="P480" i="1"/>
  <c r="P482" i="1" s="1"/>
  <c r="R178" i="4"/>
  <c r="K297" i="1"/>
  <c r="K299" i="1" s="1"/>
  <c r="K480" i="1"/>
  <c r="K482" i="1" s="1"/>
  <c r="R108" i="4"/>
  <c r="R181" i="4"/>
  <c r="S181" i="4"/>
  <c r="G181" i="4"/>
  <c r="I181" i="4"/>
  <c r="H181" i="4"/>
  <c r="K181" i="4"/>
  <c r="J181" i="4"/>
  <c r="M181" i="4"/>
  <c r="R556" i="1"/>
  <c r="R558" i="1" s="1"/>
  <c r="F277" i="4" s="1"/>
  <c r="P277" i="4" s="1"/>
  <c r="P181" i="4"/>
  <c r="L181" i="4"/>
  <c r="O181" i="4"/>
  <c r="N181" i="4"/>
  <c r="J120" i="1"/>
  <c r="J129" i="1" s="1"/>
  <c r="F61" i="4" s="1"/>
  <c r="L61" i="4" s="1"/>
  <c r="G178" i="4"/>
  <c r="I178" i="4"/>
  <c r="Q556" i="1"/>
  <c r="Q558" i="1" s="1"/>
  <c r="F274" i="4" s="1"/>
  <c r="H274" i="4" s="1"/>
  <c r="H178" i="4"/>
  <c r="K178" i="4"/>
  <c r="J178" i="4"/>
  <c r="M178" i="4"/>
  <c r="L178" i="4"/>
  <c r="O178" i="4"/>
  <c r="N178" i="4"/>
  <c r="Q178" i="4"/>
  <c r="P178" i="4"/>
  <c r="L556" i="1"/>
  <c r="L558" i="1" s="1"/>
  <c r="F256" i="4" s="1"/>
  <c r="P256" i="4" s="1"/>
  <c r="N133" i="4"/>
  <c r="Q133" i="4"/>
  <c r="R120" i="1"/>
  <c r="R129" i="1" s="1"/>
  <c r="F87" i="4" s="1"/>
  <c r="S87" i="4" s="1"/>
  <c r="P133" i="4"/>
  <c r="S133" i="4"/>
  <c r="L120" i="1"/>
  <c r="L129" i="1" s="1"/>
  <c r="F66" i="4" s="1"/>
  <c r="H66" i="4" s="1"/>
  <c r="R133" i="4"/>
  <c r="N120" i="4"/>
  <c r="P120" i="4"/>
  <c r="O120" i="4"/>
  <c r="R120" i="4"/>
  <c r="J155" i="4"/>
  <c r="L155" i="4"/>
  <c r="S120" i="4"/>
  <c r="M155" i="4"/>
  <c r="Q120" i="4"/>
  <c r="T298" i="4"/>
  <c r="U298" i="4" s="1"/>
  <c r="T328" i="4"/>
  <c r="U328" i="4" s="1"/>
  <c r="L207" i="4"/>
  <c r="L209" i="4" s="1"/>
  <c r="L237" i="4" s="1"/>
  <c r="L303" i="4"/>
  <c r="L305" i="4" s="1"/>
  <c r="T308" i="4"/>
  <c r="U308" i="4" s="1"/>
  <c r="K207" i="4"/>
  <c r="K209" i="4" s="1"/>
  <c r="K237" i="4" s="1"/>
  <c r="K269" i="4"/>
  <c r="S269" i="4"/>
  <c r="J269" i="4"/>
  <c r="R269" i="4"/>
  <c r="G269" i="4"/>
  <c r="N269" i="4"/>
  <c r="O269" i="4"/>
  <c r="P269" i="4"/>
  <c r="Q269" i="4"/>
  <c r="H269" i="4"/>
  <c r="I269" i="4"/>
  <c r="L269" i="4"/>
  <c r="T304" i="4"/>
  <c r="U304" i="4" s="1"/>
  <c r="G108" i="4"/>
  <c r="I108" i="4"/>
  <c r="H108" i="4"/>
  <c r="K108" i="4"/>
  <c r="J108" i="4"/>
  <c r="M108" i="4"/>
  <c r="L108" i="4"/>
  <c r="O108" i="4"/>
  <c r="N108" i="4"/>
  <c r="Q108" i="4"/>
  <c r="P108" i="4"/>
  <c r="H17" i="4"/>
  <c r="H19" i="4" s="1"/>
  <c r="H47" i="4" s="1"/>
  <c r="H544" i="4" s="1"/>
  <c r="N155" i="4"/>
  <c r="Q155" i="4"/>
  <c r="P155" i="4"/>
  <c r="S155" i="4"/>
  <c r="R155" i="4"/>
  <c r="G155" i="4"/>
  <c r="H207" i="4"/>
  <c r="H209" i="4" s="1"/>
  <c r="H237" i="4" s="1"/>
  <c r="I155" i="4"/>
  <c r="H155" i="4"/>
  <c r="K155" i="4"/>
  <c r="K303" i="4"/>
  <c r="K305" i="4" s="1"/>
  <c r="K17" i="4"/>
  <c r="K19" i="4" s="1"/>
  <c r="K47" i="4" s="1"/>
  <c r="K545" i="4" s="1"/>
  <c r="J556" i="1"/>
  <c r="J558" i="1" s="1"/>
  <c r="F251" i="4" s="1"/>
  <c r="N251" i="4" s="1"/>
  <c r="I17" i="4"/>
  <c r="I19" i="4" s="1"/>
  <c r="I47" i="4" s="1"/>
  <c r="I544" i="4" s="1"/>
  <c r="T319" i="4"/>
  <c r="U319" i="4" s="1"/>
  <c r="I303" i="4"/>
  <c r="I305" i="4" s="1"/>
  <c r="I263" i="4"/>
  <c r="H263" i="4"/>
  <c r="K263" i="4"/>
  <c r="J263" i="4"/>
  <c r="M263" i="4"/>
  <c r="L263" i="4"/>
  <c r="O263" i="4"/>
  <c r="N263" i="4"/>
  <c r="Q263" i="4"/>
  <c r="P263" i="4"/>
  <c r="S263" i="4"/>
  <c r="R263" i="4"/>
  <c r="L17" i="4"/>
  <c r="L19" i="4" s="1"/>
  <c r="L47" i="4" s="1"/>
  <c r="L544" i="4" s="1"/>
  <c r="I207" i="4"/>
  <c r="I209" i="4" s="1"/>
  <c r="I237" i="4" s="1"/>
  <c r="J207" i="4"/>
  <c r="J209" i="4" s="1"/>
  <c r="J237" i="4" s="1"/>
  <c r="J303" i="4"/>
  <c r="J305" i="4" s="1"/>
  <c r="J17" i="4"/>
  <c r="J19" i="4" s="1"/>
  <c r="J47" i="4" s="1"/>
  <c r="J544" i="4" s="1"/>
  <c r="T574" i="4"/>
  <c r="U574" i="4" s="1"/>
  <c r="G575" i="4"/>
  <c r="U465" i="1"/>
  <c r="V465" i="1" s="1"/>
  <c r="M303" i="4"/>
  <c r="M305" i="4" s="1"/>
  <c r="M207" i="4"/>
  <c r="M17" i="4"/>
  <c r="M19" i="4" s="1"/>
  <c r="M47" i="4" s="1"/>
  <c r="Q303" i="4"/>
  <c r="Q305" i="4" s="1"/>
  <c r="Q207" i="4"/>
  <c r="Q209" i="4" s="1"/>
  <c r="Q237" i="4" s="1"/>
  <c r="Q17" i="4"/>
  <c r="Q19" i="4" s="1"/>
  <c r="Q47" i="4" s="1"/>
  <c r="N303" i="4"/>
  <c r="N305" i="4" s="1"/>
  <c r="N207" i="4"/>
  <c r="N209" i="4" s="1"/>
  <c r="N237" i="4" s="1"/>
  <c r="N17" i="4"/>
  <c r="N19" i="4" s="1"/>
  <c r="N47" i="4" s="1"/>
  <c r="R303" i="4"/>
  <c r="R305" i="4" s="1"/>
  <c r="R207" i="4"/>
  <c r="R209" i="4" s="1"/>
  <c r="R237" i="4" s="1"/>
  <c r="R17" i="4"/>
  <c r="R19" i="4" s="1"/>
  <c r="R47" i="4" s="1"/>
  <c r="S113" i="4"/>
  <c r="Q113" i="4"/>
  <c r="O113" i="4"/>
  <c r="M113" i="4"/>
  <c r="K113" i="4"/>
  <c r="I113" i="4"/>
  <c r="G113" i="4"/>
  <c r="R113" i="4"/>
  <c r="P113" i="4"/>
  <c r="N113" i="4"/>
  <c r="L113" i="4"/>
  <c r="J113" i="4"/>
  <c r="H113" i="4"/>
  <c r="T167" i="4"/>
  <c r="U167" i="4" s="1"/>
  <c r="F18" i="5"/>
  <c r="S293" i="4"/>
  <c r="S295" i="4" s="1"/>
  <c r="Q293" i="4"/>
  <c r="Q295" i="4" s="1"/>
  <c r="O293" i="4"/>
  <c r="O295" i="4" s="1"/>
  <c r="M293" i="4"/>
  <c r="M295" i="4" s="1"/>
  <c r="K293" i="4"/>
  <c r="K295" i="4" s="1"/>
  <c r="I293" i="4"/>
  <c r="I295" i="4" s="1"/>
  <c r="G293" i="4"/>
  <c r="F295" i="4"/>
  <c r="F333" i="4" s="1"/>
  <c r="R293" i="4"/>
  <c r="R295" i="4" s="1"/>
  <c r="P293" i="4"/>
  <c r="P295" i="4" s="1"/>
  <c r="N293" i="4"/>
  <c r="N295" i="4" s="1"/>
  <c r="L293" i="4"/>
  <c r="L295" i="4" s="1"/>
  <c r="J293" i="4"/>
  <c r="J295" i="4" s="1"/>
  <c r="H293" i="4"/>
  <c r="H295" i="4" s="1"/>
  <c r="H333" i="4" s="1"/>
  <c r="O303" i="4"/>
  <c r="O305" i="4" s="1"/>
  <c r="O207" i="4"/>
  <c r="O209" i="4" s="1"/>
  <c r="O237" i="4" s="1"/>
  <c r="O17" i="4"/>
  <c r="O19" i="4" s="1"/>
  <c r="O47" i="4" s="1"/>
  <c r="S303" i="4"/>
  <c r="S305" i="4" s="1"/>
  <c r="S207" i="4"/>
  <c r="S209" i="4" s="1"/>
  <c r="S237" i="4" s="1"/>
  <c r="S17" i="4"/>
  <c r="S19" i="4" s="1"/>
  <c r="S47" i="4" s="1"/>
  <c r="P303" i="4"/>
  <c r="P305" i="4" s="1"/>
  <c r="P207" i="4"/>
  <c r="P209" i="4" s="1"/>
  <c r="P237" i="4" s="1"/>
  <c r="P17" i="4"/>
  <c r="P19" i="4" s="1"/>
  <c r="P47" i="4" s="1"/>
  <c r="T9" i="4"/>
  <c r="U9" i="4" s="1"/>
  <c r="S160" i="4"/>
  <c r="Q160" i="4"/>
  <c r="O160" i="4"/>
  <c r="M160" i="4"/>
  <c r="K160" i="4"/>
  <c r="I160" i="4"/>
  <c r="G160" i="4"/>
  <c r="R160" i="4"/>
  <c r="P160" i="4"/>
  <c r="N160" i="4"/>
  <c r="L160" i="4"/>
  <c r="J160" i="4"/>
  <c r="H160" i="4"/>
  <c r="T73" i="4"/>
  <c r="U73" i="4" s="1"/>
  <c r="M84" i="4" l="1"/>
  <c r="S556" i="1"/>
  <c r="S558" i="1" s="1"/>
  <c r="F280" i="4" s="1"/>
  <c r="L280" i="4" s="1"/>
  <c r="G184" i="4"/>
  <c r="S84" i="4"/>
  <c r="R84" i="4"/>
  <c r="M184" i="4"/>
  <c r="K184" i="4"/>
  <c r="K84" i="4"/>
  <c r="R184" i="4"/>
  <c r="S184" i="4"/>
  <c r="P84" i="4"/>
  <c r="H184" i="4"/>
  <c r="N84" i="4"/>
  <c r="P184" i="4"/>
  <c r="J84" i="4"/>
  <c r="J184" i="4"/>
  <c r="Q184" i="4"/>
  <c r="N184" i="4"/>
  <c r="H84" i="4"/>
  <c r="I184" i="4"/>
  <c r="F136" i="4"/>
  <c r="M120" i="1"/>
  <c r="M129" i="1" s="1"/>
  <c r="F70" i="4" s="1"/>
  <c r="K66" i="4"/>
  <c r="R79" i="4"/>
  <c r="G79" i="4"/>
  <c r="Q79" i="4"/>
  <c r="H79" i="4"/>
  <c r="J79" i="4"/>
  <c r="O79" i="4"/>
  <c r="M79" i="4"/>
  <c r="L79" i="4"/>
  <c r="P79" i="4"/>
  <c r="I120" i="1"/>
  <c r="I129" i="1" s="1"/>
  <c r="F60" i="4" s="1"/>
  <c r="R60" i="4" s="1"/>
  <c r="N79" i="4"/>
  <c r="S79" i="4"/>
  <c r="K79" i="4"/>
  <c r="J66" i="4"/>
  <c r="H90" i="4"/>
  <c r="M260" i="4"/>
  <c r="L84" i="4"/>
  <c r="I84" i="4"/>
  <c r="L184" i="4"/>
  <c r="P90" i="4"/>
  <c r="O90" i="4"/>
  <c r="L90" i="4"/>
  <c r="I90" i="4"/>
  <c r="G66" i="4"/>
  <c r="L260" i="4"/>
  <c r="P260" i="4"/>
  <c r="I260" i="4"/>
  <c r="O93" i="4"/>
  <c r="O260" i="4"/>
  <c r="H260" i="4"/>
  <c r="N260" i="4"/>
  <c r="K260" i="4"/>
  <c r="H93" i="4"/>
  <c r="G93" i="4"/>
  <c r="Q260" i="4"/>
  <c r="R93" i="4"/>
  <c r="L93" i="4"/>
  <c r="S260" i="4"/>
  <c r="M93" i="4"/>
  <c r="S93" i="4"/>
  <c r="J260" i="4"/>
  <c r="R260" i="4"/>
  <c r="F164" i="4"/>
  <c r="L164" i="4" s="1"/>
  <c r="P93" i="4"/>
  <c r="I93" i="4"/>
  <c r="I556" i="1"/>
  <c r="I558" i="1" s="1"/>
  <c r="F250" i="4" s="1"/>
  <c r="M250" i="4" s="1"/>
  <c r="L154" i="4"/>
  <c r="L156" i="4" s="1"/>
  <c r="M90" i="4"/>
  <c r="Q90" i="4"/>
  <c r="N90" i="4"/>
  <c r="J500" i="4"/>
  <c r="J130" i="4" s="1"/>
  <c r="S90" i="4"/>
  <c r="L500" i="4"/>
  <c r="L130" i="4" s="1"/>
  <c r="J90" i="4"/>
  <c r="M500" i="4"/>
  <c r="M130" i="4" s="1"/>
  <c r="H500" i="4"/>
  <c r="H130" i="4" s="1"/>
  <c r="G90" i="4"/>
  <c r="I500" i="4"/>
  <c r="I130" i="4" s="1"/>
  <c r="F518" i="4"/>
  <c r="F520" i="4" s="1"/>
  <c r="S520" i="4" s="1"/>
  <c r="K90" i="4"/>
  <c r="J154" i="4"/>
  <c r="J156" i="4" s="1"/>
  <c r="S154" i="4"/>
  <c r="S156" i="4" s="1"/>
  <c r="H154" i="4"/>
  <c r="H156" i="4" s="1"/>
  <c r="F533" i="4"/>
  <c r="Q532" i="4"/>
  <c r="N532" i="4"/>
  <c r="P532" i="4"/>
  <c r="S532" i="4"/>
  <c r="O532" i="4"/>
  <c r="R532" i="4"/>
  <c r="K532" i="4"/>
  <c r="K533" i="4" s="1"/>
  <c r="J532" i="4"/>
  <c r="J533" i="4" s="1"/>
  <c r="J534" i="4" s="1"/>
  <c r="L532" i="4"/>
  <c r="L533" i="4" s="1"/>
  <c r="M532" i="4"/>
  <c r="M533" i="4" s="1"/>
  <c r="H532" i="4"/>
  <c r="H533" i="4" s="1"/>
  <c r="I532" i="4"/>
  <c r="I533" i="4" s="1"/>
  <c r="I534" i="4" s="1"/>
  <c r="G532" i="4"/>
  <c r="F156" i="4"/>
  <c r="I154" i="4"/>
  <c r="I156" i="4" s="1"/>
  <c r="R154" i="4"/>
  <c r="R156" i="4" s="1"/>
  <c r="Q154" i="4"/>
  <c r="Q156" i="4" s="1"/>
  <c r="N154" i="4"/>
  <c r="N156" i="4" s="1"/>
  <c r="K154" i="4"/>
  <c r="K156" i="4" s="1"/>
  <c r="G499" i="4"/>
  <c r="T498" i="4"/>
  <c r="U498" i="4" s="1"/>
  <c r="N277" i="4"/>
  <c r="Q277" i="4"/>
  <c r="S277" i="4"/>
  <c r="N117" i="4"/>
  <c r="J117" i="4"/>
  <c r="H117" i="4"/>
  <c r="K117" i="4"/>
  <c r="I117" i="4"/>
  <c r="G117" i="4"/>
  <c r="S117" i="4"/>
  <c r="P117" i="4"/>
  <c r="F510" i="4"/>
  <c r="Q509" i="4"/>
  <c r="N509" i="4"/>
  <c r="P509" i="4"/>
  <c r="S509" i="4"/>
  <c r="H509" i="4"/>
  <c r="H510" i="4" s="1"/>
  <c r="O509" i="4"/>
  <c r="R509" i="4"/>
  <c r="M509" i="4"/>
  <c r="M510" i="4" s="1"/>
  <c r="M511" i="4" s="1"/>
  <c r="M133" i="4" s="1"/>
  <c r="K509" i="4"/>
  <c r="K510" i="4" s="1"/>
  <c r="J509" i="4"/>
  <c r="J510" i="4" s="1"/>
  <c r="G509" i="4"/>
  <c r="L509" i="4"/>
  <c r="L510" i="4" s="1"/>
  <c r="I509" i="4"/>
  <c r="I510" i="4" s="1"/>
  <c r="M277" i="4"/>
  <c r="O117" i="4"/>
  <c r="I107" i="4"/>
  <c r="I109" i="4" s="1"/>
  <c r="P154" i="4"/>
  <c r="P156" i="4" s="1"/>
  <c r="O154" i="4"/>
  <c r="O156" i="4" s="1"/>
  <c r="F109" i="4"/>
  <c r="M107" i="4"/>
  <c r="M109" i="4" s="1"/>
  <c r="R477" i="4"/>
  <c r="Q477" i="4"/>
  <c r="O477" i="4"/>
  <c r="N477" i="4"/>
  <c r="S477" i="4"/>
  <c r="P477" i="4"/>
  <c r="J93" i="4"/>
  <c r="F468" i="4"/>
  <c r="S467" i="4"/>
  <c r="R467" i="4"/>
  <c r="Q467" i="4"/>
  <c r="P467" i="4"/>
  <c r="O467" i="4"/>
  <c r="N467" i="4"/>
  <c r="M156" i="4"/>
  <c r="O84" i="4"/>
  <c r="G84" i="4"/>
  <c r="N93" i="4"/>
  <c r="M117" i="4"/>
  <c r="K93" i="4"/>
  <c r="G154" i="4"/>
  <c r="T173" i="4"/>
  <c r="U173" i="4" s="1"/>
  <c r="H107" i="4"/>
  <c r="H109" i="4" s="1"/>
  <c r="Q107" i="4"/>
  <c r="Q109" i="4" s="1"/>
  <c r="G107" i="4"/>
  <c r="G109" i="4" s="1"/>
  <c r="L277" i="4"/>
  <c r="L117" i="4"/>
  <c r="R107" i="4"/>
  <c r="R109" i="4" s="1"/>
  <c r="Q117" i="4"/>
  <c r="J107" i="4"/>
  <c r="J109" i="4" s="1"/>
  <c r="N107" i="4"/>
  <c r="N109" i="4" s="1"/>
  <c r="S107" i="4"/>
  <c r="S109" i="4" s="1"/>
  <c r="L107" i="4"/>
  <c r="L109" i="4" s="1"/>
  <c r="K107" i="4"/>
  <c r="K109" i="4" s="1"/>
  <c r="P107" i="4"/>
  <c r="P109" i="4" s="1"/>
  <c r="O109" i="4"/>
  <c r="N66" i="4"/>
  <c r="T139" i="4"/>
  <c r="U139" i="4" s="1"/>
  <c r="G480" i="1"/>
  <c r="G482" i="1" s="1"/>
  <c r="M209" i="4"/>
  <c r="M237" i="4" s="1"/>
  <c r="M358" i="4" s="1"/>
  <c r="Q66" i="4"/>
  <c r="R256" i="4"/>
  <c r="I277" i="4"/>
  <c r="K274" i="4"/>
  <c r="N87" i="4"/>
  <c r="I66" i="4"/>
  <c r="L66" i="4"/>
  <c r="P66" i="4"/>
  <c r="M66" i="4"/>
  <c r="O66" i="4"/>
  <c r="R66" i="4"/>
  <c r="S66" i="4"/>
  <c r="J283" i="4"/>
  <c r="R274" i="4"/>
  <c r="O274" i="4"/>
  <c r="L274" i="4"/>
  <c r="S274" i="4"/>
  <c r="I274" i="4"/>
  <c r="J277" i="4"/>
  <c r="O277" i="4"/>
  <c r="J274" i="4"/>
  <c r="G277" i="4"/>
  <c r="Q274" i="4"/>
  <c r="H277" i="4"/>
  <c r="N274" i="4"/>
  <c r="K277" i="4"/>
  <c r="M274" i="4"/>
  <c r="O283" i="4"/>
  <c r="H283" i="4"/>
  <c r="L283" i="4"/>
  <c r="I283" i="4"/>
  <c r="K283" i="4"/>
  <c r="S283" i="4"/>
  <c r="G283" i="4"/>
  <c r="P283" i="4"/>
  <c r="M283" i="4"/>
  <c r="Q283" i="4"/>
  <c r="R283" i="4"/>
  <c r="L56" i="4"/>
  <c r="Q56" i="4"/>
  <c r="N56" i="4"/>
  <c r="M56" i="4"/>
  <c r="J56" i="4"/>
  <c r="O256" i="4"/>
  <c r="R61" i="4"/>
  <c r="J61" i="4"/>
  <c r="T187" i="4"/>
  <c r="U187" i="4" s="1"/>
  <c r="T300" i="4"/>
  <c r="U300" i="4" s="1"/>
  <c r="O56" i="4"/>
  <c r="O87" i="4"/>
  <c r="P56" i="4"/>
  <c r="I56" i="4"/>
  <c r="R56" i="4"/>
  <c r="K56" i="4"/>
  <c r="H56" i="4"/>
  <c r="G56" i="4"/>
  <c r="R87" i="4"/>
  <c r="M87" i="4"/>
  <c r="J87" i="4"/>
  <c r="K87" i="4"/>
  <c r="Q87" i="4"/>
  <c r="L87" i="4"/>
  <c r="I87" i="4"/>
  <c r="G87" i="4"/>
  <c r="H87" i="4"/>
  <c r="T178" i="4"/>
  <c r="U178" i="4" s="1"/>
  <c r="T181" i="4"/>
  <c r="U181" i="4" s="1"/>
  <c r="T103" i="4"/>
  <c r="U103" i="4" s="1"/>
  <c r="P87" i="4"/>
  <c r="J60" i="4"/>
  <c r="G297" i="1"/>
  <c r="U297" i="1" s="1"/>
  <c r="V297" i="1" s="1"/>
  <c r="P274" i="4"/>
  <c r="G274" i="4"/>
  <c r="Q256" i="4"/>
  <c r="S256" i="4"/>
  <c r="H256" i="4"/>
  <c r="G256" i="4"/>
  <c r="J256" i="4"/>
  <c r="I256" i="4"/>
  <c r="L256" i="4"/>
  <c r="K256" i="4"/>
  <c r="N256" i="4"/>
  <c r="M256" i="4"/>
  <c r="H545" i="4"/>
  <c r="H246" i="4"/>
  <c r="P246" i="4"/>
  <c r="T150" i="4"/>
  <c r="U150" i="4" s="1"/>
  <c r="I61" i="4"/>
  <c r="O61" i="4"/>
  <c r="Q246" i="4"/>
  <c r="I246" i="4"/>
  <c r="S61" i="4"/>
  <c r="N246" i="4"/>
  <c r="M246" i="4"/>
  <c r="G246" i="4"/>
  <c r="P61" i="4"/>
  <c r="J246" i="4"/>
  <c r="G61" i="4"/>
  <c r="M61" i="4"/>
  <c r="N61" i="4"/>
  <c r="O246" i="4"/>
  <c r="Q61" i="4"/>
  <c r="K61" i="4"/>
  <c r="L246" i="4"/>
  <c r="H61" i="4"/>
  <c r="S246" i="4"/>
  <c r="K246" i="4"/>
  <c r="R277" i="4"/>
  <c r="F174" i="4"/>
  <c r="P556" i="1"/>
  <c r="P558" i="1" s="1"/>
  <c r="F270" i="4" s="1"/>
  <c r="F126" i="4"/>
  <c r="P120" i="1"/>
  <c r="P129" i="1" s="1"/>
  <c r="F80" i="4" s="1"/>
  <c r="K120" i="1"/>
  <c r="K129" i="1" s="1"/>
  <c r="F65" i="4" s="1"/>
  <c r="G65" i="4" s="1"/>
  <c r="F112" i="4"/>
  <c r="K556" i="1"/>
  <c r="K558" i="1" s="1"/>
  <c r="F255" i="4" s="1"/>
  <c r="G255" i="4" s="1"/>
  <c r="F159" i="4"/>
  <c r="G159" i="4" s="1"/>
  <c r="K60" i="4"/>
  <c r="G60" i="4"/>
  <c r="L60" i="4"/>
  <c r="L62" i="4" s="1"/>
  <c r="H60" i="4"/>
  <c r="L333" i="4"/>
  <c r="L377" i="4" s="1"/>
  <c r="P60" i="4"/>
  <c r="M60" i="4"/>
  <c r="K544" i="4"/>
  <c r="T269" i="4"/>
  <c r="U269" i="4" s="1"/>
  <c r="K333" i="4"/>
  <c r="K377" i="4" s="1"/>
  <c r="T155" i="4"/>
  <c r="U155" i="4" s="1"/>
  <c r="T108" i="4"/>
  <c r="U108" i="4" s="1"/>
  <c r="G251" i="4"/>
  <c r="M251" i="4"/>
  <c r="R251" i="4"/>
  <c r="Q251" i="4"/>
  <c r="P251" i="4"/>
  <c r="I251" i="4"/>
  <c r="O251" i="4"/>
  <c r="S251" i="4"/>
  <c r="H251" i="4"/>
  <c r="O70" i="4"/>
  <c r="L70" i="4"/>
  <c r="M70" i="4"/>
  <c r="J70" i="4"/>
  <c r="K70" i="4"/>
  <c r="H70" i="4"/>
  <c r="I70" i="4"/>
  <c r="G70" i="4"/>
  <c r="R70" i="4"/>
  <c r="S70" i="4"/>
  <c r="P70" i="4"/>
  <c r="Q70" i="4"/>
  <c r="N70" i="4"/>
  <c r="I545" i="4"/>
  <c r="J251" i="4"/>
  <c r="K251" i="4"/>
  <c r="L251" i="4"/>
  <c r="I333" i="4"/>
  <c r="I377" i="4" s="1"/>
  <c r="P136" i="4"/>
  <c r="R136" i="4"/>
  <c r="S136" i="4"/>
  <c r="Q136" i="4"/>
  <c r="N136" i="4"/>
  <c r="O136" i="4"/>
  <c r="T263" i="4"/>
  <c r="U263" i="4" s="1"/>
  <c r="L545" i="4"/>
  <c r="H377" i="4"/>
  <c r="J333" i="4"/>
  <c r="J377" i="4" s="1"/>
  <c r="J545" i="4"/>
  <c r="R333" i="4"/>
  <c r="R377" i="4" s="1"/>
  <c r="Q333" i="4"/>
  <c r="Q377" i="4" s="1"/>
  <c r="M333" i="4"/>
  <c r="M377" i="4" s="1"/>
  <c r="N333" i="4"/>
  <c r="N377" i="4" s="1"/>
  <c r="I373" i="4"/>
  <c r="I358" i="4"/>
  <c r="L358" i="4"/>
  <c r="L373" i="4"/>
  <c r="S545" i="4"/>
  <c r="S544" i="4"/>
  <c r="S358" i="4"/>
  <c r="S373" i="4"/>
  <c r="R544" i="4"/>
  <c r="R545" i="4"/>
  <c r="R373" i="4"/>
  <c r="R358" i="4"/>
  <c r="Q544" i="4"/>
  <c r="Q545" i="4"/>
  <c r="Q358" i="4"/>
  <c r="Q373" i="4"/>
  <c r="K358" i="4"/>
  <c r="K373" i="4"/>
  <c r="J358" i="4"/>
  <c r="J373" i="4"/>
  <c r="T160" i="4"/>
  <c r="U160" i="4" s="1"/>
  <c r="P333" i="4"/>
  <c r="P377" i="4" s="1"/>
  <c r="P544" i="4"/>
  <c r="P545" i="4"/>
  <c r="P373" i="4"/>
  <c r="P358" i="4"/>
  <c r="O545" i="4"/>
  <c r="O544" i="4"/>
  <c r="O358" i="4"/>
  <c r="O373" i="4"/>
  <c r="G295" i="4"/>
  <c r="T293" i="4"/>
  <c r="U293" i="4" s="1"/>
  <c r="H358" i="4"/>
  <c r="H373" i="4"/>
  <c r="N544" i="4"/>
  <c r="N545" i="4"/>
  <c r="N373" i="4"/>
  <c r="N358" i="4"/>
  <c r="M544" i="4"/>
  <c r="M545" i="4"/>
  <c r="G303" i="4"/>
  <c r="G17" i="4"/>
  <c r="T575" i="4"/>
  <c r="U575" i="4" s="1"/>
  <c r="G207" i="4"/>
  <c r="O333" i="4"/>
  <c r="O377" i="4" s="1"/>
  <c r="S333" i="4"/>
  <c r="S377" i="4" s="1"/>
  <c r="T113" i="4"/>
  <c r="U113" i="4" s="1"/>
  <c r="O280" i="4" l="1"/>
  <c r="K280" i="4"/>
  <c r="R280" i="4"/>
  <c r="J280" i="4"/>
  <c r="P280" i="4"/>
  <c r="Q280" i="4"/>
  <c r="H280" i="4"/>
  <c r="N280" i="4"/>
  <c r="I280" i="4"/>
  <c r="G280" i="4"/>
  <c r="E26" i="5" s="1"/>
  <c r="M280" i="4"/>
  <c r="S280" i="4"/>
  <c r="T184" i="4"/>
  <c r="U184" i="4" s="1"/>
  <c r="S60" i="4"/>
  <c r="S62" i="4" s="1"/>
  <c r="I60" i="4"/>
  <c r="R62" i="4"/>
  <c r="N60" i="4"/>
  <c r="N62" i="4" s="1"/>
  <c r="Q60" i="4"/>
  <c r="Q62" i="4" s="1"/>
  <c r="O60" i="4"/>
  <c r="F62" i="4"/>
  <c r="T79" i="4"/>
  <c r="U79" i="4" s="1"/>
  <c r="F252" i="4"/>
  <c r="R250" i="4"/>
  <c r="R252" i="4" s="1"/>
  <c r="Q250" i="4"/>
  <c r="Q252" i="4" s="1"/>
  <c r="K250" i="4"/>
  <c r="K252" i="4" s="1"/>
  <c r="G250" i="4"/>
  <c r="G252" i="4" s="1"/>
  <c r="O250" i="4"/>
  <c r="O252" i="4" s="1"/>
  <c r="S250" i="4"/>
  <c r="S252" i="4" s="1"/>
  <c r="J250" i="4"/>
  <c r="J252" i="4" s="1"/>
  <c r="I250" i="4"/>
  <c r="I252" i="4" s="1"/>
  <c r="L250" i="4"/>
  <c r="L252" i="4" s="1"/>
  <c r="U480" i="1"/>
  <c r="H250" i="4"/>
  <c r="H252" i="4" s="1"/>
  <c r="N250" i="4"/>
  <c r="N252" i="4" s="1"/>
  <c r="P250" i="4"/>
  <c r="P252" i="4" s="1"/>
  <c r="H534" i="4"/>
  <c r="K534" i="4"/>
  <c r="T260" i="4"/>
  <c r="U260" i="4" s="1"/>
  <c r="K164" i="4"/>
  <c r="Q164" i="4"/>
  <c r="N164" i="4"/>
  <c r="S164" i="4"/>
  <c r="M164" i="4"/>
  <c r="H164" i="4"/>
  <c r="P164" i="4"/>
  <c r="G164" i="4"/>
  <c r="O164" i="4"/>
  <c r="J164" i="4"/>
  <c r="R164" i="4"/>
  <c r="I164" i="4"/>
  <c r="L520" i="4"/>
  <c r="L521" i="4" s="1"/>
  <c r="Q520" i="4"/>
  <c r="M534" i="4"/>
  <c r="L534" i="4"/>
  <c r="I520" i="4"/>
  <c r="I521" i="4" s="1"/>
  <c r="O520" i="4"/>
  <c r="H520" i="4"/>
  <c r="H521" i="4" s="1"/>
  <c r="I511" i="4"/>
  <c r="I133" i="4" s="1"/>
  <c r="H511" i="4"/>
  <c r="H133" i="4" s="1"/>
  <c r="L511" i="4"/>
  <c r="L133" i="4" s="1"/>
  <c r="J511" i="4"/>
  <c r="J133" i="4" s="1"/>
  <c r="P520" i="4"/>
  <c r="G520" i="4"/>
  <c r="G521" i="4" s="1"/>
  <c r="N520" i="4"/>
  <c r="J520" i="4"/>
  <c r="J521" i="4" s="1"/>
  <c r="F521" i="4"/>
  <c r="K520" i="4"/>
  <c r="K521" i="4" s="1"/>
  <c r="R520" i="4"/>
  <c r="F486" i="4"/>
  <c r="F488" i="4" s="1"/>
  <c r="N488" i="4" s="1"/>
  <c r="M520" i="4"/>
  <c r="M521" i="4" s="1"/>
  <c r="T90" i="4"/>
  <c r="U90" i="4" s="1"/>
  <c r="K511" i="4"/>
  <c r="K133" i="4" s="1"/>
  <c r="T532" i="4"/>
  <c r="U532" i="4" s="1"/>
  <c r="G533" i="4"/>
  <c r="G534" i="4" s="1"/>
  <c r="G500" i="4"/>
  <c r="T499" i="4"/>
  <c r="U499" i="4" s="1"/>
  <c r="G510" i="4"/>
  <c r="T509" i="4"/>
  <c r="U509" i="4" s="1"/>
  <c r="T154" i="4"/>
  <c r="U154" i="4" s="1"/>
  <c r="T84" i="4"/>
  <c r="U84" i="4" s="1"/>
  <c r="E13" i="5"/>
  <c r="T93" i="4"/>
  <c r="U93" i="4" s="1"/>
  <c r="T117" i="4"/>
  <c r="U117" i="4" s="1"/>
  <c r="T107" i="4"/>
  <c r="U107" i="4" s="1"/>
  <c r="G156" i="4"/>
  <c r="T156" i="4" s="1"/>
  <c r="U156" i="4" s="1"/>
  <c r="F578" i="4"/>
  <c r="M373" i="4"/>
  <c r="T277" i="4"/>
  <c r="U277" i="4" s="1"/>
  <c r="T66" i="4"/>
  <c r="U66" i="4" s="1"/>
  <c r="T56" i="4"/>
  <c r="U56" i="4" s="1"/>
  <c r="T283" i="4"/>
  <c r="U283" i="4" s="1"/>
  <c r="T256" i="4"/>
  <c r="U256" i="4" s="1"/>
  <c r="M252" i="4"/>
  <c r="H62" i="4"/>
  <c r="G299" i="1"/>
  <c r="F149" i="4" s="1"/>
  <c r="J62" i="4"/>
  <c r="M62" i="4"/>
  <c r="G62" i="4"/>
  <c r="T274" i="4"/>
  <c r="U274" i="4" s="1"/>
  <c r="T87" i="4"/>
  <c r="U87" i="4" s="1"/>
  <c r="O62" i="4"/>
  <c r="K62" i="4"/>
  <c r="T109" i="4"/>
  <c r="U109" i="4" s="1"/>
  <c r="T61" i="4"/>
  <c r="U61" i="4" s="1"/>
  <c r="T246" i="4"/>
  <c r="U246" i="4" s="1"/>
  <c r="P62" i="4"/>
  <c r="K270" i="4"/>
  <c r="K271" i="4" s="1"/>
  <c r="Q270" i="4"/>
  <c r="Q271" i="4" s="1"/>
  <c r="L270" i="4"/>
  <c r="I270" i="4"/>
  <c r="I271" i="4" s="1"/>
  <c r="S270" i="4"/>
  <c r="S271" i="4" s="1"/>
  <c r="P270" i="4"/>
  <c r="P271" i="4" s="1"/>
  <c r="O270" i="4"/>
  <c r="O271" i="4" s="1"/>
  <c r="H270" i="4"/>
  <c r="H271" i="4" s="1"/>
  <c r="J270" i="4"/>
  <c r="J271" i="4" s="1"/>
  <c r="N270" i="4"/>
  <c r="N271" i="4" s="1"/>
  <c r="R270" i="4"/>
  <c r="R271" i="4" s="1"/>
  <c r="M270" i="4"/>
  <c r="M271" i="4" s="1"/>
  <c r="F271" i="4"/>
  <c r="G270" i="4"/>
  <c r="J174" i="4"/>
  <c r="J175" i="4" s="1"/>
  <c r="G174" i="4"/>
  <c r="H174" i="4"/>
  <c r="H175" i="4" s="1"/>
  <c r="S174" i="4"/>
  <c r="S175" i="4" s="1"/>
  <c r="I174" i="4"/>
  <c r="I175" i="4" s="1"/>
  <c r="Q174" i="4"/>
  <c r="Q175" i="4" s="1"/>
  <c r="L174" i="4"/>
  <c r="L175" i="4" s="1"/>
  <c r="R174" i="4"/>
  <c r="R175" i="4" s="1"/>
  <c r="O174" i="4"/>
  <c r="O175" i="4" s="1"/>
  <c r="P174" i="4"/>
  <c r="P175" i="4" s="1"/>
  <c r="M174" i="4"/>
  <c r="M175" i="4" s="1"/>
  <c r="N174" i="4"/>
  <c r="N175" i="4" s="1"/>
  <c r="K174" i="4"/>
  <c r="K175" i="4" s="1"/>
  <c r="F175" i="4"/>
  <c r="S80" i="4"/>
  <c r="S81" i="4" s="1"/>
  <c r="H80" i="4"/>
  <c r="M80" i="4"/>
  <c r="K80" i="4"/>
  <c r="L80" i="4"/>
  <c r="N80" i="4"/>
  <c r="N81" i="4" s="1"/>
  <c r="Q80" i="4"/>
  <c r="Q81" i="4" s="1"/>
  <c r="R80" i="4"/>
  <c r="R81" i="4" s="1"/>
  <c r="G80" i="4"/>
  <c r="D13" i="5" s="1"/>
  <c r="I80" i="4"/>
  <c r="O80" i="4"/>
  <c r="O81" i="4" s="1"/>
  <c r="J80" i="4"/>
  <c r="P80" i="4"/>
  <c r="P81" i="4" s="1"/>
  <c r="F81" i="4"/>
  <c r="S126" i="4"/>
  <c r="S127" i="4" s="1"/>
  <c r="Q126" i="4"/>
  <c r="Q127" i="4" s="1"/>
  <c r="R126" i="4"/>
  <c r="R127" i="4" s="1"/>
  <c r="O126" i="4"/>
  <c r="O127" i="4" s="1"/>
  <c r="P126" i="4"/>
  <c r="P127" i="4" s="1"/>
  <c r="N126" i="4"/>
  <c r="N127" i="4" s="1"/>
  <c r="F127" i="4"/>
  <c r="J159" i="4"/>
  <c r="J161" i="4" s="1"/>
  <c r="K159" i="4"/>
  <c r="K161" i="4" s="1"/>
  <c r="P159" i="4"/>
  <c r="P161" i="4" s="1"/>
  <c r="I159" i="4"/>
  <c r="I161" i="4" s="1"/>
  <c r="S159" i="4"/>
  <c r="S161" i="4" s="1"/>
  <c r="R159" i="4"/>
  <c r="R161" i="4" s="1"/>
  <c r="O159" i="4"/>
  <c r="O161" i="4" s="1"/>
  <c r="N159" i="4"/>
  <c r="N161" i="4" s="1"/>
  <c r="L159" i="4"/>
  <c r="L161" i="4" s="1"/>
  <c r="F161" i="4"/>
  <c r="H159" i="4"/>
  <c r="H161" i="4" s="1"/>
  <c r="Q159" i="4"/>
  <c r="Q161" i="4" s="1"/>
  <c r="M159" i="4"/>
  <c r="M161" i="4" s="1"/>
  <c r="O255" i="4"/>
  <c r="O257" i="4" s="1"/>
  <c r="R255" i="4"/>
  <c r="R257" i="4" s="1"/>
  <c r="I255" i="4"/>
  <c r="I257" i="4" s="1"/>
  <c r="H255" i="4"/>
  <c r="J255" i="4"/>
  <c r="N255" i="4"/>
  <c r="N257" i="4" s="1"/>
  <c r="Q255" i="4"/>
  <c r="Q257" i="4" s="1"/>
  <c r="M255" i="4"/>
  <c r="K255" i="4"/>
  <c r="L255" i="4"/>
  <c r="S255" i="4"/>
  <c r="S257" i="4" s="1"/>
  <c r="P255" i="4"/>
  <c r="P257" i="4" s="1"/>
  <c r="P112" i="4"/>
  <c r="P114" i="4" s="1"/>
  <c r="O112" i="4"/>
  <c r="O114" i="4" s="1"/>
  <c r="S112" i="4"/>
  <c r="S114" i="4" s="1"/>
  <c r="R112" i="4"/>
  <c r="R114" i="4" s="1"/>
  <c r="N112" i="4"/>
  <c r="N114" i="4" s="1"/>
  <c r="Q112" i="4"/>
  <c r="Q114" i="4" s="1"/>
  <c r="F114" i="4"/>
  <c r="J65" i="4"/>
  <c r="J67" i="4" s="1"/>
  <c r="H65" i="4"/>
  <c r="H67" i="4" s="1"/>
  <c r="L65" i="4"/>
  <c r="L67" i="4" s="1"/>
  <c r="M65" i="4"/>
  <c r="M67" i="4" s="1"/>
  <c r="K65" i="4"/>
  <c r="K67" i="4" s="1"/>
  <c r="I65" i="4"/>
  <c r="I67" i="4" s="1"/>
  <c r="P65" i="4"/>
  <c r="P67" i="4" s="1"/>
  <c r="S65" i="4"/>
  <c r="S67" i="4" s="1"/>
  <c r="O65" i="4"/>
  <c r="O67" i="4" s="1"/>
  <c r="R65" i="4"/>
  <c r="R67" i="4" s="1"/>
  <c r="Q65" i="4"/>
  <c r="Q67" i="4" s="1"/>
  <c r="N65" i="4"/>
  <c r="N67" i="4" s="1"/>
  <c r="F67" i="4"/>
  <c r="F257" i="4"/>
  <c r="T251" i="4"/>
  <c r="U251" i="4" s="1"/>
  <c r="T70" i="4"/>
  <c r="U70" i="4" s="1"/>
  <c r="O547" i="4"/>
  <c r="Q547" i="4"/>
  <c r="G67" i="4"/>
  <c r="G19" i="4"/>
  <c r="T17" i="4"/>
  <c r="U17" i="4" s="1"/>
  <c r="G556" i="1"/>
  <c r="V480" i="1"/>
  <c r="U482" i="1"/>
  <c r="V482" i="1" s="1"/>
  <c r="R547" i="4"/>
  <c r="G257" i="4"/>
  <c r="T207" i="4"/>
  <c r="U207" i="4" s="1"/>
  <c r="G209" i="4"/>
  <c r="G161" i="4"/>
  <c r="T303" i="4"/>
  <c r="U303" i="4" s="1"/>
  <c r="G305" i="4"/>
  <c r="T305" i="4" s="1"/>
  <c r="U305" i="4" s="1"/>
  <c r="T295" i="4"/>
  <c r="U295" i="4" s="1"/>
  <c r="F102" i="4"/>
  <c r="G120" i="1"/>
  <c r="N547" i="4"/>
  <c r="P547" i="4"/>
  <c r="S547" i="4"/>
  <c r="T60" i="4" l="1"/>
  <c r="U60" i="4" s="1"/>
  <c r="T280" i="4"/>
  <c r="U280" i="4" s="1"/>
  <c r="I62" i="4"/>
  <c r="T62" i="4" s="1"/>
  <c r="U62" i="4" s="1"/>
  <c r="T250" i="4"/>
  <c r="U250" i="4" s="1"/>
  <c r="T164" i="4"/>
  <c r="U164" i="4" s="1"/>
  <c r="J488" i="4"/>
  <c r="J489" i="4" s="1"/>
  <c r="I488" i="4"/>
  <c r="I489" i="4" s="1"/>
  <c r="H488" i="4"/>
  <c r="H489" i="4" s="1"/>
  <c r="O488" i="4"/>
  <c r="L488" i="4"/>
  <c r="L489" i="4" s="1"/>
  <c r="P488" i="4"/>
  <c r="G488" i="4"/>
  <c r="G489" i="4" s="1"/>
  <c r="S488" i="4"/>
  <c r="K488" i="4"/>
  <c r="K489" i="4" s="1"/>
  <c r="M488" i="4"/>
  <c r="M489" i="4" s="1"/>
  <c r="R488" i="4"/>
  <c r="Q488" i="4"/>
  <c r="L522" i="4"/>
  <c r="L136" i="4" s="1"/>
  <c r="F489" i="4"/>
  <c r="T520" i="4"/>
  <c r="U520" i="4" s="1"/>
  <c r="U299" i="1"/>
  <c r="V299" i="1" s="1"/>
  <c r="K522" i="4"/>
  <c r="K136" i="4" s="1"/>
  <c r="I522" i="4"/>
  <c r="I136" i="4" s="1"/>
  <c r="J522" i="4"/>
  <c r="J136" i="4" s="1"/>
  <c r="M522" i="4"/>
  <c r="M136" i="4" s="1"/>
  <c r="H522" i="4"/>
  <c r="H136" i="4" s="1"/>
  <c r="T533" i="4"/>
  <c r="U533" i="4" s="1"/>
  <c r="T534" i="4"/>
  <c r="U534" i="4" s="1"/>
  <c r="G522" i="4"/>
  <c r="T521" i="4"/>
  <c r="U521" i="4" s="1"/>
  <c r="T500" i="4"/>
  <c r="U500" i="4" s="1"/>
  <c r="G130" i="4"/>
  <c r="T130" i="4" s="1"/>
  <c r="U130" i="4" s="1"/>
  <c r="G511" i="4"/>
  <c r="G133" i="4" s="1"/>
  <c r="T510" i="4"/>
  <c r="U510" i="4" s="1"/>
  <c r="F580" i="4"/>
  <c r="T578" i="4"/>
  <c r="U578" i="4" s="1"/>
  <c r="M257" i="4"/>
  <c r="D26" i="5"/>
  <c r="F26" i="5" s="1"/>
  <c r="G271" i="4"/>
  <c r="T270" i="4"/>
  <c r="U270" i="4" s="1"/>
  <c r="L271" i="4"/>
  <c r="G175" i="4"/>
  <c r="T175" i="4" s="1"/>
  <c r="U175" i="4" s="1"/>
  <c r="T174" i="4"/>
  <c r="U174" i="4" s="1"/>
  <c r="J81" i="4"/>
  <c r="L81" i="4"/>
  <c r="K81" i="4"/>
  <c r="I81" i="4"/>
  <c r="M81" i="4"/>
  <c r="T80" i="4"/>
  <c r="U80" i="4" s="1"/>
  <c r="G81" i="4"/>
  <c r="H81" i="4"/>
  <c r="T67" i="4"/>
  <c r="U67" i="4" s="1"/>
  <c r="L257" i="4"/>
  <c r="K257" i="4"/>
  <c r="J257" i="4"/>
  <c r="T255" i="4"/>
  <c r="U255" i="4" s="1"/>
  <c r="T159" i="4"/>
  <c r="U159" i="4" s="1"/>
  <c r="H257" i="4"/>
  <c r="T161" i="4"/>
  <c r="U161" i="4" s="1"/>
  <c r="T65" i="4"/>
  <c r="U65" i="4" s="1"/>
  <c r="T252" i="4"/>
  <c r="U252" i="4" s="1"/>
  <c r="G18" i="5"/>
  <c r="H18" i="5" s="1"/>
  <c r="F104" i="4"/>
  <c r="F141" i="4" s="1"/>
  <c r="F357" i="4" s="1"/>
  <c r="S102" i="4"/>
  <c r="S104" i="4" s="1"/>
  <c r="S141" i="4" s="1"/>
  <c r="Q102" i="4"/>
  <c r="Q104" i="4" s="1"/>
  <c r="Q141" i="4" s="1"/>
  <c r="O102" i="4"/>
  <c r="O104" i="4" s="1"/>
  <c r="O141" i="4" s="1"/>
  <c r="M102" i="4"/>
  <c r="M104" i="4" s="1"/>
  <c r="K102" i="4"/>
  <c r="K104" i="4" s="1"/>
  <c r="I102" i="4"/>
  <c r="I104" i="4" s="1"/>
  <c r="G102" i="4"/>
  <c r="R102" i="4"/>
  <c r="R104" i="4" s="1"/>
  <c r="R141" i="4" s="1"/>
  <c r="P102" i="4"/>
  <c r="P104" i="4" s="1"/>
  <c r="P141" i="4" s="1"/>
  <c r="N102" i="4"/>
  <c r="N104" i="4" s="1"/>
  <c r="N141" i="4" s="1"/>
  <c r="L102" i="4"/>
  <c r="L104" i="4" s="1"/>
  <c r="J102" i="4"/>
  <c r="J104" i="4" s="1"/>
  <c r="H102" i="4"/>
  <c r="H104" i="4" s="1"/>
  <c r="U556" i="1"/>
  <c r="V556" i="1" s="1"/>
  <c r="G558" i="1"/>
  <c r="U120" i="1"/>
  <c r="V120" i="1" s="1"/>
  <c r="G129" i="1"/>
  <c r="T209" i="4"/>
  <c r="U209" i="4" s="1"/>
  <c r="G25" i="5"/>
  <c r="H25" i="5" s="1"/>
  <c r="G237" i="4"/>
  <c r="F151" i="4"/>
  <c r="F189" i="4" s="1"/>
  <c r="R149" i="4"/>
  <c r="R151" i="4" s="1"/>
  <c r="R189" i="4" s="1"/>
  <c r="P149" i="4"/>
  <c r="P151" i="4" s="1"/>
  <c r="P189" i="4" s="1"/>
  <c r="N149" i="4"/>
  <c r="N151" i="4" s="1"/>
  <c r="N189" i="4" s="1"/>
  <c r="L149" i="4"/>
  <c r="L151" i="4" s="1"/>
  <c r="L189" i="4" s="1"/>
  <c r="J149" i="4"/>
  <c r="J151" i="4" s="1"/>
  <c r="J189" i="4" s="1"/>
  <c r="H149" i="4"/>
  <c r="H151" i="4" s="1"/>
  <c r="H189" i="4" s="1"/>
  <c r="S149" i="4"/>
  <c r="S151" i="4" s="1"/>
  <c r="S189" i="4" s="1"/>
  <c r="Q149" i="4"/>
  <c r="Q151" i="4" s="1"/>
  <c r="Q189" i="4" s="1"/>
  <c r="Q367" i="4" s="1"/>
  <c r="O149" i="4"/>
  <c r="O151" i="4" s="1"/>
  <c r="O189" i="4" s="1"/>
  <c r="M149" i="4"/>
  <c r="M151" i="4" s="1"/>
  <c r="M189" i="4" s="1"/>
  <c r="K149" i="4"/>
  <c r="K151" i="4" s="1"/>
  <c r="K189" i="4" s="1"/>
  <c r="I149" i="4"/>
  <c r="I151" i="4" s="1"/>
  <c r="I189" i="4" s="1"/>
  <c r="G149" i="4"/>
  <c r="T19" i="4"/>
  <c r="U19" i="4" s="1"/>
  <c r="G47" i="4"/>
  <c r="G333" i="4"/>
  <c r="L490" i="4" l="1"/>
  <c r="L126" i="4" s="1"/>
  <c r="T488" i="4"/>
  <c r="U488" i="4" s="1"/>
  <c r="G490" i="4"/>
  <c r="G126" i="4" s="1"/>
  <c r="D24" i="5" s="1"/>
  <c r="H490" i="4"/>
  <c r="H126" i="4" s="1"/>
  <c r="I490" i="4"/>
  <c r="I126" i="4" s="1"/>
  <c r="J490" i="4"/>
  <c r="J126" i="4" s="1"/>
  <c r="M490" i="4"/>
  <c r="M126" i="4" s="1"/>
  <c r="K490" i="4"/>
  <c r="K126" i="4" s="1"/>
  <c r="T489" i="4"/>
  <c r="U489" i="4" s="1"/>
  <c r="T522" i="4"/>
  <c r="U522" i="4" s="1"/>
  <c r="G136" i="4"/>
  <c r="T136" i="4" s="1"/>
  <c r="U136" i="4" s="1"/>
  <c r="T511" i="4"/>
  <c r="U511" i="4" s="1"/>
  <c r="T133" i="4"/>
  <c r="U133" i="4" s="1"/>
  <c r="F581" i="4"/>
  <c r="I580" i="4"/>
  <c r="I581" i="4" s="1"/>
  <c r="M580" i="4"/>
  <c r="M581" i="4" s="1"/>
  <c r="H580" i="4"/>
  <c r="H581" i="4" s="1"/>
  <c r="P580" i="4"/>
  <c r="K580" i="4"/>
  <c r="K581" i="4" s="1"/>
  <c r="N580" i="4"/>
  <c r="L580" i="4"/>
  <c r="L581" i="4" s="1"/>
  <c r="Q580" i="4"/>
  <c r="J580" i="4"/>
  <c r="J581" i="4" s="1"/>
  <c r="O580" i="4"/>
  <c r="G580" i="4"/>
  <c r="S580" i="4"/>
  <c r="R580" i="4"/>
  <c r="T271" i="4"/>
  <c r="U271" i="4" s="1"/>
  <c r="T81" i="4"/>
  <c r="U81" i="4" s="1"/>
  <c r="F13" i="5"/>
  <c r="T257" i="4"/>
  <c r="U257" i="4" s="1"/>
  <c r="S367" i="4"/>
  <c r="H367" i="4"/>
  <c r="O367" i="4"/>
  <c r="J367" i="4"/>
  <c r="I367" i="4"/>
  <c r="K367" i="4"/>
  <c r="L367" i="4"/>
  <c r="M367" i="4"/>
  <c r="N367" i="4"/>
  <c r="P367" i="4"/>
  <c r="R367" i="4"/>
  <c r="G544" i="4"/>
  <c r="T544" i="4" s="1"/>
  <c r="U544" i="4" s="1"/>
  <c r="T47" i="4"/>
  <c r="U47" i="4" s="1"/>
  <c r="G545" i="4"/>
  <c r="T545" i="4" s="1"/>
  <c r="U545" i="4" s="1"/>
  <c r="G377" i="4"/>
  <c r="T377" i="4" s="1"/>
  <c r="U377" i="4" s="1"/>
  <c r="T333" i="4"/>
  <c r="U333" i="4" s="1"/>
  <c r="F55" i="4"/>
  <c r="U129" i="1"/>
  <c r="V129" i="1" s="1"/>
  <c r="N371" i="4"/>
  <c r="N357" i="4"/>
  <c r="N372" i="4"/>
  <c r="R371" i="4"/>
  <c r="R357" i="4"/>
  <c r="R372" i="4"/>
  <c r="Q357" i="4"/>
  <c r="Q371" i="4"/>
  <c r="Q372" i="4"/>
  <c r="T149" i="4"/>
  <c r="U149" i="4" s="1"/>
  <c r="G151" i="4"/>
  <c r="G358" i="4"/>
  <c r="T358" i="4" s="1"/>
  <c r="U358" i="4" s="1"/>
  <c r="G373" i="4"/>
  <c r="T373" i="4" s="1"/>
  <c r="U373" i="4" s="1"/>
  <c r="T237" i="4"/>
  <c r="U237" i="4" s="1"/>
  <c r="F245" i="4"/>
  <c r="U558" i="1"/>
  <c r="V558" i="1" s="1"/>
  <c r="P372" i="4"/>
  <c r="P357" i="4"/>
  <c r="P371" i="4"/>
  <c r="G104" i="4"/>
  <c r="T102" i="4"/>
  <c r="U102" i="4" s="1"/>
  <c r="O371" i="4"/>
  <c r="O372" i="4"/>
  <c r="O357" i="4"/>
  <c r="S371" i="4"/>
  <c r="S372" i="4"/>
  <c r="S357" i="4"/>
  <c r="T490" i="4" l="1"/>
  <c r="U490" i="4" s="1"/>
  <c r="T126" i="4"/>
  <c r="U126" i="4" s="1"/>
  <c r="L582" i="4"/>
  <c r="L112" i="4" s="1"/>
  <c r="L114" i="4" s="1"/>
  <c r="E24" i="5"/>
  <c r="F24" i="5" s="1"/>
  <c r="K582" i="4"/>
  <c r="K112" i="4" s="1"/>
  <c r="K114" i="4" s="1"/>
  <c r="M582" i="4"/>
  <c r="M112" i="4" s="1"/>
  <c r="M114" i="4" s="1"/>
  <c r="J582" i="4"/>
  <c r="J112" i="4" s="1"/>
  <c r="J114" i="4" s="1"/>
  <c r="I582" i="4"/>
  <c r="I112" i="4" s="1"/>
  <c r="H582" i="4"/>
  <c r="H112" i="4" s="1"/>
  <c r="G581" i="4"/>
  <c r="T580" i="4"/>
  <c r="U580" i="4" s="1"/>
  <c r="T104" i="4"/>
  <c r="U104" i="4" s="1"/>
  <c r="S245" i="4"/>
  <c r="S247" i="4" s="1"/>
  <c r="S285" i="4" s="1"/>
  <c r="Q245" i="4"/>
  <c r="Q247" i="4" s="1"/>
  <c r="Q285" i="4" s="1"/>
  <c r="O245" i="4"/>
  <c r="O247" i="4" s="1"/>
  <c r="O285" i="4" s="1"/>
  <c r="M245" i="4"/>
  <c r="M247" i="4" s="1"/>
  <c r="M285" i="4" s="1"/>
  <c r="K245" i="4"/>
  <c r="K247" i="4" s="1"/>
  <c r="K285" i="4" s="1"/>
  <c r="I245" i="4"/>
  <c r="I247" i="4" s="1"/>
  <c r="I285" i="4" s="1"/>
  <c r="G245" i="4"/>
  <c r="F247" i="4"/>
  <c r="F285" i="4" s="1"/>
  <c r="F359" i="4" s="1"/>
  <c r="F360" i="4" s="1"/>
  <c r="F380" i="4" s="1"/>
  <c r="R245" i="4"/>
  <c r="R247" i="4" s="1"/>
  <c r="R285" i="4" s="1"/>
  <c r="P245" i="4"/>
  <c r="P247" i="4" s="1"/>
  <c r="P285" i="4" s="1"/>
  <c r="N245" i="4"/>
  <c r="N247" i="4" s="1"/>
  <c r="N285" i="4" s="1"/>
  <c r="L245" i="4"/>
  <c r="L247" i="4" s="1"/>
  <c r="L285" i="4" s="1"/>
  <c r="J245" i="4"/>
  <c r="J247" i="4" s="1"/>
  <c r="J285" i="4" s="1"/>
  <c r="H245" i="4"/>
  <c r="H247" i="4" s="1"/>
  <c r="H285" i="4" s="1"/>
  <c r="T151" i="4"/>
  <c r="U151" i="4" s="1"/>
  <c r="G189" i="4"/>
  <c r="S55" i="4"/>
  <c r="S57" i="4" s="1"/>
  <c r="S95" i="4" s="1"/>
  <c r="Q55" i="4"/>
  <c r="Q57" i="4" s="1"/>
  <c r="Q95" i="4" s="1"/>
  <c r="O55" i="4"/>
  <c r="O57" i="4" s="1"/>
  <c r="O95" i="4" s="1"/>
  <c r="M55" i="4"/>
  <c r="K55" i="4"/>
  <c r="I55" i="4"/>
  <c r="G55" i="4"/>
  <c r="F57" i="4"/>
  <c r="F95" i="4" s="1"/>
  <c r="F386" i="4" s="1"/>
  <c r="R55" i="4"/>
  <c r="R57" i="4" s="1"/>
  <c r="R95" i="4" s="1"/>
  <c r="P55" i="4"/>
  <c r="P57" i="4" s="1"/>
  <c r="P95" i="4" s="1"/>
  <c r="N55" i="4"/>
  <c r="N57" i="4" s="1"/>
  <c r="N95" i="4" s="1"/>
  <c r="L55" i="4"/>
  <c r="J55" i="4"/>
  <c r="H55" i="4"/>
  <c r="L370" i="4" l="1"/>
  <c r="N370" i="4"/>
  <c r="P370" i="4"/>
  <c r="R370" i="4"/>
  <c r="H370" i="4"/>
  <c r="J370" i="4"/>
  <c r="K370" i="4"/>
  <c r="I114" i="4"/>
  <c r="H114" i="4"/>
  <c r="G582" i="4"/>
  <c r="T581" i="4"/>
  <c r="U581" i="4" s="1"/>
  <c r="R386" i="4"/>
  <c r="R387" i="4" s="1"/>
  <c r="R344" i="4"/>
  <c r="R348" i="4" s="1"/>
  <c r="R351" i="4" s="1"/>
  <c r="R352" i="4" s="1"/>
  <c r="R354" i="4" s="1"/>
  <c r="N386" i="4"/>
  <c r="N387" i="4" s="1"/>
  <c r="N344" i="4"/>
  <c r="N348" i="4" s="1"/>
  <c r="N351" i="4" s="1"/>
  <c r="O386" i="4"/>
  <c r="O429" i="4" s="1"/>
  <c r="O344" i="4"/>
  <c r="O348" i="4" s="1"/>
  <c r="O351" i="4" s="1"/>
  <c r="O352" i="4" s="1"/>
  <c r="O354" i="4" s="1"/>
  <c r="Q386" i="4"/>
  <c r="Q429" i="4" s="1"/>
  <c r="Q344" i="4"/>
  <c r="Q348" i="4" s="1"/>
  <c r="Q351" i="4" s="1"/>
  <c r="Q352" i="4" s="1"/>
  <c r="Q354" i="4" s="1"/>
  <c r="P386" i="4"/>
  <c r="P387" i="4" s="1"/>
  <c r="P344" i="4"/>
  <c r="P348" i="4" s="1"/>
  <c r="P351" i="4" s="1"/>
  <c r="P352" i="4" s="1"/>
  <c r="P354" i="4" s="1"/>
  <c r="S386" i="4"/>
  <c r="S429" i="4" s="1"/>
  <c r="S344" i="4"/>
  <c r="S348" i="4" s="1"/>
  <c r="S351" i="4" s="1"/>
  <c r="S352" i="4" s="1"/>
  <c r="S354" i="4" s="1"/>
  <c r="I370" i="4"/>
  <c r="M370" i="4"/>
  <c r="Q370" i="4"/>
  <c r="S370" i="4"/>
  <c r="O370" i="4"/>
  <c r="M57" i="4"/>
  <c r="M95" i="4" s="1"/>
  <c r="H368" i="4"/>
  <c r="H369" i="4"/>
  <c r="L368" i="4"/>
  <c r="L369" i="4"/>
  <c r="P368" i="4"/>
  <c r="P369" i="4"/>
  <c r="I368" i="4"/>
  <c r="I369" i="4"/>
  <c r="M368" i="4"/>
  <c r="M369" i="4"/>
  <c r="Q368" i="4"/>
  <c r="Q369" i="4"/>
  <c r="J368" i="4"/>
  <c r="J369" i="4"/>
  <c r="N368" i="4"/>
  <c r="N369" i="4"/>
  <c r="R368" i="4"/>
  <c r="R369" i="4"/>
  <c r="K368" i="4"/>
  <c r="K369" i="4"/>
  <c r="O368" i="4"/>
  <c r="O369" i="4"/>
  <c r="S368" i="4"/>
  <c r="S369" i="4"/>
  <c r="J57" i="4"/>
  <c r="J95" i="4" s="1"/>
  <c r="T55" i="4"/>
  <c r="U55" i="4" s="1"/>
  <c r="G57" i="4"/>
  <c r="G13" i="5"/>
  <c r="K57" i="4"/>
  <c r="K95" i="4" s="1"/>
  <c r="G367" i="4"/>
  <c r="T189" i="4"/>
  <c r="U189" i="4" s="1"/>
  <c r="H359" i="4"/>
  <c r="H376" i="4"/>
  <c r="L359" i="4"/>
  <c r="L376" i="4"/>
  <c r="P376" i="4"/>
  <c r="P359" i="4"/>
  <c r="P360" i="4" s="1"/>
  <c r="F384" i="4"/>
  <c r="F419" i="4" s="1"/>
  <c r="F542" i="4"/>
  <c r="F547" i="4" s="1"/>
  <c r="I376" i="4"/>
  <c r="I359" i="4"/>
  <c r="M359" i="4"/>
  <c r="M376" i="4"/>
  <c r="Q359" i="4"/>
  <c r="Q360" i="4" s="1"/>
  <c r="Q376" i="4"/>
  <c r="H57" i="4"/>
  <c r="H95" i="4" s="1"/>
  <c r="L57" i="4"/>
  <c r="L95" i="4" s="1"/>
  <c r="F429" i="4"/>
  <c r="I57" i="4"/>
  <c r="I95" i="4" s="1"/>
  <c r="J359" i="4"/>
  <c r="J376" i="4"/>
  <c r="N376" i="4"/>
  <c r="N359" i="4"/>
  <c r="N360" i="4" s="1"/>
  <c r="R376" i="4"/>
  <c r="R359" i="4"/>
  <c r="R360" i="4" s="1"/>
  <c r="G247" i="4"/>
  <c r="T245" i="4"/>
  <c r="U245" i="4" s="1"/>
  <c r="K376" i="4"/>
  <c r="K359" i="4"/>
  <c r="O359" i="4"/>
  <c r="O360" i="4" s="1"/>
  <c r="O376" i="4"/>
  <c r="S359" i="4"/>
  <c r="S360" i="4" s="1"/>
  <c r="S376" i="4"/>
  <c r="O387" i="4" l="1"/>
  <c r="S387" i="4"/>
  <c r="N429" i="4"/>
  <c r="R429" i="4"/>
  <c r="P429" i="4"/>
  <c r="T582" i="4"/>
  <c r="U582" i="4" s="1"/>
  <c r="G112" i="4"/>
  <c r="Q387" i="4"/>
  <c r="L386" i="4"/>
  <c r="L344" i="4"/>
  <c r="L348" i="4" s="1"/>
  <c r="L354" i="4" s="1"/>
  <c r="K386" i="4"/>
  <c r="K344" i="4"/>
  <c r="K348" i="4" s="1"/>
  <c r="K354" i="4" s="1"/>
  <c r="H386" i="4"/>
  <c r="H344" i="4"/>
  <c r="H348" i="4" s="1"/>
  <c r="H354" i="4" s="1"/>
  <c r="J386" i="4"/>
  <c r="J344" i="4"/>
  <c r="J348" i="4" s="1"/>
  <c r="J354" i="4" s="1"/>
  <c r="I386" i="4"/>
  <c r="I344" i="4"/>
  <c r="I348" i="4" s="1"/>
  <c r="I354" i="4" s="1"/>
  <c r="N352" i="4"/>
  <c r="T351" i="4"/>
  <c r="U351" i="4" s="1"/>
  <c r="M386" i="4"/>
  <c r="M344" i="4"/>
  <c r="M348" i="4" s="1"/>
  <c r="M354" i="4" s="1"/>
  <c r="F387" i="4"/>
  <c r="R378" i="4"/>
  <c r="R380" i="4" s="1"/>
  <c r="N378" i="4"/>
  <c r="P378" i="4"/>
  <c r="P380" i="4" s="1"/>
  <c r="Q378" i="4"/>
  <c r="Q380" i="4" s="1"/>
  <c r="S378" i="4"/>
  <c r="S380" i="4" s="1"/>
  <c r="O378" i="4"/>
  <c r="O380" i="4" s="1"/>
  <c r="T247" i="4"/>
  <c r="U247" i="4" s="1"/>
  <c r="G26" i="5"/>
  <c r="H26" i="5" s="1"/>
  <c r="G285" i="4"/>
  <c r="G370" i="4" s="1"/>
  <c r="T370" i="4" s="1"/>
  <c r="U370" i="4" s="1"/>
  <c r="T367" i="4"/>
  <c r="U367" i="4" s="1"/>
  <c r="Q382" i="4"/>
  <c r="O382" i="4"/>
  <c r="P382" i="4"/>
  <c r="R382" i="4"/>
  <c r="S382" i="4"/>
  <c r="N382" i="4"/>
  <c r="H13" i="5"/>
  <c r="T57" i="4"/>
  <c r="U57" i="4" s="1"/>
  <c r="G95" i="4"/>
  <c r="G344" i="4" s="1"/>
  <c r="K429" i="4" l="1"/>
  <c r="D19" i="6"/>
  <c r="M429" i="4"/>
  <c r="D23" i="6"/>
  <c r="L429" i="4"/>
  <c r="D21" i="6"/>
  <c r="I429" i="4"/>
  <c r="D15" i="6"/>
  <c r="J429" i="4"/>
  <c r="D17" i="6"/>
  <c r="H429" i="4"/>
  <c r="D13" i="6"/>
  <c r="G114" i="4"/>
  <c r="T112" i="4"/>
  <c r="U112" i="4" s="1"/>
  <c r="T344" i="4"/>
  <c r="U344" i="4" s="1"/>
  <c r="G348" i="4"/>
  <c r="N354" i="4"/>
  <c r="T352" i="4"/>
  <c r="U352" i="4" s="1"/>
  <c r="N380" i="4"/>
  <c r="N384" i="4" s="1"/>
  <c r="N419" i="4" s="1"/>
  <c r="R384" i="4"/>
  <c r="R419" i="4" s="1"/>
  <c r="P384" i="4"/>
  <c r="P419" i="4" s="1"/>
  <c r="G368" i="4"/>
  <c r="T368" i="4" s="1"/>
  <c r="U368" i="4" s="1"/>
  <c r="G369" i="4"/>
  <c r="T369" i="4" s="1"/>
  <c r="U369" i="4" s="1"/>
  <c r="Q384" i="4"/>
  <c r="Q419" i="4" s="1"/>
  <c r="S384" i="4"/>
  <c r="S419" i="4" s="1"/>
  <c r="G386" i="4"/>
  <c r="D11" i="6" s="1"/>
  <c r="T95" i="4"/>
  <c r="U95" i="4" s="1"/>
  <c r="G359" i="4"/>
  <c r="T285" i="4"/>
  <c r="U285" i="4" s="1"/>
  <c r="G376" i="4"/>
  <c r="O384" i="4"/>
  <c r="O419" i="4" s="1"/>
  <c r="D25" i="6" l="1"/>
  <c r="T114" i="4"/>
  <c r="U114" i="4" s="1"/>
  <c r="G354" i="4"/>
  <c r="T354" i="4" s="1"/>
  <c r="U354" i="4" s="1"/>
  <c r="T348" i="4"/>
  <c r="U348" i="4" s="1"/>
  <c r="T376" i="4"/>
  <c r="U376" i="4" s="1"/>
  <c r="T359" i="4"/>
  <c r="U359" i="4" s="1"/>
  <c r="T386" i="4"/>
  <c r="U386" i="4" s="1"/>
  <c r="G429" i="4"/>
  <c r="T429" i="4" s="1"/>
  <c r="U429" i="4" s="1"/>
  <c r="F423" i="4" l="1"/>
  <c r="F425" i="4" s="1"/>
  <c r="F434" i="4" l="1"/>
  <c r="F438" i="4" s="1"/>
  <c r="F443" i="4"/>
  <c r="F444" i="4" s="1"/>
  <c r="H444" i="4" s="1"/>
  <c r="N425" i="4"/>
  <c r="N427" i="4" s="1"/>
  <c r="R425" i="4"/>
  <c r="R427" i="4" s="1"/>
  <c r="Q425" i="4"/>
  <c r="Q427" i="4" s="1"/>
  <c r="P425" i="4"/>
  <c r="P427" i="4" s="1"/>
  <c r="O425" i="4"/>
  <c r="O427" i="4" s="1"/>
  <c r="S425" i="4"/>
  <c r="S427" i="4" s="1"/>
  <c r="F427" i="4"/>
  <c r="F431" i="4" s="1"/>
  <c r="D14" i="5" l="1"/>
  <c r="H14" i="5" s="1"/>
  <c r="F24" i="7"/>
  <c r="D16" i="5" l="1"/>
  <c r="D20" i="5" s="1"/>
  <c r="F14" i="5"/>
  <c r="F16" i="5" s="1"/>
  <c r="F20" i="5" s="1"/>
  <c r="E14" i="5"/>
  <c r="E16" i="5" s="1"/>
  <c r="E20" i="5" s="1"/>
  <c r="G14" i="5"/>
  <c r="G16" i="5" s="1"/>
  <c r="G20" i="5" s="1"/>
  <c r="H16" i="5"/>
  <c r="H20" i="5" l="1"/>
  <c r="M467" i="4" l="1"/>
  <c r="M468" i="4" s="1"/>
  <c r="M469" i="4" s="1"/>
  <c r="M120" i="4" s="1"/>
  <c r="I467" i="4"/>
  <c r="I468" i="4" s="1"/>
  <c r="I469" i="4" s="1"/>
  <c r="I120" i="4" s="1"/>
  <c r="J467" i="4"/>
  <c r="J468" i="4" s="1"/>
  <c r="J469" i="4" s="1"/>
  <c r="J120" i="4" s="1"/>
  <c r="K467" i="4"/>
  <c r="K468" i="4" s="1"/>
  <c r="K469" i="4" s="1"/>
  <c r="K120" i="4" s="1"/>
  <c r="H467" i="4"/>
  <c r="L467" i="4"/>
  <c r="L468" i="4" s="1"/>
  <c r="L469" i="4" s="1"/>
  <c r="L120" i="4" s="1"/>
  <c r="G467" i="4"/>
  <c r="G468" i="4" s="1"/>
  <c r="T467" i="4" l="1"/>
  <c r="U467" i="4" s="1"/>
  <c r="G469" i="4"/>
  <c r="H468" i="4"/>
  <c r="H469" i="4" s="1"/>
  <c r="H120" i="4" s="1"/>
  <c r="T469" i="4" l="1"/>
  <c r="U469" i="4" s="1"/>
  <c r="G120" i="4"/>
  <c r="T468" i="4"/>
  <c r="U468" i="4" s="1"/>
  <c r="T120" i="4" l="1"/>
  <c r="U120" i="4" s="1"/>
  <c r="K477" i="4"/>
  <c r="K478" i="4" s="1"/>
  <c r="K479" i="4" s="1"/>
  <c r="K125" i="4" s="1"/>
  <c r="H477" i="4"/>
  <c r="H478" i="4" s="1"/>
  <c r="H479" i="4" s="1"/>
  <c r="H125" i="4" s="1"/>
  <c r="L477" i="4"/>
  <c r="L478" i="4" s="1"/>
  <c r="L479" i="4" s="1"/>
  <c r="L125" i="4" s="1"/>
  <c r="I477" i="4"/>
  <c r="I478" i="4" s="1"/>
  <c r="I479" i="4" s="1"/>
  <c r="I125" i="4" s="1"/>
  <c r="J477" i="4"/>
  <c r="J478" i="4" s="1"/>
  <c r="J479" i="4" s="1"/>
  <c r="J125" i="4" s="1"/>
  <c r="M477" i="4"/>
  <c r="M478" i="4" s="1"/>
  <c r="M479" i="4" s="1"/>
  <c r="M125" i="4" s="1"/>
  <c r="G477" i="4"/>
  <c r="T477" i="4" l="1"/>
  <c r="U477" i="4" s="1"/>
  <c r="M127" i="4"/>
  <c r="M141" i="4" s="1"/>
  <c r="L127" i="4"/>
  <c r="L141" i="4" s="1"/>
  <c r="H127" i="4"/>
  <c r="H141" i="4" s="1"/>
  <c r="J127" i="4"/>
  <c r="J141" i="4" s="1"/>
  <c r="K127" i="4"/>
  <c r="K141" i="4" s="1"/>
  <c r="I127" i="4"/>
  <c r="I141" i="4" s="1"/>
  <c r="G478" i="4"/>
  <c r="G479" i="4" l="1"/>
  <c r="T478" i="4"/>
  <c r="U478" i="4" s="1"/>
  <c r="L371" i="4"/>
  <c r="L372" i="4"/>
  <c r="L357" i="4"/>
  <c r="L360" i="4" s="1"/>
  <c r="I372" i="4"/>
  <c r="I357" i="4"/>
  <c r="I360" i="4" s="1"/>
  <c r="I371" i="4"/>
  <c r="J372" i="4"/>
  <c r="J371" i="4"/>
  <c r="J357" i="4"/>
  <c r="J360" i="4" s="1"/>
  <c r="H372" i="4"/>
  <c r="H371" i="4"/>
  <c r="H357" i="4"/>
  <c r="H360" i="4" s="1"/>
  <c r="K372" i="4"/>
  <c r="K371" i="4"/>
  <c r="K357" i="4"/>
  <c r="K360" i="4" s="1"/>
  <c r="M371" i="4"/>
  <c r="M357" i="4"/>
  <c r="M360" i="4" s="1"/>
  <c r="M372" i="4"/>
  <c r="J378" i="4" l="1"/>
  <c r="I378" i="4"/>
  <c r="K378" i="4"/>
  <c r="H378" i="4"/>
  <c r="H380" i="4" s="1"/>
  <c r="L378" i="4"/>
  <c r="M378" i="4"/>
  <c r="M380" i="4" s="1"/>
  <c r="G125" i="4"/>
  <c r="T479" i="4"/>
  <c r="U479" i="4" s="1"/>
  <c r="J380" i="4" l="1"/>
  <c r="J542" i="4" s="1"/>
  <c r="J547" i="4" s="1"/>
  <c r="J382" i="4" s="1"/>
  <c r="I380" i="4"/>
  <c r="I542" i="4" s="1"/>
  <c r="I547" i="4" s="1"/>
  <c r="I382" i="4" s="1"/>
  <c r="K380" i="4"/>
  <c r="K542" i="4" s="1"/>
  <c r="K547" i="4" s="1"/>
  <c r="K382" i="4" s="1"/>
  <c r="H542" i="4"/>
  <c r="H547" i="4" s="1"/>
  <c r="H382" i="4" s="1"/>
  <c r="G24" i="5"/>
  <c r="G127" i="4"/>
  <c r="T125" i="4"/>
  <c r="U125" i="4" s="1"/>
  <c r="M542" i="4"/>
  <c r="M547" i="4" s="1"/>
  <c r="M382" i="4" s="1"/>
  <c r="L380" i="4"/>
  <c r="K384" i="4" l="1"/>
  <c r="C19" i="6" s="1"/>
  <c r="E19" i="6" s="1"/>
  <c r="E18" i="7" s="1"/>
  <c r="I384" i="4"/>
  <c r="C15" i="6" s="1"/>
  <c r="E15" i="6" s="1"/>
  <c r="E14" i="7" s="1"/>
  <c r="L542" i="4"/>
  <c r="L547" i="4" s="1"/>
  <c r="L382" i="4" s="1"/>
  <c r="M384" i="4"/>
  <c r="C23" i="6" s="1"/>
  <c r="E23" i="6" s="1"/>
  <c r="E22" i="7" s="1"/>
  <c r="G141" i="4"/>
  <c r="T127" i="4"/>
  <c r="U127" i="4" s="1"/>
  <c r="H24" i="5"/>
  <c r="J384" i="4"/>
  <c r="C17" i="6" s="1"/>
  <c r="E17" i="6" s="1"/>
  <c r="E16" i="7" s="1"/>
  <c r="H384" i="4"/>
  <c r="C13" i="6" s="1"/>
  <c r="E13" i="6" s="1"/>
  <c r="E12" i="7" s="1"/>
  <c r="K419" i="4" l="1"/>
  <c r="K427" i="4" s="1"/>
  <c r="K431" i="4" s="1"/>
  <c r="F18" i="7" s="1"/>
  <c r="I387" i="4"/>
  <c r="I419" i="4"/>
  <c r="K387" i="4"/>
  <c r="L384" i="4"/>
  <c r="C21" i="6" s="1"/>
  <c r="E21" i="6" s="1"/>
  <c r="E20" i="7" s="1"/>
  <c r="M387" i="4"/>
  <c r="M419" i="4"/>
  <c r="M427" i="4" s="1"/>
  <c r="M431" i="4" s="1"/>
  <c r="F22" i="7" s="1"/>
  <c r="H419" i="4"/>
  <c r="H387" i="4"/>
  <c r="J387" i="4"/>
  <c r="J419" i="4"/>
  <c r="G371" i="4"/>
  <c r="T141" i="4"/>
  <c r="U141" i="4" s="1"/>
  <c r="G357" i="4"/>
  <c r="G372" i="4"/>
  <c r="T372" i="4" s="1"/>
  <c r="U372" i="4" s="1"/>
  <c r="L419" i="4" l="1"/>
  <c r="L387" i="4"/>
  <c r="T357" i="4"/>
  <c r="U357" i="4" s="1"/>
  <c r="G360" i="4"/>
  <c r="T371" i="4"/>
  <c r="U371" i="4" s="1"/>
  <c r="G378" i="4"/>
  <c r="G27" i="5" l="1"/>
  <c r="T378" i="4"/>
  <c r="U378" i="4" s="1"/>
  <c r="E27" i="5"/>
  <c r="D27" i="5"/>
  <c r="T360" i="4"/>
  <c r="U360" i="4" s="1"/>
  <c r="G380" i="4"/>
  <c r="G445" i="4" l="1"/>
  <c r="G423" i="4"/>
  <c r="G425" i="4" s="1"/>
  <c r="H27" i="5"/>
  <c r="F27" i="5"/>
  <c r="G542" i="4"/>
  <c r="G547" i="4" s="1"/>
  <c r="T380" i="4"/>
  <c r="U380" i="4" s="1"/>
  <c r="T542" i="4" l="1"/>
  <c r="U542" i="4" s="1"/>
  <c r="B20" i="7" l="1"/>
  <c r="L445" i="4"/>
  <c r="L423" i="4"/>
  <c r="L425" i="4" s="1"/>
  <c r="I445" i="4"/>
  <c r="B14" i="7"/>
  <c r="I423" i="4"/>
  <c r="I425" i="4" s="1"/>
  <c r="J445" i="4"/>
  <c r="B16" i="7"/>
  <c r="J423" i="4"/>
  <c r="J425" i="4" s="1"/>
  <c r="T547" i="4"/>
  <c r="U547" i="4" s="1"/>
  <c r="G382" i="4"/>
  <c r="I427" i="4" l="1"/>
  <c r="I431" i="4" s="1"/>
  <c r="L427" i="4"/>
  <c r="L431" i="4" s="1"/>
  <c r="F20" i="7" s="1"/>
  <c r="J427" i="4"/>
  <c r="J431" i="4" s="1"/>
  <c r="F16" i="7" s="1"/>
  <c r="T382" i="4"/>
  <c r="U382" i="4" s="1"/>
  <c r="G384" i="4"/>
  <c r="C11" i="6" l="1"/>
  <c r="E11" i="6" s="1"/>
  <c r="E10" i="7" s="1"/>
  <c r="J22" i="5"/>
  <c r="F14" i="7"/>
  <c r="T384" i="4"/>
  <c r="U384" i="4" s="1"/>
  <c r="G387" i="4"/>
  <c r="G419" i="4"/>
  <c r="C25" i="6" l="1"/>
  <c r="E25" i="6" s="1"/>
  <c r="E24" i="7" s="1"/>
  <c r="E22" i="5"/>
  <c r="E29" i="5" s="1"/>
  <c r="D22" i="5"/>
  <c r="G22" i="5"/>
  <c r="G29" i="5" s="1"/>
  <c r="T419" i="4"/>
  <c r="U419" i="4" s="1"/>
  <c r="G427" i="4"/>
  <c r="H22" i="5" l="1"/>
  <c r="H29" i="5" s="1"/>
  <c r="E31" i="5" s="1"/>
  <c r="E33" i="5" s="1"/>
  <c r="E37" i="5" s="1"/>
  <c r="F22" i="5"/>
  <c r="F29" i="5" s="1"/>
  <c r="D29" i="5"/>
  <c r="G431" i="4"/>
  <c r="F10" i="7" s="1"/>
  <c r="G31" i="5" l="1"/>
  <c r="G33" i="5" s="1"/>
  <c r="G37" i="5" s="1"/>
  <c r="D31" i="5"/>
  <c r="D33" i="5" s="1"/>
  <c r="D37" i="5" s="1"/>
  <c r="T421" i="4"/>
  <c r="U421" i="4" s="1"/>
  <c r="B12" i="7"/>
  <c r="B24" i="7" s="1"/>
  <c r="H423" i="4"/>
  <c r="H425" i="4" s="1"/>
  <c r="H445" i="4"/>
  <c r="F31" i="5" l="1"/>
  <c r="F33" i="5" s="1"/>
  <c r="F37" i="5" s="1"/>
  <c r="H31" i="5"/>
  <c r="H33" i="5" s="1"/>
  <c r="T425" i="4"/>
  <c r="U425" i="4" s="1"/>
  <c r="W422" i="4"/>
  <c r="H427" i="4" l="1"/>
  <c r="H447" i="4" s="1"/>
  <c r="H446" i="4" s="1"/>
  <c r="H431" i="4" l="1"/>
  <c r="F12" i="7" s="1"/>
  <c r="T447" i="4"/>
  <c r="T427" i="4"/>
  <c r="U427" i="4" s="1"/>
  <c r="W42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Garcia</author>
    <author>Preferred Customer</author>
  </authors>
  <commentList>
    <comment ref="L453" authorId="0" shapeId="0" xr:uid="{87CEAC98-24C9-4FEB-B8AA-F12F4E74E250}">
      <text>
        <r>
          <rPr>
            <sz val="9"/>
            <color indexed="81"/>
            <rFont val="Tahoma"/>
            <family val="2"/>
          </rPr>
          <t xml:space="preserve">Sipple Brick consumption
</t>
        </r>
      </text>
    </comment>
    <comment ref="L461" authorId="1" shapeId="0" xr:uid="{4AD60D81-21C0-43ED-BD0C-EF2461D495F6}">
      <text>
        <r>
          <rPr>
            <b/>
            <sz val="8"/>
            <color indexed="81"/>
            <rFont val="Tahoma"/>
            <family val="2"/>
          </rPr>
          <t>Preferred Customer:</t>
        </r>
        <r>
          <rPr>
            <sz val="8"/>
            <color indexed="81"/>
            <rFont val="Tahoma"/>
            <family val="2"/>
          </rPr>
          <t xml:space="preserve">
Sipple Brick consumption divided by 365
</t>
        </r>
      </text>
    </comment>
    <comment ref="L471" authorId="1" shapeId="0" xr:uid="{BBDCF05F-A216-4B83-8F9A-40F6A88BFC55}">
      <text>
        <r>
          <rPr>
            <b/>
            <sz val="8"/>
            <color indexed="81"/>
            <rFont val="Tahoma"/>
            <family val="2"/>
          </rPr>
          <t>Preferred Customer:</t>
        </r>
        <r>
          <rPr>
            <sz val="8"/>
            <color indexed="81"/>
            <rFont val="Tahoma"/>
            <family val="2"/>
          </rPr>
          <t xml:space="preserve">
Sipple brick consumption divided by 365
</t>
        </r>
      </text>
    </comment>
  </commentList>
</comments>
</file>

<file path=xl/sharedStrings.xml><?xml version="1.0" encoding="utf-8"?>
<sst xmlns="http://schemas.openxmlformats.org/spreadsheetml/2006/main" count="1813" uniqueCount="892">
  <si>
    <t>Demand</t>
  </si>
  <si>
    <t>Commodity</t>
  </si>
  <si>
    <t>Storage</t>
  </si>
  <si>
    <t>Transmission</t>
  </si>
  <si>
    <t>Distribution</t>
  </si>
  <si>
    <t>Distribution Expenses</t>
  </si>
  <si>
    <t>Distribution Structures &amp; Equipment</t>
  </si>
  <si>
    <t>Distribution Mains</t>
  </si>
  <si>
    <t>Customer</t>
  </si>
  <si>
    <t>Services</t>
  </si>
  <si>
    <t>Meters</t>
  </si>
  <si>
    <t>Customer Accounts</t>
  </si>
  <si>
    <t>Customer Service</t>
  </si>
  <si>
    <t>Total</t>
  </si>
  <si>
    <t>Company</t>
  </si>
  <si>
    <t>Plant in Service</t>
  </si>
  <si>
    <t>Name</t>
  </si>
  <si>
    <t>Vector</t>
  </si>
  <si>
    <t>Description</t>
  </si>
  <si>
    <t>Check</t>
  </si>
  <si>
    <t>Status</t>
  </si>
  <si>
    <t>350-357</t>
  </si>
  <si>
    <t>F001</t>
  </si>
  <si>
    <t>PT350</t>
  </si>
  <si>
    <t>F003</t>
  </si>
  <si>
    <t>Land and Land Rights</t>
  </si>
  <si>
    <t>PT374</t>
  </si>
  <si>
    <t>F005</t>
  </si>
  <si>
    <t>Structures &amp; Improvements</t>
  </si>
  <si>
    <t>PT375</t>
  </si>
  <si>
    <t>Mains</t>
  </si>
  <si>
    <t>PT376</t>
  </si>
  <si>
    <t>F006</t>
  </si>
  <si>
    <t>Meas. &amp; Reg. Sta. Equip. - General</t>
  </si>
  <si>
    <t>PT378</t>
  </si>
  <si>
    <t>F007</t>
  </si>
  <si>
    <t>Meas. &amp; Reg. Sta. Equip. - City Gate</t>
  </si>
  <si>
    <t>PT379</t>
  </si>
  <si>
    <t>F008</t>
  </si>
  <si>
    <t>PT380</t>
  </si>
  <si>
    <t>F009</t>
  </si>
  <si>
    <t>PT381</t>
  </si>
  <si>
    <t>F010</t>
  </si>
  <si>
    <t>Meter Installations</t>
  </si>
  <si>
    <t>PT382</t>
  </si>
  <si>
    <t>F011</t>
  </si>
  <si>
    <t>House Regulators</t>
  </si>
  <si>
    <t>PT383</t>
  </si>
  <si>
    <t>F012</t>
  </si>
  <si>
    <t>House Regulator Installations</t>
  </si>
  <si>
    <t>PT384</t>
  </si>
  <si>
    <t>F013</t>
  </si>
  <si>
    <t>Industrial Meas. &amp; Reg. Equip.</t>
  </si>
  <si>
    <t>PT385</t>
  </si>
  <si>
    <t>Other Equipment</t>
  </si>
  <si>
    <t>PT387</t>
  </si>
  <si>
    <t>PTSUB</t>
  </si>
  <si>
    <t>301-303</t>
  </si>
  <si>
    <t>Intangible Plant</t>
  </si>
  <si>
    <t>PT301</t>
  </si>
  <si>
    <t>389-399</t>
  </si>
  <si>
    <t>General Plant</t>
  </si>
  <si>
    <t>PT389</t>
  </si>
  <si>
    <t>PTIS</t>
  </si>
  <si>
    <t>Distribution Plant</t>
  </si>
  <si>
    <t>Total Distribution Plant</t>
  </si>
  <si>
    <t>Storage-Transmission-Distribution Subtotal</t>
  </si>
  <si>
    <t>Total Plant in Service</t>
  </si>
  <si>
    <t>Plant in Service (Continued)</t>
  </si>
  <si>
    <t>CWIPUS</t>
  </si>
  <si>
    <t>CWIPTR</t>
  </si>
  <si>
    <t>CWIPCO</t>
  </si>
  <si>
    <t>CWIP</t>
  </si>
  <si>
    <t>PTT</t>
  </si>
  <si>
    <t>Less:</t>
  </si>
  <si>
    <t>DEPRUS</t>
  </si>
  <si>
    <t>DEPRDI</t>
  </si>
  <si>
    <t>General</t>
  </si>
  <si>
    <t>DEPRGE</t>
  </si>
  <si>
    <t>Total Depreciation Reserve</t>
  </si>
  <si>
    <t>DEPR</t>
  </si>
  <si>
    <t>Accum. Deferred Income Taxes</t>
  </si>
  <si>
    <t>DIT</t>
  </si>
  <si>
    <t>Investment Tax Credit</t>
  </si>
  <si>
    <t>ITC</t>
  </si>
  <si>
    <t>Materials and Supplies</t>
  </si>
  <si>
    <t>MSP</t>
  </si>
  <si>
    <t>Prepayments</t>
  </si>
  <si>
    <t>PPY</t>
  </si>
  <si>
    <t>Gas Stored Underground</t>
  </si>
  <si>
    <t>GSU</t>
  </si>
  <si>
    <t>Cash Working Capital</t>
  </si>
  <si>
    <t>CWC</t>
  </si>
  <si>
    <t>OMT</t>
  </si>
  <si>
    <t>Net Cost Rate Base</t>
  </si>
  <si>
    <t>NCRB</t>
  </si>
  <si>
    <t>Construction Work In Progress</t>
  </si>
  <si>
    <t>Reserve for Depreciation</t>
  </si>
  <si>
    <t>OM814</t>
  </si>
  <si>
    <t>OM815</t>
  </si>
  <si>
    <t>OM816</t>
  </si>
  <si>
    <t>Lines Expenses</t>
  </si>
  <si>
    <t>OM817</t>
  </si>
  <si>
    <t>OM818</t>
  </si>
  <si>
    <t>F002</t>
  </si>
  <si>
    <t>OM819</t>
  </si>
  <si>
    <t>OM820</t>
  </si>
  <si>
    <t>OM821</t>
  </si>
  <si>
    <t>OM823</t>
  </si>
  <si>
    <t>Other Expenses</t>
  </si>
  <si>
    <t>OM824</t>
  </si>
  <si>
    <t>OM825</t>
  </si>
  <si>
    <t>Rents</t>
  </si>
  <si>
    <t>OM826</t>
  </si>
  <si>
    <t>OM830</t>
  </si>
  <si>
    <t>Maintenance of Structures</t>
  </si>
  <si>
    <t>OM831</t>
  </si>
  <si>
    <t>OM832</t>
  </si>
  <si>
    <t>Maintenance of Lines</t>
  </si>
  <si>
    <t>OM833</t>
  </si>
  <si>
    <t>OM834</t>
  </si>
  <si>
    <t>OM835</t>
  </si>
  <si>
    <t>OM836</t>
  </si>
  <si>
    <t>OM837</t>
  </si>
  <si>
    <t>850-867</t>
  </si>
  <si>
    <t>OM850</t>
  </si>
  <si>
    <t>OM870</t>
  </si>
  <si>
    <t>OM871</t>
  </si>
  <si>
    <t>F004</t>
  </si>
  <si>
    <t>OM880</t>
  </si>
  <si>
    <t>OM881</t>
  </si>
  <si>
    <t>OM885</t>
  </si>
  <si>
    <t>OM886</t>
  </si>
  <si>
    <t>OM887</t>
  </si>
  <si>
    <t>OM888</t>
  </si>
  <si>
    <t>OM889</t>
  </si>
  <si>
    <t>OM890</t>
  </si>
  <si>
    <t>OM891</t>
  </si>
  <si>
    <t>OM892</t>
  </si>
  <si>
    <t>OM893</t>
  </si>
  <si>
    <t>OM894</t>
  </si>
  <si>
    <t>Supervision</t>
  </si>
  <si>
    <t>OM901</t>
  </si>
  <si>
    <t>Meter Reading</t>
  </si>
  <si>
    <t>OM902</t>
  </si>
  <si>
    <t>OM903</t>
  </si>
  <si>
    <t>Uncollectible Accounts</t>
  </si>
  <si>
    <t>OM904</t>
  </si>
  <si>
    <t>OM905</t>
  </si>
  <si>
    <t>OMCA</t>
  </si>
  <si>
    <t>907-910</t>
  </si>
  <si>
    <t>Customer Service Expenses</t>
  </si>
  <si>
    <t>OM907</t>
  </si>
  <si>
    <t>911-916</t>
  </si>
  <si>
    <t>Sales Expenses</t>
  </si>
  <si>
    <t>OM911</t>
  </si>
  <si>
    <t>OM920</t>
  </si>
  <si>
    <t>LBSUB</t>
  </si>
  <si>
    <t>OM921</t>
  </si>
  <si>
    <t>OM922</t>
  </si>
  <si>
    <t>Outside Services Employed</t>
  </si>
  <si>
    <t>OM923</t>
  </si>
  <si>
    <t>OMSUB</t>
  </si>
  <si>
    <t>Property Insurance</t>
  </si>
  <si>
    <t>OM924</t>
  </si>
  <si>
    <t>Injuries and Damages</t>
  </si>
  <si>
    <t>OM925</t>
  </si>
  <si>
    <t>OM926</t>
  </si>
  <si>
    <t>OM927</t>
  </si>
  <si>
    <t>Regulatory Commission Fee</t>
  </si>
  <si>
    <t>OM928</t>
  </si>
  <si>
    <t>OM929</t>
  </si>
  <si>
    <t>OM931</t>
  </si>
  <si>
    <t>Operation and Maintenance Expenses</t>
  </si>
  <si>
    <t>Administrative &amp; General</t>
  </si>
  <si>
    <t>Depreciation Expenses</t>
  </si>
  <si>
    <t>OTRE</t>
  </si>
  <si>
    <t>OTPP</t>
  </si>
  <si>
    <t>OTUN</t>
  </si>
  <si>
    <t>OTT</t>
  </si>
  <si>
    <t>Taxes Other Than Income Taxes</t>
  </si>
  <si>
    <t>Total Taxes Other Than Income Taxes</t>
  </si>
  <si>
    <t/>
  </si>
  <si>
    <t>PT365</t>
  </si>
  <si>
    <t>Total Storage Plant</t>
  </si>
  <si>
    <t>Adjustments:</t>
  </si>
  <si>
    <t>Unamortized Debt</t>
  </si>
  <si>
    <t>Operation and Maintenance Expenses (Continued)</t>
  </si>
  <si>
    <t>Total Transmission and Distribution Oper Exp</t>
  </si>
  <si>
    <t>Total Maintenance Labor</t>
  </si>
  <si>
    <t>Maintenance Expense -- Transmission and Distribution</t>
  </si>
  <si>
    <t>Maintenance of General Plant</t>
  </si>
  <si>
    <t>Total Maintenance Expense</t>
  </si>
  <si>
    <t>Functional Assignment Vectors</t>
  </si>
  <si>
    <t>Gas Supply Demand</t>
  </si>
  <si>
    <t>Gas Supply Commodity</t>
  </si>
  <si>
    <t>Storage Demand</t>
  </si>
  <si>
    <t>Storage Commodity</t>
  </si>
  <si>
    <t>Transmission Demand</t>
  </si>
  <si>
    <t>Transmission Commodity</t>
  </si>
  <si>
    <t>Distribution Expense Commodity</t>
  </si>
  <si>
    <t>PTST</t>
  </si>
  <si>
    <t>Sub-Total Distribution Plant</t>
  </si>
  <si>
    <t>PTDSUB</t>
  </si>
  <si>
    <t>Sub-Total CWIP</t>
  </si>
  <si>
    <t>DEPREX</t>
  </si>
  <si>
    <t>Total Check</t>
  </si>
  <si>
    <t xml:space="preserve">  Demand</t>
  </si>
  <si>
    <t xml:space="preserve">  Customer</t>
  </si>
  <si>
    <t>PLT</t>
  </si>
  <si>
    <t>RBCSC</t>
  </si>
  <si>
    <t>RBMC</t>
  </si>
  <si>
    <t>RBT</t>
  </si>
  <si>
    <t>OMCSC</t>
  </si>
  <si>
    <t>OMMC</t>
  </si>
  <si>
    <t>Other Taxes</t>
  </si>
  <si>
    <t>Operating Revenues</t>
  </si>
  <si>
    <t>REVUC</t>
  </si>
  <si>
    <t>R01</t>
  </si>
  <si>
    <t>TOR</t>
  </si>
  <si>
    <t xml:space="preserve">   Operation and Maintenance Expenses</t>
  </si>
  <si>
    <t xml:space="preserve">   Depreciation and Amortization Expenses</t>
  </si>
  <si>
    <t xml:space="preserve">   Other Taxes</t>
  </si>
  <si>
    <t>Total Operating Expenses</t>
  </si>
  <si>
    <t>TOE</t>
  </si>
  <si>
    <t>TOM</t>
  </si>
  <si>
    <t>Rate of Return  -- Actual</t>
  </si>
  <si>
    <t>Allocation Factors</t>
  </si>
  <si>
    <t xml:space="preserve">  Commodity</t>
  </si>
  <si>
    <t>Total Storage</t>
  </si>
  <si>
    <t>Total Transmission</t>
  </si>
  <si>
    <t>Total Distribution Mains</t>
  </si>
  <si>
    <t>Ref</t>
  </si>
  <si>
    <t>PTISGSD</t>
  </si>
  <si>
    <t>PTISGSC</t>
  </si>
  <si>
    <t>PTISSD</t>
  </si>
  <si>
    <t>PTISSC</t>
  </si>
  <si>
    <t>PTISTD</t>
  </si>
  <si>
    <t>PTISTC</t>
  </si>
  <si>
    <t>PTISDEC</t>
  </si>
  <si>
    <t>PTISDSD</t>
  </si>
  <si>
    <t>PTISDMD</t>
  </si>
  <si>
    <t>PTISDMC</t>
  </si>
  <si>
    <t>PTISMC</t>
  </si>
  <si>
    <t>PTISCAC</t>
  </si>
  <si>
    <t>PTISCSC</t>
  </si>
  <si>
    <t>Other</t>
  </si>
  <si>
    <t>Rate Base</t>
  </si>
  <si>
    <t>RBGSC</t>
  </si>
  <si>
    <t>RBSD</t>
  </si>
  <si>
    <t>RBSC</t>
  </si>
  <si>
    <t>RBTD</t>
  </si>
  <si>
    <t>RBTC</t>
  </si>
  <si>
    <t>RBDEC</t>
  </si>
  <si>
    <t>RBDSD</t>
  </si>
  <si>
    <t>RBDMD</t>
  </si>
  <si>
    <t>RBDMC</t>
  </si>
  <si>
    <t>RBCAC</t>
  </si>
  <si>
    <t>RBGSD</t>
  </si>
  <si>
    <t>OMGSD</t>
  </si>
  <si>
    <t>OMSD</t>
  </si>
  <si>
    <t>OMSC</t>
  </si>
  <si>
    <t>OMTD</t>
  </si>
  <si>
    <t>OMTC</t>
  </si>
  <si>
    <t>OMDEC</t>
  </si>
  <si>
    <t>OMDSD</t>
  </si>
  <si>
    <t>OMDMD</t>
  </si>
  <si>
    <t>OMDMC</t>
  </si>
  <si>
    <t>OMCAC</t>
  </si>
  <si>
    <t>OMGSC</t>
  </si>
  <si>
    <t>DEGSC</t>
  </si>
  <si>
    <t>DESD</t>
  </si>
  <si>
    <t>DESC</t>
  </si>
  <si>
    <t>DETD</t>
  </si>
  <si>
    <t>DETC</t>
  </si>
  <si>
    <t>DEDEC</t>
  </si>
  <si>
    <t>DEDSD</t>
  </si>
  <si>
    <t>DEDMD</t>
  </si>
  <si>
    <t>DEDMC</t>
  </si>
  <si>
    <t>DEMC</t>
  </si>
  <si>
    <t>DECAC</t>
  </si>
  <si>
    <t>DECSC</t>
  </si>
  <si>
    <t>DEGSD</t>
  </si>
  <si>
    <t>OTTGSD</t>
  </si>
  <si>
    <t>OTTGSC</t>
  </si>
  <si>
    <t>OTTSD</t>
  </si>
  <si>
    <t>OTTSC</t>
  </si>
  <si>
    <t>OTTTD</t>
  </si>
  <si>
    <t>OTTTC</t>
  </si>
  <si>
    <t>OTTDEC</t>
  </si>
  <si>
    <t>OTTDSD</t>
  </si>
  <si>
    <t>OTTDMD</t>
  </si>
  <si>
    <t>OTTDMC</t>
  </si>
  <si>
    <t>OTTMC</t>
  </si>
  <si>
    <t>OTTCAC</t>
  </si>
  <si>
    <t>OTTCSC</t>
  </si>
  <si>
    <t>DET</t>
  </si>
  <si>
    <t>OTTT</t>
  </si>
  <si>
    <t>OMTT</t>
  </si>
  <si>
    <t>Income Taxes</t>
  </si>
  <si>
    <t>Transmission &amp; Distribution Mains</t>
  </si>
  <si>
    <t>TDMSUB</t>
  </si>
  <si>
    <t xml:space="preserve">  Sales and Transportation</t>
  </si>
  <si>
    <t>Residential</t>
  </si>
  <si>
    <t>Expenses</t>
  </si>
  <si>
    <t>Taxable Income</t>
  </si>
  <si>
    <t>Net Income Before Income Tax</t>
  </si>
  <si>
    <t>Net Income Before Income Taxes</t>
  </si>
  <si>
    <t>TXINC</t>
  </si>
  <si>
    <t>INT</t>
  </si>
  <si>
    <t>NIBIT</t>
  </si>
  <si>
    <t>Average Revenue per MCF ($/MCF)</t>
  </si>
  <si>
    <t>DEM01</t>
  </si>
  <si>
    <t>COM01</t>
  </si>
  <si>
    <t>DEM02</t>
  </si>
  <si>
    <t>COM02</t>
  </si>
  <si>
    <t>DEM03</t>
  </si>
  <si>
    <t>COM03</t>
  </si>
  <si>
    <t>COM04</t>
  </si>
  <si>
    <t>DEM04</t>
  </si>
  <si>
    <t>DEM05</t>
  </si>
  <si>
    <t>CUST01</t>
  </si>
  <si>
    <t>CUST02</t>
  </si>
  <si>
    <t>CUST03</t>
  </si>
  <si>
    <t>CUST04</t>
  </si>
  <si>
    <t>CUST05</t>
  </si>
  <si>
    <t>Number of Customers</t>
  </si>
  <si>
    <t>Meter Cost</t>
  </si>
  <si>
    <t>Expense Adjustments</t>
  </si>
  <si>
    <t>Total Expense Adjustments</t>
  </si>
  <si>
    <t>EXADJ1</t>
  </si>
  <si>
    <t>EXADJ2</t>
  </si>
  <si>
    <t>EXADJ3</t>
  </si>
  <si>
    <t>ADJTOT</t>
  </si>
  <si>
    <t>OMGST</t>
  </si>
  <si>
    <t>OMST</t>
  </si>
  <si>
    <t>DEGST</t>
  </si>
  <si>
    <t>DEST</t>
  </si>
  <si>
    <t>DETT</t>
  </si>
  <si>
    <t>OTTGST</t>
  </si>
  <si>
    <t>OTTST</t>
  </si>
  <si>
    <t>OTTTT</t>
  </si>
  <si>
    <t>Rate Base (Continued)</t>
  </si>
  <si>
    <t>Depreciation Expenses (Continued)</t>
  </si>
  <si>
    <t>Other Taxes (Continued)</t>
  </si>
  <si>
    <t>LBTOT</t>
  </si>
  <si>
    <t>Payroll Expenses</t>
  </si>
  <si>
    <t>LBGSC</t>
  </si>
  <si>
    <t>LBGST</t>
  </si>
  <si>
    <t>LBSD</t>
  </si>
  <si>
    <t>LBSC</t>
  </si>
  <si>
    <t>LBST</t>
  </si>
  <si>
    <t>LBTD</t>
  </si>
  <si>
    <t>LBTC</t>
  </si>
  <si>
    <t>LBTT</t>
  </si>
  <si>
    <t>LBDEC</t>
  </si>
  <si>
    <t>LBDSD</t>
  </si>
  <si>
    <t>LBDMD</t>
  </si>
  <si>
    <t>LBDMC</t>
  </si>
  <si>
    <t>LBMC</t>
  </si>
  <si>
    <t>LBCAC</t>
  </si>
  <si>
    <t>LBCSC</t>
  </si>
  <si>
    <t>LBGSD</t>
  </si>
  <si>
    <t>Net Operating Income -- Adjusted Test Period</t>
  </si>
  <si>
    <t>Net Operating Income -- Adjusted For Increase</t>
  </si>
  <si>
    <t>Test Year Operating Income</t>
  </si>
  <si>
    <t>Proposed Increase</t>
  </si>
  <si>
    <t>Net Operating Income Adjusted for Increase</t>
  </si>
  <si>
    <t>Rate of Return -- Proposed</t>
  </si>
  <si>
    <t>Return</t>
  </si>
  <si>
    <t>Rate of Return</t>
  </si>
  <si>
    <t>Average Cost Per Service</t>
  </si>
  <si>
    <t>Load Factor</t>
  </si>
  <si>
    <t>INTGSC</t>
  </si>
  <si>
    <t>INTGST</t>
  </si>
  <si>
    <t>INTSD</t>
  </si>
  <si>
    <t>INTSC</t>
  </si>
  <si>
    <t>INTST</t>
  </si>
  <si>
    <t>INTTD</t>
  </si>
  <si>
    <t>INTTC</t>
  </si>
  <si>
    <t>INTTT</t>
  </si>
  <si>
    <t>INTDEC</t>
  </si>
  <si>
    <t>INTDSD</t>
  </si>
  <si>
    <t>INTDMD</t>
  </si>
  <si>
    <t>INTDMC</t>
  </si>
  <si>
    <t>INTMC</t>
  </si>
  <si>
    <t>INTCAC</t>
  </si>
  <si>
    <t>INTCSC</t>
  </si>
  <si>
    <t>INTT</t>
  </si>
  <si>
    <t>INTGSD</t>
  </si>
  <si>
    <t>Transmission Plant</t>
  </si>
  <si>
    <t>Transmission and Distribution Payroll</t>
  </si>
  <si>
    <t>Transmission and Distribution Mains</t>
  </si>
  <si>
    <t>Internally Generated Functional Vectors</t>
  </si>
  <si>
    <t>365-371</t>
  </si>
  <si>
    <t>Underground Storage Plant</t>
  </si>
  <si>
    <t>PT117</t>
  </si>
  <si>
    <t>Underground Storage</t>
  </si>
  <si>
    <t>Other Distribution</t>
  </si>
  <si>
    <t>Common</t>
  </si>
  <si>
    <t>DEPTR</t>
  </si>
  <si>
    <t>DEPRCO</t>
  </si>
  <si>
    <t>PTCP</t>
  </si>
  <si>
    <t>Deferred Income Taxes-FAS 109</t>
  </si>
  <si>
    <t>FAS109</t>
  </si>
  <si>
    <t>Operations Supervision and Engineer</t>
  </si>
  <si>
    <t>Maps and Records</t>
  </si>
  <si>
    <t>Well Expenses</t>
  </si>
  <si>
    <t>Compressor Station Fuel and Power</t>
  </si>
  <si>
    <t xml:space="preserve">Measurement and Regulator Station </t>
  </si>
  <si>
    <t>Gas losses</t>
  </si>
  <si>
    <t>Storage Well Royalities</t>
  </si>
  <si>
    <t>Maintenance Super and Eng.</t>
  </si>
  <si>
    <t>Maintenance of Resevoirs</t>
  </si>
  <si>
    <t>Main of Compressor Station Equipment</t>
  </si>
  <si>
    <t>Main of Meas and Reg Sta. Equip</t>
  </si>
  <si>
    <t>Main of Purification Equip</t>
  </si>
  <si>
    <t>Main of Other Equipment</t>
  </si>
  <si>
    <t>Operation Supr and Engr</t>
  </si>
  <si>
    <t>Dist Load Dispatching</t>
  </si>
  <si>
    <t>Compr. Station Fuel and Power</t>
  </si>
  <si>
    <t>Compr. Station Labor and Exp.</t>
  </si>
  <si>
    <t>Other Mains/Serv. Expenses</t>
  </si>
  <si>
    <t>Leak Survey-Mains</t>
  </si>
  <si>
    <t>Leak Survey - Service</t>
  </si>
  <si>
    <t>Locate Main per Request</t>
  </si>
  <si>
    <t>Check Stop Box Access</t>
  </si>
  <si>
    <t>Patrolling Mains</t>
  </si>
  <si>
    <t>Check/Grease Valves</t>
  </si>
  <si>
    <t>Opr. Odor Equipment</t>
  </si>
  <si>
    <t>Locate and Inspect Valve Boxes</t>
  </si>
  <si>
    <t>Cut Grass - Right of Way</t>
  </si>
  <si>
    <t>Meas and Reg Station Exp.- General</t>
  </si>
  <si>
    <t>Meas and Reg Station Exp.- Industrial</t>
  </si>
  <si>
    <t>Meas and Reg Station Exp. - City Gate</t>
  </si>
  <si>
    <t>Meter and House Reg. Expense</t>
  </si>
  <si>
    <t>Customer Installation Expense</t>
  </si>
  <si>
    <t>Transmission Expenses</t>
  </si>
  <si>
    <t>Operation</t>
  </si>
  <si>
    <t>Customer Records and Collections</t>
  </si>
  <si>
    <t>Misc. Cust Account Expenses</t>
  </si>
  <si>
    <t>Admin and General Salaries</t>
  </si>
  <si>
    <t>Office Supplies and Expense</t>
  </si>
  <si>
    <t>Admin. Expenses Transferred</t>
  </si>
  <si>
    <t>Employee Pensions and Benefits</t>
  </si>
  <si>
    <t>Franxhise Requirement</t>
  </si>
  <si>
    <t>Duplicate Charges -Dredit</t>
  </si>
  <si>
    <t>General Advertising Expense</t>
  </si>
  <si>
    <t>Misc. General Expense</t>
  </si>
  <si>
    <t>Maintenance Supr and Engr</t>
  </si>
  <si>
    <t>Maintenance Structures</t>
  </si>
  <si>
    <t>Maintenance Mains</t>
  </si>
  <si>
    <t>Maintenance Comp. Station Equip.</t>
  </si>
  <si>
    <t>Maintenance Meas and Reg. General</t>
  </si>
  <si>
    <t>Maintenance Meas and Reg - Industrial</t>
  </si>
  <si>
    <t>Maintenance Meas and Reg.-City Gate</t>
  </si>
  <si>
    <t>Maintenance Services</t>
  </si>
  <si>
    <t>Maintenance Meters and House Reg.</t>
  </si>
  <si>
    <t>Maintenance Other Equipment</t>
  </si>
  <si>
    <t>U-T-D Subtotal</t>
  </si>
  <si>
    <t>Total CWIP</t>
  </si>
  <si>
    <t>Total Storage Labor</t>
  </si>
  <si>
    <t>807-813</t>
  </si>
  <si>
    <t>Procurement Expenses</t>
  </si>
  <si>
    <t>Labor Expenses</t>
  </si>
  <si>
    <t>Storage Expenses</t>
  </si>
  <si>
    <t>Storage Expense</t>
  </si>
  <si>
    <t>Maintenance</t>
  </si>
  <si>
    <t>Labor Expenses (Continued)</t>
  </si>
  <si>
    <t>Total Maintenance Expenses</t>
  </si>
  <si>
    <t>Customer Accounts Expense</t>
  </si>
  <si>
    <t>Total Labor Expense</t>
  </si>
  <si>
    <t>Operation &amp; Maintenance Expenses</t>
  </si>
  <si>
    <t>Total Operation Expenses</t>
  </si>
  <si>
    <t>Total Storage Expense</t>
  </si>
  <si>
    <t>Operation &amp; Maintenance Expenses (Continued)</t>
  </si>
  <si>
    <t>Total Customer Accounts Expense</t>
  </si>
  <si>
    <t>Total Administrative and General Expense</t>
  </si>
  <si>
    <t>Total Operation &amp; Maintenance Expense</t>
  </si>
  <si>
    <t>Total Administrative and General Labor</t>
  </si>
  <si>
    <t>Total Customer Accounts Labor</t>
  </si>
  <si>
    <t>Total Operations Distribution Labor</t>
  </si>
  <si>
    <t>Total Operations Transmission and Distribution Labor</t>
  </si>
  <si>
    <t>Total Operations Distribution Expense</t>
  </si>
  <si>
    <t>LB807</t>
  </si>
  <si>
    <t>LB814</t>
  </si>
  <si>
    <t>LB815</t>
  </si>
  <si>
    <t>LB816</t>
  </si>
  <si>
    <t>LB817</t>
  </si>
  <si>
    <t>LB818</t>
  </si>
  <si>
    <t>LB819</t>
  </si>
  <si>
    <t>LB820</t>
  </si>
  <si>
    <t>LB821</t>
  </si>
  <si>
    <t>LB823</t>
  </si>
  <si>
    <t>LB824</t>
  </si>
  <si>
    <t>LB825</t>
  </si>
  <si>
    <t>LB826</t>
  </si>
  <si>
    <t>LB830</t>
  </si>
  <si>
    <t>LB831</t>
  </si>
  <si>
    <t>LB832</t>
  </si>
  <si>
    <t>LB833</t>
  </si>
  <si>
    <t>LB834</t>
  </si>
  <si>
    <t>LB835</t>
  </si>
  <si>
    <t>LB836</t>
  </si>
  <si>
    <t>LB837</t>
  </si>
  <si>
    <t>LBS</t>
  </si>
  <si>
    <t>LB850</t>
  </si>
  <si>
    <t>LB870</t>
  </si>
  <si>
    <t>LB871</t>
  </si>
  <si>
    <t>LB872</t>
  </si>
  <si>
    <t>LB873</t>
  </si>
  <si>
    <t>LB874.01</t>
  </si>
  <si>
    <t>LB874.02</t>
  </si>
  <si>
    <t>LB874.03</t>
  </si>
  <si>
    <t>LB874.04</t>
  </si>
  <si>
    <t>LB874.05</t>
  </si>
  <si>
    <t>LB874.06</t>
  </si>
  <si>
    <t>LB874.07</t>
  </si>
  <si>
    <t>LB874.08</t>
  </si>
  <si>
    <t>LB874.09</t>
  </si>
  <si>
    <t>LB874.10</t>
  </si>
  <si>
    <t>LB875</t>
  </si>
  <si>
    <t>LB876</t>
  </si>
  <si>
    <t>LB877</t>
  </si>
  <si>
    <t>LB878</t>
  </si>
  <si>
    <t>LB879</t>
  </si>
  <si>
    <t>LB880</t>
  </si>
  <si>
    <t>LB881</t>
  </si>
  <si>
    <t>LB885</t>
  </si>
  <si>
    <t>LB886</t>
  </si>
  <si>
    <t>LB887</t>
  </si>
  <si>
    <t>LB888</t>
  </si>
  <si>
    <t>LB889</t>
  </si>
  <si>
    <t>LB890</t>
  </si>
  <si>
    <t>LB891</t>
  </si>
  <si>
    <t>LB892</t>
  </si>
  <si>
    <t>LB893</t>
  </si>
  <si>
    <t>LB894</t>
  </si>
  <si>
    <t>LBDM</t>
  </si>
  <si>
    <t>LBDO</t>
  </si>
  <si>
    <t>LBTDO</t>
  </si>
  <si>
    <t>LBSM</t>
  </si>
  <si>
    <t>LBSO</t>
  </si>
  <si>
    <t>LB901</t>
  </si>
  <si>
    <t>LB902</t>
  </si>
  <si>
    <t>LB903</t>
  </si>
  <si>
    <t>LB904</t>
  </si>
  <si>
    <t>LB905</t>
  </si>
  <si>
    <t>LBCA</t>
  </si>
  <si>
    <t>LB907</t>
  </si>
  <si>
    <t>LB911</t>
  </si>
  <si>
    <t>LB920</t>
  </si>
  <si>
    <t>LB921</t>
  </si>
  <si>
    <t>LB922</t>
  </si>
  <si>
    <t>LB923</t>
  </si>
  <si>
    <t>LB924</t>
  </si>
  <si>
    <t>LB925</t>
  </si>
  <si>
    <t>LB926</t>
  </si>
  <si>
    <t>LB927</t>
  </si>
  <si>
    <t>LB928</t>
  </si>
  <si>
    <t>LB929</t>
  </si>
  <si>
    <t>LB930.1</t>
  </si>
  <si>
    <t>LB930.2</t>
  </si>
  <si>
    <t>LB931</t>
  </si>
  <si>
    <t>LB935</t>
  </si>
  <si>
    <t>LBAG</t>
  </si>
  <si>
    <t>OM807</t>
  </si>
  <si>
    <t>OMOE</t>
  </si>
  <si>
    <t>OMME</t>
  </si>
  <si>
    <t>OMS</t>
  </si>
  <si>
    <t>OM872</t>
  </si>
  <si>
    <t>OM873</t>
  </si>
  <si>
    <t>OM874.01</t>
  </si>
  <si>
    <t>OM874.02</t>
  </si>
  <si>
    <t>OM874.03</t>
  </si>
  <si>
    <t>OM874.04</t>
  </si>
  <si>
    <t>OM874.05</t>
  </si>
  <si>
    <t>OM874.06</t>
  </si>
  <si>
    <t>OM874.07</t>
  </si>
  <si>
    <t>OM874.08</t>
  </si>
  <si>
    <t>OM874.09</t>
  </si>
  <si>
    <t>OM874.10</t>
  </si>
  <si>
    <t>OM875</t>
  </si>
  <si>
    <t>OM876</t>
  </si>
  <si>
    <t>OM877</t>
  </si>
  <si>
    <t>OM878</t>
  </si>
  <si>
    <t>OM879</t>
  </si>
  <si>
    <t>OMDO</t>
  </si>
  <si>
    <t>OMTDO</t>
  </si>
  <si>
    <t>OMDE</t>
  </si>
  <si>
    <t>OM930.1</t>
  </si>
  <si>
    <t>OM930.2</t>
  </si>
  <si>
    <t>OMAGT</t>
  </si>
  <si>
    <t>Total Transmission &amp; Distribution Labor</t>
  </si>
  <si>
    <t>Total Transmission &amp; Distribution Expenses</t>
  </si>
  <si>
    <t>Gas Stored Underground/Non-Current</t>
  </si>
  <si>
    <t>Common Utility Plant</t>
  </si>
  <si>
    <t>CWIPDM</t>
  </si>
  <si>
    <t>CWIPOD</t>
  </si>
  <si>
    <t>Total Gas Plant at Original Cost</t>
  </si>
  <si>
    <t>Total Gas Utility Plant at Original Cost</t>
  </si>
  <si>
    <t>Customer Advances For Construction</t>
  </si>
  <si>
    <t>CAD</t>
  </si>
  <si>
    <t>PLUS:</t>
  </si>
  <si>
    <t>DP350</t>
  </si>
  <si>
    <t>DP365</t>
  </si>
  <si>
    <t>Land &amp; Land Rights</t>
  </si>
  <si>
    <t>Meas &amp; Reg Station Eq.-City Gate</t>
  </si>
  <si>
    <t>Meas &amp; Reg Station Eq.-Gen</t>
  </si>
  <si>
    <t>Industrial Meas &amp; Reg Equipment</t>
  </si>
  <si>
    <t>DP374</t>
  </si>
  <si>
    <t>DP375</t>
  </si>
  <si>
    <t>DP376</t>
  </si>
  <si>
    <t>DP378</t>
  </si>
  <si>
    <t>DP379</t>
  </si>
  <si>
    <t>DP380</t>
  </si>
  <si>
    <t>DP381</t>
  </si>
  <si>
    <t>DP382</t>
  </si>
  <si>
    <t>DP383</t>
  </si>
  <si>
    <t>DP384</t>
  </si>
  <si>
    <t>DP385</t>
  </si>
  <si>
    <t>DP387</t>
  </si>
  <si>
    <t>Total Distribution</t>
  </si>
  <si>
    <t>DP117</t>
  </si>
  <si>
    <t>DP301</t>
  </si>
  <si>
    <t>DP389</t>
  </si>
  <si>
    <t>DPCP</t>
  </si>
  <si>
    <t>Total Depreciation Expense</t>
  </si>
  <si>
    <t>Storage Operation Expenses Subtotal</t>
  </si>
  <si>
    <t>Total Storage Operation Labor</t>
  </si>
  <si>
    <t>OSE</t>
  </si>
  <si>
    <t>Storage Maintenance Expenses Subtotal</t>
  </si>
  <si>
    <t>MSE</t>
  </si>
  <si>
    <t>Procurement</t>
  </si>
  <si>
    <t>Mains &amp; Services</t>
  </si>
  <si>
    <t>CADAL</t>
  </si>
  <si>
    <t>DMCM</t>
  </si>
  <si>
    <t>Demand/Commodity Percent of Purchased Gas Cost</t>
  </si>
  <si>
    <t>Distribution Operation Expenses Subtotal</t>
  </si>
  <si>
    <t>Distribution Maintenance Expenses Subtotal</t>
  </si>
  <si>
    <t>DOES</t>
  </si>
  <si>
    <t>DMES</t>
  </si>
  <si>
    <t>Subtotal Labor Expenses</t>
  </si>
  <si>
    <t>Subtotal O&amp;M Expenses</t>
  </si>
  <si>
    <t>Storage-Transmission -Distribution Plant Subtotal</t>
  </si>
  <si>
    <t>Customer Service Expense</t>
  </si>
  <si>
    <t>Customer Count (Average)</t>
  </si>
  <si>
    <t>Distribution Mains (Year-end Customers)</t>
  </si>
  <si>
    <t>Total Operating Revenues -- Per Books</t>
  </si>
  <si>
    <t>Pro-Forma Adjustments to Revenues</t>
  </si>
  <si>
    <t>Pro-Forma Adjustments to Expenses</t>
  </si>
  <si>
    <t>Total Revenue Adjustments</t>
  </si>
  <si>
    <t>REVADJ1</t>
  </si>
  <si>
    <t xml:space="preserve">   Labor Adjustment</t>
  </si>
  <si>
    <t xml:space="preserve">   Eliminate Advedrtising Expenses</t>
  </si>
  <si>
    <t xml:space="preserve">   Rate Case Expenses</t>
  </si>
  <si>
    <t>Total Adjusted Revenue</t>
  </si>
  <si>
    <t>Interest Expense</t>
  </si>
  <si>
    <t>Interest Adjustment</t>
  </si>
  <si>
    <t>Service Cost</t>
  </si>
  <si>
    <t>Net Operating Income -- Adjusted Test Period (Cont.)</t>
  </si>
  <si>
    <t>Net Operating Income (Adjusted)</t>
  </si>
  <si>
    <t>Interest Expense (Continued)</t>
  </si>
  <si>
    <t>Taxable Income Actual</t>
  </si>
  <si>
    <t>Total Procurement Expenses</t>
  </si>
  <si>
    <t>Gas Plant at Original Cost</t>
  </si>
  <si>
    <t>Gas Plant at Original Cost (Continued)</t>
  </si>
  <si>
    <t>Compressor Station Exp - Payroll</t>
  </si>
  <si>
    <t>Purification of Natural Gas</t>
  </si>
  <si>
    <t>Allocation Factors Continued</t>
  </si>
  <si>
    <t>OMTRT</t>
  </si>
  <si>
    <t>LBTRT</t>
  </si>
  <si>
    <t>Forfeited Discounts</t>
  </si>
  <si>
    <t>REVFD</t>
  </si>
  <si>
    <t>325-371</t>
  </si>
  <si>
    <t>374 &amp; 304</t>
  </si>
  <si>
    <t>Mt. Olivet</t>
  </si>
  <si>
    <t>MTOVT</t>
  </si>
  <si>
    <t xml:space="preserve">Wells and Gathering </t>
  </si>
  <si>
    <t>Compressor Station</t>
  </si>
  <si>
    <t>OM 753</t>
  </si>
  <si>
    <t>OM754</t>
  </si>
  <si>
    <t>Production Expenses</t>
  </si>
  <si>
    <t>Operation &amp; Maintenance</t>
  </si>
  <si>
    <t>Maintenance of Wells and Gathering</t>
  </si>
  <si>
    <t>Maintenance of Compressor Station</t>
  </si>
  <si>
    <t>OM764</t>
  </si>
  <si>
    <t>OM765</t>
  </si>
  <si>
    <t>Total Production Operation &amp; Maintenance Expenses</t>
  </si>
  <si>
    <t>Maintenance Transportaion Equip</t>
  </si>
  <si>
    <t>OM898</t>
  </si>
  <si>
    <t>Trans &amp; Distribution Expenses</t>
  </si>
  <si>
    <t>OM900</t>
  </si>
  <si>
    <t>Transmission &amp; Distribution Subtotal</t>
  </si>
  <si>
    <t>TDSUB</t>
  </si>
  <si>
    <t>OM932</t>
  </si>
  <si>
    <t>Amortization of Gas Plant</t>
  </si>
  <si>
    <t>AMORT</t>
  </si>
  <si>
    <t>Accretion Expense</t>
  </si>
  <si>
    <t>ACCRTN</t>
  </si>
  <si>
    <t>Liscense &amp; Privilege Fee</t>
  </si>
  <si>
    <t>Property Taxes</t>
  </si>
  <si>
    <t>Payroll Taxes</t>
  </si>
  <si>
    <t>Interest on Long Term Debt</t>
  </si>
  <si>
    <t>LB 753</t>
  </si>
  <si>
    <t>LB754</t>
  </si>
  <si>
    <t>LB764</t>
  </si>
  <si>
    <t>LB765</t>
  </si>
  <si>
    <t>LB898</t>
  </si>
  <si>
    <t>LB900</t>
  </si>
  <si>
    <t>Interruptible</t>
  </si>
  <si>
    <t>Storage (Dec thru March)</t>
  </si>
  <si>
    <t>Service Line Allocation</t>
  </si>
  <si>
    <t>Meter Allocation</t>
  </si>
  <si>
    <t>EXADJ4</t>
  </si>
  <si>
    <t>EXADJ5</t>
  </si>
  <si>
    <t>EXADJ6</t>
  </si>
  <si>
    <t>COLFEE</t>
  </si>
  <si>
    <t>Collection Fees</t>
  </si>
  <si>
    <t>COLL</t>
  </si>
  <si>
    <t>RCTREV</t>
  </si>
  <si>
    <t>Reconnect Revenue</t>
  </si>
  <si>
    <t>RCNCT</t>
  </si>
  <si>
    <t>BDCH</t>
  </si>
  <si>
    <t>Transmission Allocator</t>
  </si>
  <si>
    <t>Transmission Demand Allocator</t>
  </si>
  <si>
    <t>Specific Assignment</t>
  </si>
  <si>
    <t>Residual Transmission Plant</t>
  </si>
  <si>
    <t>Total Allocation of Transmission Plant</t>
  </si>
  <si>
    <t>TDEM</t>
  </si>
  <si>
    <t>Incremental Income Taxes (@39.4445)</t>
  </si>
  <si>
    <t>BDCK</t>
  </si>
  <si>
    <t>Bad Check Fees</t>
  </si>
  <si>
    <t>Customer Deposits</t>
  </si>
  <si>
    <t>CSTDEP</t>
  </si>
  <si>
    <t xml:space="preserve">   Temperature normalization</t>
  </si>
  <si>
    <t>Total Increase</t>
  </si>
  <si>
    <t>Gas Supply Costs</t>
  </si>
  <si>
    <t xml:space="preserve">   Lobbying Expense</t>
  </si>
  <si>
    <t xml:space="preserve">   Community Relations</t>
  </si>
  <si>
    <t xml:space="preserve">   Marketing</t>
  </si>
  <si>
    <t>EXADJ7</t>
  </si>
  <si>
    <t>EXADJ8</t>
  </si>
  <si>
    <t xml:space="preserve">   Depreciation Expenses</t>
  </si>
  <si>
    <t>Increase To Misc Revenue</t>
  </si>
  <si>
    <t>INCOME TAX RECONCILIATION STUFF @ 38.620%</t>
  </si>
  <si>
    <t>CLSINC</t>
  </si>
  <si>
    <t>Total System</t>
  </si>
  <si>
    <t>Allocation Vector</t>
  </si>
  <si>
    <t>Unit Costs</t>
  </si>
  <si>
    <t>Small Non-Res</t>
  </si>
  <si>
    <t>Large Non-Res</t>
  </si>
  <si>
    <t>Off Sys Trans</t>
  </si>
  <si>
    <t>Special</t>
  </si>
  <si>
    <t>350-358</t>
  </si>
  <si>
    <t>Depreciation Adjustment</t>
  </si>
  <si>
    <t>Utility ARO Assets</t>
  </si>
  <si>
    <t>A/D on ARO Assets</t>
  </si>
  <si>
    <t>Franchise Requirement</t>
  </si>
  <si>
    <t xml:space="preserve">   Conservation</t>
  </si>
  <si>
    <t>Unit Cost of Service Based on the Cost of Service Study</t>
  </si>
  <si>
    <t>Customer Costs</t>
  </si>
  <si>
    <t xml:space="preserve">Demand- and </t>
  </si>
  <si>
    <t>Customer-Related</t>
  </si>
  <si>
    <t>Commodity-Related</t>
  </si>
  <si>
    <t>Reference</t>
  </si>
  <si>
    <t>Mains Costs</t>
  </si>
  <si>
    <t>Direct Costs</t>
  </si>
  <si>
    <t>Costs</t>
  </si>
  <si>
    <t>Total Costs</t>
  </si>
  <si>
    <t>(1)</t>
  </si>
  <si>
    <t>Exhibit 2 Pages 5 &amp; 7</t>
  </si>
  <si>
    <t>(2)</t>
  </si>
  <si>
    <t>Proposed Overall ROR</t>
  </si>
  <si>
    <t>(3)</t>
  </si>
  <si>
    <t>(1) x (2)</t>
  </si>
  <si>
    <t>(4)</t>
  </si>
  <si>
    <t>Interest Expenses</t>
  </si>
  <si>
    <t>Exhibit 2 Pages 25 &amp; 27</t>
  </si>
  <si>
    <t>(5)</t>
  </si>
  <si>
    <t>Net Income</t>
  </si>
  <si>
    <t>(3) - (4)</t>
  </si>
  <si>
    <t>(6)</t>
  </si>
  <si>
    <t>(7)</t>
  </si>
  <si>
    <t>Exhibit 2 Pages 9 &amp; 11</t>
  </si>
  <si>
    <t>(8)</t>
  </si>
  <si>
    <t>Exhibit 2 Pages 17 &amp; 19</t>
  </si>
  <si>
    <t>(9)</t>
  </si>
  <si>
    <t>Exhibit 2 Pages 21 &amp; 23</t>
  </si>
  <si>
    <t>(10)</t>
  </si>
  <si>
    <t>Exhibit 2 Page 29</t>
  </si>
  <si>
    <t>(11)</t>
  </si>
  <si>
    <t>Total Cost of Service</t>
  </si>
  <si>
    <t>(3)+(6)+(7)+(8)+(9)+(10)</t>
  </si>
  <si>
    <t>(12)</t>
  </si>
  <si>
    <t>Less: Misc Revenue</t>
  </si>
  <si>
    <t>(13)</t>
  </si>
  <si>
    <t>Net Cost of Service</t>
  </si>
  <si>
    <t>(11) - (12)</t>
  </si>
  <si>
    <t>(14)</t>
  </si>
  <si>
    <t>Billing Units</t>
  </si>
  <si>
    <t>Exhibit 2 Page 35</t>
  </si>
  <si>
    <t>(15)</t>
  </si>
  <si>
    <t>(13) / (14)</t>
  </si>
  <si>
    <t>Delta Natural Gas Company</t>
  </si>
  <si>
    <t>Residential Rate</t>
  </si>
  <si>
    <t xml:space="preserve">   Bad Debt Expenses</t>
  </si>
  <si>
    <t xml:space="preserve">   Property Tax </t>
  </si>
  <si>
    <t>EXADJ9</t>
  </si>
  <si>
    <t>EXADJ10</t>
  </si>
  <si>
    <t>For the 12 Months Ended December 31, 2022</t>
  </si>
  <si>
    <t>Residential Farm Tap</t>
  </si>
  <si>
    <t xml:space="preserve">  Forfeited Discounts</t>
  </si>
  <si>
    <t xml:space="preserve">  Miscellaneous Service Revenues</t>
  </si>
  <si>
    <t xml:space="preserve">  Revs from Transp of Gas of Others thru Distri Fac.</t>
  </si>
  <si>
    <t xml:space="preserve">  Other Gas Revenues</t>
  </si>
  <si>
    <t xml:space="preserve">  Provision for Rate Refunds</t>
  </si>
  <si>
    <t>TDEMOM</t>
  </si>
  <si>
    <t>Distribution Structures (Plant)</t>
  </si>
  <si>
    <t>Distribution Structures (O&amp;M)</t>
  </si>
  <si>
    <t>Dist Structures Demand Allocator</t>
  </si>
  <si>
    <t>Dist Structures Allocator</t>
  </si>
  <si>
    <t>Dist Structures O&amp;M</t>
  </si>
  <si>
    <t>DEM04OM</t>
  </si>
  <si>
    <t>Distribution Mains (O&amp;M)</t>
  </si>
  <si>
    <t>DEM05OM</t>
  </si>
  <si>
    <t>Dist Mains Demand Allocator</t>
  </si>
  <si>
    <t>Dist Mains O&amp;M</t>
  </si>
  <si>
    <t>Dist Mains Allocator</t>
  </si>
  <si>
    <t>Meters Plant Allocator</t>
  </si>
  <si>
    <t>Meters (O&amp;M)</t>
  </si>
  <si>
    <t>Dist Meter Allocator</t>
  </si>
  <si>
    <t>Dist Meter O&amp;M</t>
  </si>
  <si>
    <t>CUST03OM</t>
  </si>
  <si>
    <t>DEMSTOM</t>
  </si>
  <si>
    <t>DEMMNOM</t>
  </si>
  <si>
    <t>CUSTMTROM</t>
  </si>
  <si>
    <t>Services (O&amp;M)</t>
  </si>
  <si>
    <t>Dist Services Allocator</t>
  </si>
  <si>
    <t>Dist Services O&amp;M</t>
  </si>
  <si>
    <t>CUSTSEROM</t>
  </si>
  <si>
    <t>CUST04OM</t>
  </si>
  <si>
    <t>CUST05OM</t>
  </si>
  <si>
    <t>CUST02OM</t>
  </si>
  <si>
    <t>Customer Accounts (O&amp;M)</t>
  </si>
  <si>
    <t>CUSTACOM</t>
  </si>
  <si>
    <t>Cust Acc Allocator</t>
  </si>
  <si>
    <t>Cust Acc O&amp;M</t>
  </si>
  <si>
    <t>Residual Cust Acc O&amp;M</t>
  </si>
  <si>
    <t>Total Allocation of Cust Acc</t>
  </si>
  <si>
    <t>Cust Accounts Allocator</t>
  </si>
  <si>
    <t>Residual Dist Structures O&amp;M</t>
  </si>
  <si>
    <t>Total Allocation of Dist Structures O&amp;M</t>
  </si>
  <si>
    <t>Residual Dist Mains O&amp;M</t>
  </si>
  <si>
    <t>Total Allocation of Dist Mains O&amp;M</t>
  </si>
  <si>
    <t>Residual Dist Services O&amp;M</t>
  </si>
  <si>
    <t>Total Allocation of Dist Services O&amp;M</t>
  </si>
  <si>
    <t>Residual Dist Meter O&amp;M</t>
  </si>
  <si>
    <t>Total Allocation of Dist Meter O&amp;M</t>
  </si>
  <si>
    <t>Customer Service (O&amp;M)</t>
  </si>
  <si>
    <t>Cust Serv Allocator</t>
  </si>
  <si>
    <t>Cust Serv O&amp;M</t>
  </si>
  <si>
    <t>Residual Cust Serv O&amp;M</t>
  </si>
  <si>
    <t>Total Allocation of Cust Serv</t>
  </si>
  <si>
    <t>Cust Service Allocator</t>
  </si>
  <si>
    <t>Dist Mains Customer Allocator</t>
  </si>
  <si>
    <t>CUSTMNOM</t>
  </si>
  <si>
    <t>CUST01OM</t>
  </si>
  <si>
    <t>Revenue</t>
  </si>
  <si>
    <t>Rate Class</t>
  </si>
  <si>
    <t>Class Rates of Return</t>
  </si>
  <si>
    <t>Cost of Service Study</t>
  </si>
  <si>
    <t>Total Company</t>
  </si>
  <si>
    <t>Income</t>
  </si>
  <si>
    <t>Net</t>
  </si>
  <si>
    <t>Operating</t>
  </si>
  <si>
    <t>(at Current Rates)</t>
  </si>
  <si>
    <t xml:space="preserve">Class Rates of Return </t>
  </si>
  <si>
    <t>on Rate Base</t>
  </si>
  <si>
    <t>Proposed</t>
  </si>
  <si>
    <t>Increase</t>
  </si>
  <si>
    <t>Current Rates</t>
  </si>
  <si>
    <t>Proposed Rates</t>
  </si>
  <si>
    <t>Current and Proposed Rates</t>
  </si>
  <si>
    <t>Special Contracts</t>
  </si>
  <si>
    <t>Off System Transportation</t>
  </si>
  <si>
    <t>Percent</t>
  </si>
  <si>
    <t>Special Contracts *</t>
  </si>
  <si>
    <t>Off System Transportation  *</t>
  </si>
  <si>
    <t xml:space="preserve">  *  There is a significant risk of by-pass for the Special Contracts and Off-System Transportation Customers.</t>
  </si>
  <si>
    <t>Production</t>
  </si>
  <si>
    <t>325-334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</si>
</sst>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"/>
    <numFmt numFmtId="167" formatCode="0.000000"/>
    <numFmt numFmtId="168" formatCode="_(* #,##0.000_);_(* \(#,##0.000\);_(* &quot;-&quot;??_);_(@_)"/>
    <numFmt numFmtId="169" formatCode="_(* #,##0.0000_);_(* \(#,##0.0000\);_(* &quot;-&quot;??_);_(@_)"/>
    <numFmt numFmtId="170" formatCode="_(* #,##0.00000_);_(* \(#,##0.00000\);_(* &quot;-&quot;??_);_(@_)"/>
    <numFmt numFmtId="171" formatCode="_(* #,##0.000000_);_(* \(#,##0.000000\);_(* &quot;-&quot;??_);_(@_)"/>
    <numFmt numFmtId="172" formatCode="_(&quot;$&quot;* #,##0.0000_);_(&quot;$&quot;* \(#,##0.0000\);_(&quot;$&quot;* &quot;-&quot;??_);_(@_)"/>
    <numFmt numFmtId="173" formatCode="_(&quot;$&quot;* #,##0.0_);_(&quot;$&quot;* \(#,##0.0\);_(&quot;$&quot;* &quot;-&quot;??_);_(@_)"/>
    <numFmt numFmtId="174" formatCode="_(* #,##0.0_);_(* \(#,##0.0\);_(* &quot;-&quot;??_);_(@_)"/>
    <numFmt numFmtId="175" formatCode="0.0%"/>
  </numFmts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color indexed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b/>
      <u/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u val="singleAccounting"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  <xf numFmtId="0" fontId="1" fillId="0" borderId="0"/>
  </cellStyleXfs>
  <cellXfs count="2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165" fontId="3" fillId="0" borderId="0" xfId="0" applyNumberFormat="1" applyFont="1"/>
    <xf numFmtId="0" fontId="3" fillId="0" borderId="0" xfId="0" applyFont="1" applyAlignment="1">
      <alignment horizontal="left"/>
    </xf>
    <xf numFmtId="164" fontId="3" fillId="0" borderId="0" xfId="1" applyNumberFormat="1" applyFont="1"/>
    <xf numFmtId="165" fontId="3" fillId="0" borderId="0" xfId="2" applyNumberFormat="1" applyFont="1"/>
    <xf numFmtId="43" fontId="3" fillId="0" borderId="0" xfId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7" fillId="0" borderId="0" xfId="0" applyFont="1"/>
    <xf numFmtId="0" fontId="7" fillId="0" borderId="1" xfId="0" applyFont="1" applyBorder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/>
    <xf numFmtId="165" fontId="7" fillId="0" borderId="0" xfId="2" applyNumberFormat="1" applyFont="1"/>
    <xf numFmtId="164" fontId="8" fillId="0" borderId="0" xfId="1" applyNumberFormat="1" applyFont="1"/>
    <xf numFmtId="0" fontId="8" fillId="0" borderId="0" xfId="3" applyFont="1" applyAlignment="1">
      <alignment horizontal="center"/>
    </xf>
    <xf numFmtId="43" fontId="8" fillId="0" borderId="0" xfId="2" applyNumberFormat="1" applyFo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/>
    <xf numFmtId="0" fontId="9" fillId="0" borderId="0" xfId="0" applyFont="1" applyAlignment="1">
      <alignment horizontal="right"/>
    </xf>
    <xf numFmtId="165" fontId="9" fillId="0" borderId="0" xfId="2" applyNumberFormat="1" applyFont="1"/>
    <xf numFmtId="2" fontId="9" fillId="0" borderId="0" xfId="0" applyNumberFormat="1" applyFont="1" applyAlignment="1">
      <alignment horizontal="left"/>
    </xf>
    <xf numFmtId="164" fontId="9" fillId="0" borderId="0" xfId="1" applyNumberFormat="1" applyFont="1"/>
    <xf numFmtId="165" fontId="9" fillId="0" borderId="0" xfId="0" applyNumberFormat="1" applyFont="1"/>
    <xf numFmtId="165" fontId="7" fillId="0" borderId="0" xfId="0" applyNumberFormat="1" applyFont="1"/>
    <xf numFmtId="0" fontId="7" fillId="0" borderId="0" xfId="0" quotePrefix="1" applyFont="1"/>
    <xf numFmtId="167" fontId="7" fillId="0" borderId="0" xfId="0" applyNumberFormat="1" applyFont="1"/>
    <xf numFmtId="0" fontId="3" fillId="0" borderId="0" xfId="3" applyFont="1" applyAlignment="1">
      <alignment horizontal="center"/>
    </xf>
    <xf numFmtId="167" fontId="3" fillId="0" borderId="0" xfId="0" applyNumberFormat="1" applyFont="1" applyAlignment="1">
      <alignment horizontal="right"/>
    </xf>
    <xf numFmtId="171" fontId="3" fillId="0" borderId="0" xfId="1" applyNumberFormat="1" applyFont="1"/>
    <xf numFmtId="0" fontId="3" fillId="0" borderId="0" xfId="0" applyFont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/>
    <xf numFmtId="0" fontId="9" fillId="0" borderId="0" xfId="0" applyFont="1" applyFill="1" applyAlignment="1">
      <alignment horizontal="right"/>
    </xf>
    <xf numFmtId="164" fontId="9" fillId="0" borderId="0" xfId="1" applyNumberFormat="1" applyFont="1" applyFill="1"/>
    <xf numFmtId="0" fontId="7" fillId="0" borderId="0" xfId="0" applyFont="1" applyFill="1" applyAlignment="1">
      <alignment horizontal="right"/>
    </xf>
    <xf numFmtId="0" fontId="7" fillId="0" borderId="0" xfId="0" applyFont="1" applyFill="1"/>
    <xf numFmtId="164" fontId="7" fillId="0" borderId="0" xfId="1" applyNumberFormat="1" applyFont="1" applyFill="1"/>
    <xf numFmtId="1" fontId="7" fillId="0" borderId="0" xfId="0" applyNumberFormat="1" applyFont="1" applyAlignment="1">
      <alignment horizontal="left"/>
    </xf>
    <xf numFmtId="1" fontId="9" fillId="0" borderId="0" xfId="0" applyNumberFormat="1" applyFont="1" applyAlignment="1">
      <alignment horizontal="left"/>
    </xf>
    <xf numFmtId="1" fontId="9" fillId="0" borderId="0" xfId="0" quotePrefix="1" applyNumberFormat="1" applyFont="1" applyAlignment="1">
      <alignment horizontal="left"/>
    </xf>
    <xf numFmtId="164" fontId="7" fillId="0" borderId="0" xfId="1" applyNumberFormat="1" applyFont="1"/>
    <xf numFmtId="170" fontId="7" fillId="0" borderId="0" xfId="1" applyNumberFormat="1" applyFont="1"/>
    <xf numFmtId="170" fontId="3" fillId="0" borderId="0" xfId="1" applyNumberFormat="1" applyFont="1"/>
    <xf numFmtId="2" fontId="4" fillId="0" borderId="0" xfId="0" applyNumberFormat="1" applyFont="1" applyAlignment="1">
      <alignment horizontal="left"/>
    </xf>
    <xf numFmtId="0" fontId="9" fillId="0" borderId="0" xfId="0" applyFont="1" applyFill="1"/>
    <xf numFmtId="165" fontId="9" fillId="0" borderId="0" xfId="2" applyNumberFormat="1" applyFont="1" applyFill="1"/>
    <xf numFmtId="165" fontId="3" fillId="0" borderId="0" xfId="2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164" fontId="3" fillId="0" borderId="2" xfId="1" applyNumberFormat="1" applyFont="1" applyBorder="1"/>
    <xf numFmtId="164" fontId="3" fillId="0" borderId="0" xfId="1" applyNumberFormat="1" applyFont="1" applyFill="1"/>
    <xf numFmtId="165" fontId="3" fillId="0" borderId="0" xfId="0" applyNumberFormat="1" applyFont="1" applyFill="1"/>
    <xf numFmtId="0" fontId="3" fillId="0" borderId="0" xfId="3" applyFont="1" applyFill="1" applyAlignment="1">
      <alignment horizontal="center"/>
    </xf>
    <xf numFmtId="0" fontId="10" fillId="0" borderId="0" xfId="0" applyFont="1" applyFill="1"/>
    <xf numFmtId="0" fontId="2" fillId="0" borderId="0" xfId="0" applyFont="1" applyFill="1"/>
    <xf numFmtId="165" fontId="10" fillId="0" borderId="0" xfId="0" applyNumberFormat="1" applyFont="1" applyFill="1"/>
    <xf numFmtId="165" fontId="7" fillId="0" borderId="0" xfId="0" applyNumberFormat="1" applyFont="1" applyFill="1"/>
    <xf numFmtId="0" fontId="11" fillId="0" borderId="0" xfId="0" applyFont="1" applyFill="1" applyAlignment="1">
      <alignment horizontal="right"/>
    </xf>
    <xf numFmtId="44" fontId="3" fillId="0" borderId="0" xfId="0" applyNumberFormat="1" applyFont="1"/>
    <xf numFmtId="0" fontId="1" fillId="0" borderId="0" xfId="0" applyFont="1" applyAlignment="1">
      <alignment horizontal="centerContinuous"/>
    </xf>
    <xf numFmtId="0" fontId="12" fillId="0" borderId="0" xfId="0" applyFont="1"/>
    <xf numFmtId="0" fontId="13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2" fillId="0" borderId="1" xfId="0" applyFont="1" applyBorder="1" applyAlignment="1">
      <alignment horizontal="right"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7" fillId="0" borderId="0" xfId="0" quotePrefix="1" applyFont="1"/>
    <xf numFmtId="165" fontId="8" fillId="0" borderId="0" xfId="2" applyNumberFormat="1" applyFont="1"/>
    <xf numFmtId="0" fontId="9" fillId="0" borderId="0" xfId="0" applyFont="1" applyAlignment="1">
      <alignment horizontal="center"/>
    </xf>
    <xf numFmtId="0" fontId="9" fillId="0" borderId="0" xfId="0" quotePrefix="1" applyFont="1"/>
    <xf numFmtId="164" fontId="9" fillId="0" borderId="0" xfId="0" applyNumberFormat="1" applyFont="1"/>
    <xf numFmtId="0" fontId="7" fillId="0" borderId="0" xfId="0" applyFont="1" applyAlignment="1">
      <alignment horizontal="center"/>
    </xf>
    <xf numFmtId="165" fontId="17" fillId="0" borderId="0" xfId="0" applyNumberFormat="1" applyFont="1"/>
    <xf numFmtId="0" fontId="17" fillId="0" borderId="0" xfId="0" applyFont="1" applyAlignment="1">
      <alignment horizontal="center"/>
    </xf>
    <xf numFmtId="165" fontId="15" fillId="0" borderId="0" xfId="0" applyNumberFormat="1" applyFont="1"/>
    <xf numFmtId="0" fontId="15" fillId="0" borderId="0" xfId="0" applyFont="1" applyAlignment="1">
      <alignment horizontal="center"/>
    </xf>
    <xf numFmtId="0" fontId="16" fillId="0" borderId="3" xfId="0" applyFont="1" applyBorder="1"/>
    <xf numFmtId="0" fontId="17" fillId="0" borderId="4" xfId="0" applyFont="1" applyBorder="1"/>
    <xf numFmtId="0" fontId="17" fillId="0" borderId="5" xfId="0" applyFont="1" applyBorder="1"/>
    <xf numFmtId="10" fontId="8" fillId="0" borderId="6" xfId="4" applyNumberFormat="1" applyFont="1" applyBorder="1"/>
    <xf numFmtId="0" fontId="18" fillId="0" borderId="0" xfId="0" applyFont="1"/>
    <xf numFmtId="0" fontId="19" fillId="0" borderId="0" xfId="0" applyFont="1"/>
    <xf numFmtId="169" fontId="8" fillId="0" borderId="0" xfId="1" applyNumberFormat="1" applyFont="1"/>
    <xf numFmtId="0" fontId="18" fillId="0" borderId="0" xfId="0" applyFont="1" applyFill="1"/>
    <xf numFmtId="0" fontId="19" fillId="0" borderId="0" xfId="0" applyFont="1" applyFill="1"/>
    <xf numFmtId="10" fontId="8" fillId="0" borderId="0" xfId="4" applyNumberFormat="1" applyFont="1"/>
    <xf numFmtId="165" fontId="13" fillId="0" borderId="0" xfId="0" applyNumberFormat="1" applyFont="1"/>
    <xf numFmtId="0" fontId="13" fillId="0" borderId="0" xfId="0" applyFont="1" applyAlignment="1">
      <alignment horizontal="center"/>
    </xf>
    <xf numFmtId="165" fontId="13" fillId="0" borderId="0" xfId="2" applyNumberFormat="1" applyFont="1"/>
    <xf numFmtId="0" fontId="12" fillId="0" borderId="3" xfId="0" applyFont="1" applyBorder="1"/>
    <xf numFmtId="0" fontId="13" fillId="0" borderId="4" xfId="0" applyFont="1" applyBorder="1"/>
    <xf numFmtId="0" fontId="13" fillId="0" borderId="5" xfId="0" applyFont="1" applyBorder="1"/>
    <xf numFmtId="10" fontId="13" fillId="0" borderId="6" xfId="4" applyNumberFormat="1" applyFont="1" applyBorder="1"/>
    <xf numFmtId="10" fontId="13" fillId="0" borderId="0" xfId="4" applyNumberFormat="1" applyFont="1"/>
    <xf numFmtId="164" fontId="7" fillId="0" borderId="0" xfId="1" applyNumberFormat="1" applyFont="1" applyAlignment="1">
      <alignment horizontal="center"/>
    </xf>
    <xf numFmtId="164" fontId="7" fillId="0" borderId="0" xfId="0" applyNumberFormat="1" applyFont="1"/>
    <xf numFmtId="44" fontId="7" fillId="0" borderId="0" xfId="0" applyNumberFormat="1" applyFont="1"/>
    <xf numFmtId="165" fontId="3" fillId="0" borderId="0" xfId="1" applyNumberFormat="1" applyFont="1"/>
    <xf numFmtId="170" fontId="7" fillId="0" borderId="0" xfId="1" applyNumberFormat="1" applyFont="1" applyFill="1"/>
    <xf numFmtId="164" fontId="7" fillId="0" borderId="0" xfId="1" applyNumberFormat="1" applyFont="1" applyFill="1" applyAlignment="1">
      <alignment horizontal="center"/>
    </xf>
    <xf numFmtId="43" fontId="13" fillId="2" borderId="0" xfId="0" applyNumberFormat="1" applyFont="1" applyFill="1"/>
    <xf numFmtId="165" fontId="13" fillId="2" borderId="0" xfId="0" applyNumberFormat="1" applyFont="1" applyFill="1"/>
    <xf numFmtId="0" fontId="13" fillId="2" borderId="0" xfId="0" applyFont="1" applyFill="1"/>
    <xf numFmtId="0" fontId="7" fillId="2" borderId="0" xfId="0" applyFont="1" applyFill="1"/>
    <xf numFmtId="43" fontId="7" fillId="2" borderId="0" xfId="0" applyNumberFormat="1" applyFont="1" applyFill="1"/>
    <xf numFmtId="164" fontId="13" fillId="2" borderId="0" xfId="0" applyNumberFormat="1" applyFont="1" applyFill="1"/>
    <xf numFmtId="164" fontId="15" fillId="2" borderId="0" xfId="0" applyNumberFormat="1" applyFont="1" applyFill="1"/>
    <xf numFmtId="0" fontId="15" fillId="2" borderId="0" xfId="0" applyFont="1" applyFill="1"/>
    <xf numFmtId="164" fontId="7" fillId="2" borderId="0" xfId="0" applyNumberFormat="1" applyFont="1" applyFill="1"/>
    <xf numFmtId="10" fontId="13" fillId="2" borderId="0" xfId="4" applyNumberFormat="1" applyFont="1" applyFill="1"/>
    <xf numFmtId="164" fontId="7" fillId="0" borderId="0" xfId="0" applyNumberFormat="1" applyFont="1" applyFill="1"/>
    <xf numFmtId="0" fontId="7" fillId="0" borderId="0" xfId="0" applyFont="1" applyFill="1" applyAlignment="1">
      <alignment horizontal="center"/>
    </xf>
    <xf numFmtId="43" fontId="7" fillId="0" borderId="0" xfId="1" applyNumberFormat="1" applyFont="1" applyFill="1"/>
    <xf numFmtId="44" fontId="7" fillId="0" borderId="0" xfId="2" applyFont="1" applyFill="1"/>
    <xf numFmtId="0" fontId="3" fillId="0" borderId="0" xfId="0" applyFont="1" applyFill="1" applyAlignment="1">
      <alignment horizontal="center"/>
    </xf>
    <xf numFmtId="165" fontId="8" fillId="0" borderId="0" xfId="2" applyNumberFormat="1" applyFont="1" applyFill="1"/>
    <xf numFmtId="165" fontId="9" fillId="0" borderId="0" xfId="0" applyNumberFormat="1" applyFont="1" applyFill="1"/>
    <xf numFmtId="0" fontId="9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right"/>
    </xf>
    <xf numFmtId="0" fontId="0" fillId="0" borderId="0" xfId="0" applyFill="1"/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" xfId="0" applyBorder="1"/>
    <xf numFmtId="0" fontId="0" fillId="0" borderId="13" xfId="0" applyBorder="1"/>
    <xf numFmtId="0" fontId="0" fillId="0" borderId="7" xfId="0" applyBorder="1"/>
    <xf numFmtId="0" fontId="0" fillId="0" borderId="9" xfId="0" applyBorder="1"/>
    <xf numFmtId="0" fontId="0" fillId="0" borderId="14" xfId="0" applyBorder="1"/>
    <xf numFmtId="0" fontId="2" fillId="0" borderId="14" xfId="0" applyFont="1" applyBorder="1"/>
    <xf numFmtId="0" fontId="0" fillId="0" borderId="10" xfId="0" applyBorder="1"/>
    <xf numFmtId="0" fontId="0" fillId="0" borderId="18" xfId="0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3" xfId="0" applyFont="1" applyBorder="1"/>
    <xf numFmtId="0" fontId="2" fillId="0" borderId="1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quotePrefix="1" applyBorder="1"/>
    <xf numFmtId="0" fontId="0" fillId="0" borderId="10" xfId="0" applyBorder="1" applyAlignment="1">
      <alignment horizontal="center"/>
    </xf>
    <xf numFmtId="165" fontId="0" fillId="0" borderId="10" xfId="2" applyNumberFormat="1" applyFont="1" applyBorder="1"/>
    <xf numFmtId="165" fontId="0" fillId="0" borderId="0" xfId="2" applyNumberFormat="1" applyFont="1" applyBorder="1"/>
    <xf numFmtId="165" fontId="0" fillId="0" borderId="11" xfId="0" applyNumberFormat="1" applyBorder="1"/>
    <xf numFmtId="165" fontId="0" fillId="0" borderId="18" xfId="2" applyNumberFormat="1" applyFont="1" applyBorder="1"/>
    <xf numFmtId="165" fontId="0" fillId="0" borderId="18" xfId="0" applyNumberFormat="1" applyBorder="1"/>
    <xf numFmtId="165" fontId="0" fillId="0" borderId="11" xfId="2" applyNumberFormat="1" applyFont="1" applyBorder="1"/>
    <xf numFmtId="165" fontId="0" fillId="0" borderId="10" xfId="0" applyNumberFormat="1" applyBorder="1"/>
    <xf numFmtId="165" fontId="0" fillId="0" borderId="0" xfId="0" applyNumberFormat="1" applyBorder="1"/>
    <xf numFmtId="164" fontId="0" fillId="0" borderId="10" xfId="1" applyNumberFormat="1" applyFont="1" applyBorder="1"/>
    <xf numFmtId="164" fontId="0" fillId="0" borderId="0" xfId="1" applyNumberFormat="1" applyFont="1" applyBorder="1"/>
    <xf numFmtId="164" fontId="0" fillId="0" borderId="11" xfId="1" applyNumberFormat="1" applyFont="1" applyBorder="1"/>
    <xf numFmtId="164" fontId="0" fillId="0" borderId="18" xfId="1" applyNumberFormat="1" applyFont="1" applyBorder="1"/>
    <xf numFmtId="0" fontId="0" fillId="0" borderId="12" xfId="0" quotePrefix="1" applyBorder="1"/>
    <xf numFmtId="0" fontId="0" fillId="0" borderId="12" xfId="0" applyBorder="1" applyAlignment="1">
      <alignment horizontal="center"/>
    </xf>
    <xf numFmtId="44" fontId="0" fillId="0" borderId="12" xfId="2" applyNumberFormat="1" applyFont="1" applyBorder="1" applyAlignment="1">
      <alignment horizontal="right"/>
    </xf>
    <xf numFmtId="44" fontId="0" fillId="0" borderId="1" xfId="2" applyNumberFormat="1" applyFont="1" applyBorder="1" applyAlignment="1">
      <alignment horizontal="right"/>
    </xf>
    <xf numFmtId="44" fontId="0" fillId="0" borderId="20" xfId="2" applyNumberFormat="1" applyFont="1" applyBorder="1" applyAlignment="1">
      <alignment horizontal="right"/>
    </xf>
    <xf numFmtId="172" fontId="0" fillId="0" borderId="20" xfId="2" applyNumberFormat="1" applyFont="1" applyBorder="1" applyAlignment="1">
      <alignment horizontal="right"/>
    </xf>
    <xf numFmtId="0" fontId="0" fillId="0" borderId="19" xfId="0" applyBorder="1"/>
    <xf numFmtId="0" fontId="13" fillId="3" borderId="0" xfId="0" applyFont="1" applyFill="1"/>
    <xf numFmtId="165" fontId="13" fillId="3" borderId="0" xfId="0" applyNumberFormat="1" applyFont="1" applyFill="1"/>
    <xf numFmtId="0" fontId="13" fillId="3" borderId="0" xfId="0" applyFont="1" applyFill="1" applyAlignment="1">
      <alignment horizontal="center"/>
    </xf>
    <xf numFmtId="0" fontId="7" fillId="0" borderId="0" xfId="0" quotePrefix="1" applyFont="1" applyFill="1"/>
    <xf numFmtId="0" fontId="1" fillId="0" borderId="0" xfId="0" applyFont="1" applyFill="1"/>
    <xf numFmtId="0" fontId="1" fillId="0" borderId="0" xfId="0" quotePrefix="1" applyFont="1" applyFill="1"/>
    <xf numFmtId="165" fontId="8" fillId="0" borderId="0" xfId="1" applyNumberFormat="1" applyFont="1" applyFill="1"/>
    <xf numFmtId="164" fontId="23" fillId="0" borderId="0" xfId="1" applyNumberFormat="1" applyFont="1" applyFill="1"/>
    <xf numFmtId="43" fontId="13" fillId="3" borderId="0" xfId="1" applyFont="1" applyFill="1"/>
    <xf numFmtId="165" fontId="9" fillId="0" borderId="0" xfId="1" applyNumberFormat="1" applyFont="1" applyFill="1"/>
    <xf numFmtId="164" fontId="3" fillId="3" borderId="0" xfId="1" applyNumberFormat="1" applyFont="1" applyFill="1"/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/>
    <xf numFmtId="164" fontId="10" fillId="0" borderId="0" xfId="1" applyNumberFormat="1" applyFont="1" applyFill="1"/>
    <xf numFmtId="44" fontId="7" fillId="0" borderId="0" xfId="2" applyFont="1"/>
    <xf numFmtId="169" fontId="9" fillId="0" borderId="0" xfId="1" applyNumberFormat="1" applyFont="1"/>
    <xf numFmtId="173" fontId="8" fillId="0" borderId="0" xfId="2" applyNumberFormat="1" applyFont="1"/>
    <xf numFmtId="174" fontId="7" fillId="0" borderId="0" xfId="1" applyNumberFormat="1" applyFont="1"/>
    <xf numFmtId="165" fontId="7" fillId="0" borderId="0" xfId="2" applyNumberFormat="1" applyFont="1" applyFill="1"/>
    <xf numFmtId="175" fontId="7" fillId="0" borderId="0" xfId="4" applyNumberFormat="1" applyFont="1"/>
    <xf numFmtId="0" fontId="1" fillId="0" borderId="0" xfId="5"/>
    <xf numFmtId="0" fontId="24" fillId="0" borderId="0" xfId="5" applyFont="1"/>
    <xf numFmtId="0" fontId="25" fillId="0" borderId="0" xfId="5" applyFont="1"/>
    <xf numFmtId="0" fontId="26" fillId="0" borderId="0" xfId="5" applyFont="1" applyAlignment="1">
      <alignment horizontal="right"/>
    </xf>
    <xf numFmtId="0" fontId="26" fillId="0" borderId="1" xfId="5" applyFont="1" applyBorder="1"/>
    <xf numFmtId="0" fontId="26" fillId="0" borderId="1" xfId="5" applyFont="1" applyBorder="1" applyAlignment="1">
      <alignment horizontal="right"/>
    </xf>
    <xf numFmtId="165" fontId="24" fillId="0" borderId="0" xfId="2" applyNumberFormat="1" applyFont="1"/>
    <xf numFmtId="10" fontId="24" fillId="0" borderId="0" xfId="4" applyNumberFormat="1" applyFont="1"/>
    <xf numFmtId="164" fontId="24" fillId="0" borderId="0" xfId="1" applyNumberFormat="1" applyFont="1"/>
    <xf numFmtId="0" fontId="26" fillId="0" borderId="0" xfId="5" applyFont="1"/>
    <xf numFmtId="165" fontId="24" fillId="0" borderId="21" xfId="5" applyNumberFormat="1" applyFont="1" applyBorder="1"/>
    <xf numFmtId="10" fontId="24" fillId="0" borderId="21" xfId="4" applyNumberFormat="1" applyFont="1" applyBorder="1"/>
    <xf numFmtId="0" fontId="26" fillId="0" borderId="21" xfId="5" applyFont="1" applyBorder="1"/>
    <xf numFmtId="0" fontId="1" fillId="0" borderId="0" xfId="5" applyFont="1"/>
    <xf numFmtId="0" fontId="26" fillId="0" borderId="0" xfId="5" applyFont="1" applyAlignment="1">
      <alignment horizontal="left" wrapText="1"/>
    </xf>
    <xf numFmtId="0" fontId="26" fillId="0" borderId="0" xfId="5" applyFont="1" applyAlignment="1">
      <alignment horizontal="right" wrapText="1"/>
    </xf>
    <xf numFmtId="175" fontId="24" fillId="0" borderId="0" xfId="4" applyNumberFormat="1" applyFont="1"/>
    <xf numFmtId="175" fontId="24" fillId="0" borderId="21" xfId="4" applyNumberFormat="1" applyFont="1" applyBorder="1"/>
    <xf numFmtId="175" fontId="15" fillId="0" borderId="0" xfId="4" applyNumberFormat="1" applyFont="1"/>
    <xf numFmtId="0" fontId="1" fillId="0" borderId="0" xfId="0" applyFont="1" applyAlignment="1">
      <alignment horizontal="left"/>
    </xf>
    <xf numFmtId="171" fontId="7" fillId="0" borderId="0" xfId="1" applyNumberFormat="1" applyFont="1" applyFill="1"/>
    <xf numFmtId="43" fontId="7" fillId="0" borderId="0" xfId="0" applyNumberFormat="1" applyFont="1" applyFill="1"/>
    <xf numFmtId="169" fontId="7" fillId="0" borderId="0" xfId="1" applyNumberFormat="1" applyFont="1" applyFill="1"/>
    <xf numFmtId="174" fontId="7" fillId="0" borderId="0" xfId="1" applyNumberFormat="1" applyFont="1" applyFill="1"/>
    <xf numFmtId="168" fontId="7" fillId="0" borderId="0" xfId="1" applyNumberFormat="1" applyFont="1" applyFill="1"/>
    <xf numFmtId="43" fontId="7" fillId="0" borderId="0" xfId="1" applyFont="1" applyFill="1"/>
    <xf numFmtId="166" fontId="7" fillId="0" borderId="0" xfId="0" applyNumberFormat="1" applyFont="1" applyFill="1"/>
    <xf numFmtId="166" fontId="1" fillId="0" borderId="0" xfId="0" applyNumberFormat="1" applyFont="1" applyFill="1"/>
    <xf numFmtId="166" fontId="1" fillId="0" borderId="0" xfId="1" applyNumberFormat="1" applyFont="1" applyFill="1"/>
    <xf numFmtId="44" fontId="7" fillId="0" borderId="0" xfId="0" applyNumberFormat="1" applyFont="1" applyFill="1"/>
    <xf numFmtId="167" fontId="7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165" fontId="13" fillId="0" borderId="0" xfId="0" applyNumberFormat="1" applyFont="1" applyFill="1"/>
    <xf numFmtId="165" fontId="13" fillId="0" borderId="0" xfId="2" applyNumberFormat="1" applyFont="1" applyFill="1"/>
    <xf numFmtId="164" fontId="13" fillId="0" borderId="0" xfId="1" applyNumberFormat="1" applyFont="1" applyFill="1"/>
    <xf numFmtId="165" fontId="13" fillId="0" borderId="2" xfId="2" applyNumberFormat="1" applyFont="1" applyFill="1" applyBorder="1"/>
    <xf numFmtId="165" fontId="8" fillId="0" borderId="2" xfId="2" applyNumberFormat="1" applyFont="1" applyFill="1" applyBorder="1"/>
    <xf numFmtId="0" fontId="17" fillId="0" borderId="0" xfId="0" quotePrefix="1" applyFont="1" applyFill="1"/>
    <xf numFmtId="0" fontId="17" fillId="0" borderId="0" xfId="0" applyFont="1" applyFill="1"/>
    <xf numFmtId="164" fontId="8" fillId="0" borderId="0" xfId="1" applyNumberFormat="1" applyFont="1" applyFill="1"/>
    <xf numFmtId="0" fontId="0" fillId="0" borderId="0" xfId="0" quotePrefix="1" applyFill="1"/>
    <xf numFmtId="164" fontId="0" fillId="0" borderId="0" xfId="1" applyNumberFormat="1" applyFont="1" applyFill="1"/>
    <xf numFmtId="0" fontId="9" fillId="0" borderId="0" xfId="0" quotePrefix="1" applyFont="1" applyFill="1"/>
    <xf numFmtId="0" fontId="16" fillId="0" borderId="0" xfId="0" applyFont="1" applyFill="1"/>
    <xf numFmtId="165" fontId="17" fillId="0" borderId="0" xfId="0" applyNumberFormat="1" applyFont="1" applyFill="1"/>
    <xf numFmtId="0" fontId="3" fillId="0" borderId="0" xfId="0" quotePrefix="1" applyFont="1" applyFill="1"/>
    <xf numFmtId="165" fontId="3" fillId="0" borderId="0" xfId="1" applyNumberFormat="1" applyFont="1" applyFill="1"/>
    <xf numFmtId="44" fontId="3" fillId="0" borderId="0" xfId="0" applyNumberFormat="1" applyFont="1" applyFill="1"/>
    <xf numFmtId="167" fontId="3" fillId="0" borderId="0" xfId="0" applyNumberFormat="1" applyFont="1" applyFill="1" applyAlignment="1">
      <alignment horizontal="right"/>
    </xf>
    <xf numFmtId="10" fontId="0" fillId="0" borderId="10" xfId="0" applyNumberFormat="1" applyFill="1" applyBorder="1"/>
    <xf numFmtId="10" fontId="0" fillId="0" borderId="0" xfId="0" applyNumberFormat="1" applyFill="1" applyBorder="1"/>
    <xf numFmtId="10" fontId="0" fillId="0" borderId="11" xfId="0" applyNumberFormat="1" applyFill="1" applyBorder="1"/>
    <xf numFmtId="10" fontId="0" fillId="0" borderId="18" xfId="0" applyNumberForma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6" fillId="0" borderId="15" xfId="5" applyFont="1" applyBorder="1" applyAlignment="1">
      <alignment horizontal="center"/>
    </xf>
    <xf numFmtId="0" fontId="26" fillId="0" borderId="17" xfId="5" applyFont="1" applyBorder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 2" xfId="5" xr:uid="{49159393-1C68-4320-8DC7-4B38757FF3D8}"/>
    <cellStyle name="Normal_LCEC 1998 Cost of Service Study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me/Shared%20Documents/Delta%20Gas/2021%20Rate%20Case/Delta%20Gas%20Consumption%20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Residential"/>
      <sheetName val="Sm Non Res"/>
      <sheetName val="Large Non Res"/>
      <sheetName val="Interruptible"/>
      <sheetName val="AppHarvest"/>
      <sheetName val="Special Contract"/>
      <sheetName val="Farm Tap"/>
      <sheetName val="Off-System"/>
      <sheetName val="Demand Allocator"/>
      <sheetName val="Cleaned Summary"/>
      <sheetName val="Present and Propos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">
          <cell r="G10">
            <v>0.20921860719595084</v>
          </cell>
        </row>
        <row r="11">
          <cell r="G11">
            <v>2.7517456968571181E-2</v>
          </cell>
        </row>
        <row r="12">
          <cell r="G12">
            <v>0.19126612876417179</v>
          </cell>
        </row>
        <row r="13">
          <cell r="G13">
            <v>0.19985592743272945</v>
          </cell>
        </row>
        <row r="14">
          <cell r="G14">
            <v>2.8831154123111052E-5</v>
          </cell>
        </row>
        <row r="15">
          <cell r="G15">
            <v>0.30293944624843655</v>
          </cell>
        </row>
        <row r="16">
          <cell r="G16">
            <v>0.3032554847841466</v>
          </cell>
        </row>
        <row r="17">
          <cell r="G17">
            <v>0.19216131241233972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655"/>
  <sheetViews>
    <sheetView view="pageBreakPreview" zoomScaleNormal="85" zoomScaleSheetLayoutView="100" workbookViewId="0">
      <pane xSplit="2" ySplit="2" topLeftCell="O393" activePane="bottomRight" state="frozen"/>
      <selection pane="topRight" activeCell="C1" sqref="C1"/>
      <selection pane="bottomLeft" activeCell="A3" sqref="A3"/>
      <selection pane="bottomRight" activeCell="X197" sqref="X197:X353"/>
    </sheetView>
  </sheetViews>
  <sheetFormatPr defaultRowHeight="12.75" x14ac:dyDescent="0.2"/>
  <cols>
    <col min="1" max="1" width="10.5703125" style="19" customWidth="1"/>
    <col min="2" max="2" width="36.28515625" style="19" customWidth="1"/>
    <col min="3" max="4" width="10.42578125" style="21" customWidth="1"/>
    <col min="5" max="5" width="3.85546875" style="21" customWidth="1"/>
    <col min="6" max="6" width="19.85546875" style="19" customWidth="1"/>
    <col min="7" max="7" width="13.7109375" style="4" customWidth="1"/>
    <col min="8" max="8" width="13.42578125" style="4" customWidth="1"/>
    <col min="9" max="9" width="18" style="4" customWidth="1"/>
    <col min="10" max="10" width="18.5703125" style="4" customWidth="1"/>
    <col min="11" max="11" width="19.42578125" style="4" customWidth="1"/>
    <col min="12" max="12" width="18.85546875" style="4" customWidth="1"/>
    <col min="13" max="13" width="20.42578125" style="4" customWidth="1"/>
    <col min="14" max="14" width="19.28515625" style="4" customWidth="1"/>
    <col min="15" max="15" width="20.85546875" style="9" customWidth="1"/>
    <col min="16" max="20" width="21" style="9" customWidth="1"/>
    <col min="21" max="21" width="15.140625" style="9" bestFit="1" customWidth="1"/>
    <col min="22" max="22" width="14.28515625" style="9" customWidth="1"/>
    <col min="23" max="23" width="9.140625" style="19"/>
    <col min="24" max="24" width="14.5703125" style="19" customWidth="1"/>
    <col min="25" max="16384" width="9.140625" style="19"/>
  </cols>
  <sheetData>
    <row r="1" spans="1:30" ht="49.5" customHeight="1" x14ac:dyDescent="0.2">
      <c r="A1" s="17"/>
      <c r="B1" s="17"/>
      <c r="C1" s="18"/>
      <c r="D1" s="18"/>
      <c r="E1" s="18"/>
      <c r="F1" s="2" t="s">
        <v>13</v>
      </c>
      <c r="G1" s="2" t="s">
        <v>633</v>
      </c>
      <c r="H1" s="2" t="s">
        <v>633</v>
      </c>
      <c r="I1" s="2" t="s">
        <v>2</v>
      </c>
      <c r="J1" s="2" t="s">
        <v>2</v>
      </c>
      <c r="K1" s="2" t="s">
        <v>3</v>
      </c>
      <c r="L1" s="2" t="s">
        <v>3</v>
      </c>
      <c r="M1" s="3" t="s">
        <v>4</v>
      </c>
      <c r="N1" s="3" t="s">
        <v>6</v>
      </c>
      <c r="O1" s="3" t="s">
        <v>7</v>
      </c>
      <c r="P1" s="3" t="s">
        <v>7</v>
      </c>
      <c r="Q1" s="2" t="s">
        <v>9</v>
      </c>
      <c r="R1" s="2" t="s">
        <v>10</v>
      </c>
      <c r="S1" s="3" t="s">
        <v>11</v>
      </c>
      <c r="T1" s="3" t="s">
        <v>645</v>
      </c>
      <c r="U1" s="2" t="s">
        <v>13</v>
      </c>
      <c r="V1" s="2"/>
    </row>
    <row r="2" spans="1:30" ht="13.5" thickBot="1" x14ac:dyDescent="0.25">
      <c r="A2" s="5" t="s">
        <v>18</v>
      </c>
      <c r="B2" s="20"/>
      <c r="C2" s="6" t="s">
        <v>16</v>
      </c>
      <c r="D2" s="6" t="s">
        <v>17</v>
      </c>
      <c r="E2" s="6"/>
      <c r="F2" s="6" t="s">
        <v>14</v>
      </c>
      <c r="G2" s="6" t="s">
        <v>0</v>
      </c>
      <c r="H2" s="6" t="s">
        <v>1</v>
      </c>
      <c r="I2" s="6" t="s">
        <v>0</v>
      </c>
      <c r="J2" s="6" t="s">
        <v>1</v>
      </c>
      <c r="K2" s="6" t="s">
        <v>0</v>
      </c>
      <c r="L2" s="6" t="s">
        <v>1</v>
      </c>
      <c r="M2" s="6" t="s">
        <v>1</v>
      </c>
      <c r="N2" s="6" t="s">
        <v>0</v>
      </c>
      <c r="O2" s="6" t="s">
        <v>0</v>
      </c>
      <c r="P2" s="6" t="s">
        <v>8</v>
      </c>
      <c r="Q2" s="6" t="s">
        <v>8</v>
      </c>
      <c r="R2" s="6" t="s">
        <v>8</v>
      </c>
      <c r="S2" s="6" t="s">
        <v>8</v>
      </c>
      <c r="T2" s="6" t="s">
        <v>8</v>
      </c>
      <c r="U2" s="6" t="s">
        <v>19</v>
      </c>
      <c r="V2" s="6" t="s">
        <v>20</v>
      </c>
    </row>
    <row r="4" spans="1:30" x14ac:dyDescent="0.2">
      <c r="A4" s="7" t="s">
        <v>665</v>
      </c>
    </row>
    <row r="6" spans="1:30" x14ac:dyDescent="0.2">
      <c r="A6" s="1" t="s">
        <v>395</v>
      </c>
      <c r="F6" s="48"/>
    </row>
    <row r="7" spans="1:30" s="28" customFormat="1" x14ac:dyDescent="0.2">
      <c r="A7" s="135" t="s">
        <v>754</v>
      </c>
      <c r="B7" s="23" t="s">
        <v>395</v>
      </c>
      <c r="C7" s="21" t="s">
        <v>23</v>
      </c>
      <c r="D7" s="21" t="s">
        <v>24</v>
      </c>
      <c r="E7" s="21"/>
      <c r="F7" s="204">
        <v>30583229.09</v>
      </c>
      <c r="G7" s="14">
        <f>(VLOOKUP($D7,$C$5:$AH$1004,5,)/VLOOKUP($D7,$C$5:$AH$1004,4,))*$F7</f>
        <v>0</v>
      </c>
      <c r="H7" s="14">
        <f>(VLOOKUP($D7,$C$5:$AH$1004,6,)/VLOOKUP($D7,$C$5:$AH$1004,4,))*$F7</f>
        <v>0</v>
      </c>
      <c r="I7" s="14">
        <f>(VLOOKUP($D7,$C$5:$AH$1004,7,)/VLOOKUP($D7,$C$5:$AH$1004,4,))*$F7</f>
        <v>30583229.09</v>
      </c>
      <c r="J7" s="14">
        <f>(VLOOKUP($D7,$C$5:$AH$1004,8,)/VLOOKUP($D7,$C$5:$AH$1004,4,))*$F7</f>
        <v>0</v>
      </c>
      <c r="K7" s="14">
        <f>(VLOOKUP($D7,$C$5:$AH$1004,9,)/VLOOKUP($D7,$C$5:$AH$1004,4,))*$F7</f>
        <v>0</v>
      </c>
      <c r="L7" s="14">
        <f>(VLOOKUP($D7,$C$5:$AH$1004,10,)/VLOOKUP($D7,$C$5:$AH$1004,4,))*$F7</f>
        <v>0</v>
      </c>
      <c r="M7" s="14">
        <f>(VLOOKUP($D7,$C$5:$AH$1004,11,)/VLOOKUP($D7,$C$5:$AH$1004,4,))*$F7</f>
        <v>0</v>
      </c>
      <c r="N7" s="14">
        <f>(VLOOKUP($D7,$C$5:$AH$1004,12,)/VLOOKUP($D7,$C$5:$AH$1004,4,))*$F7</f>
        <v>0</v>
      </c>
      <c r="O7" s="14">
        <f>(VLOOKUP($D7,$C$5:$AH$1004,13,)/VLOOKUP($D7,$C$5:$AH$1004,4,))*$F7</f>
        <v>0</v>
      </c>
      <c r="P7" s="14">
        <f>(VLOOKUP($D7,$C$5:$AH$1004,14,)/VLOOKUP($D7,$C$5:$AH$1004,4,))*$F7</f>
        <v>0</v>
      </c>
      <c r="Q7" s="14">
        <f>(VLOOKUP($D7,$C$5:$AH$1004,15,)/VLOOKUP($D7,$C$5:$AH$1004,4,))*$F7</f>
        <v>0</v>
      </c>
      <c r="R7" s="14">
        <f>(VLOOKUP($D7,$C$5:$AH$1004,16,)/VLOOKUP($D7,$C$5:$AH$1004,4,))*$F7</f>
        <v>0</v>
      </c>
      <c r="S7" s="14">
        <f>(VLOOKUP($D7,$C$5:$AH$1004,17,)/VLOOKUP($D7,$C$5:$AH$1004,4,))*$F7</f>
        <v>0</v>
      </c>
      <c r="T7" s="14">
        <f>(VLOOKUP($D7,$C$5:$AH$1004,18,)/VLOOKUP($D7,$C$5:$AH$1004,4,))*$F7</f>
        <v>0</v>
      </c>
      <c r="U7" s="14">
        <f>SUM(G7:T7)</f>
        <v>30583229.09</v>
      </c>
      <c r="V7" s="39" t="str">
        <f>IF(ABS(U7-F7)&lt;1,"ok","err")</f>
        <v>ok</v>
      </c>
      <c r="W7" s="27"/>
      <c r="X7" s="27"/>
      <c r="Y7" s="27"/>
      <c r="Z7" s="27"/>
      <c r="AA7" s="27"/>
      <c r="AB7" s="27"/>
      <c r="AC7" s="25"/>
      <c r="AD7" s="26"/>
    </row>
    <row r="8" spans="1:30" s="28" customFormat="1" x14ac:dyDescent="0.2">
      <c r="A8" s="43"/>
      <c r="B8" s="44"/>
      <c r="C8" s="45"/>
      <c r="D8" s="45"/>
      <c r="E8" s="45"/>
      <c r="F8" s="46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39"/>
    </row>
    <row r="9" spans="1:30" s="28" customFormat="1" x14ac:dyDescent="0.2">
      <c r="A9" s="29" t="s">
        <v>184</v>
      </c>
      <c r="B9" s="30"/>
      <c r="C9" s="31" t="s">
        <v>201</v>
      </c>
      <c r="D9" s="31"/>
      <c r="E9" s="31"/>
      <c r="F9" s="58">
        <f t="shared" ref="F9:T9" si="0">SUM(F7:F8)</f>
        <v>30583229.09</v>
      </c>
      <c r="G9" s="15">
        <f t="shared" si="0"/>
        <v>0</v>
      </c>
      <c r="H9" s="15">
        <f t="shared" si="0"/>
        <v>0</v>
      </c>
      <c r="I9" s="15">
        <f t="shared" si="0"/>
        <v>30583229.09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  <c r="Q9" s="15">
        <f t="shared" si="0"/>
        <v>0</v>
      </c>
      <c r="R9" s="15">
        <f t="shared" si="0"/>
        <v>0</v>
      </c>
      <c r="S9" s="15">
        <f t="shared" si="0"/>
        <v>0</v>
      </c>
      <c r="T9" s="15">
        <f t="shared" si="0"/>
        <v>0</v>
      </c>
      <c r="U9" s="14">
        <f>SUM(G9:T9)</f>
        <v>30583229.09</v>
      </c>
      <c r="V9" s="39" t="str">
        <f>IF(ABS(U9-F9)&lt;1,"ok","err")</f>
        <v>ok</v>
      </c>
    </row>
    <row r="10" spans="1:30" s="28" customFormat="1" x14ac:dyDescent="0.2">
      <c r="A10" s="31"/>
      <c r="C10" s="31"/>
      <c r="D10" s="31"/>
      <c r="E10" s="31"/>
      <c r="F10" s="57"/>
      <c r="G10" s="4"/>
      <c r="H10" s="4"/>
      <c r="I10" s="4"/>
      <c r="J10" s="4"/>
      <c r="K10" s="4"/>
      <c r="L10" s="4"/>
      <c r="M10" s="4"/>
      <c r="N10" s="4"/>
      <c r="O10" s="9"/>
      <c r="P10" s="9"/>
      <c r="Q10" s="9"/>
      <c r="R10" s="9"/>
      <c r="S10" s="9"/>
      <c r="T10" s="9"/>
      <c r="U10" s="9"/>
      <c r="V10" s="9"/>
    </row>
    <row r="11" spans="1:30" x14ac:dyDescent="0.2">
      <c r="A11" s="1" t="s">
        <v>390</v>
      </c>
      <c r="F11" s="48"/>
    </row>
    <row r="12" spans="1:30" s="28" customFormat="1" x14ac:dyDescent="0.2">
      <c r="A12" s="22" t="s">
        <v>674</v>
      </c>
      <c r="B12" s="19" t="s">
        <v>3</v>
      </c>
      <c r="C12" s="21" t="s">
        <v>183</v>
      </c>
      <c r="D12" s="21" t="s">
        <v>27</v>
      </c>
      <c r="E12" s="21"/>
      <c r="F12" s="204">
        <f>3799500.65+69373022</f>
        <v>73172522.650000006</v>
      </c>
      <c r="G12" s="14">
        <f>(VLOOKUP($D12,$C$5:$AH$1004,5,)/VLOOKUP($D12,$C$5:$AH$1004,4,))*$F12</f>
        <v>0</v>
      </c>
      <c r="H12" s="14">
        <f>(VLOOKUP($D12,$C$5:$AH$1004,6,)/VLOOKUP($D12,$C$5:$AH$1004,4,))*$F12</f>
        <v>0</v>
      </c>
      <c r="I12" s="14">
        <f>(VLOOKUP($D12,$C$5:$AH$1004,7,)/VLOOKUP($D12,$C$5:$AH$1004,4,))*$F12</f>
        <v>0</v>
      </c>
      <c r="J12" s="14">
        <f>(VLOOKUP($D12,$C$5:$AH$1004,8,)/VLOOKUP($D12,$C$5:$AH$1004,4,))*$F12</f>
        <v>0</v>
      </c>
      <c r="K12" s="14">
        <f>(VLOOKUP($D12,$C$5:$AH$1004,9,)/VLOOKUP($D12,$C$5:$AH$1004,4,))*$F12</f>
        <v>73172522.650000006</v>
      </c>
      <c r="L12" s="14">
        <f>(VLOOKUP($D12,$C$5:$AH$1004,10,)/VLOOKUP($D12,$C$5:$AH$1004,4,))*$F12</f>
        <v>0</v>
      </c>
      <c r="M12" s="14">
        <f>(VLOOKUP($D12,$C$5:$AH$1004,11,)/VLOOKUP($D12,$C$5:$AH$1004,4,))*$F12</f>
        <v>0</v>
      </c>
      <c r="N12" s="14">
        <f>(VLOOKUP($D12,$C$5:$AH$1004,12,)/VLOOKUP($D12,$C$5:$AH$1004,4,))*$F12</f>
        <v>0</v>
      </c>
      <c r="O12" s="14">
        <f>(VLOOKUP($D12,$C$5:$AH$1004,13,)/VLOOKUP($D12,$C$5:$AH$1004,4,))*$F12</f>
        <v>0</v>
      </c>
      <c r="P12" s="14">
        <f>(VLOOKUP($D12,$C$5:$AH$1004,14,)/VLOOKUP($D12,$C$5:$AH$1004,4,))*$F12</f>
        <v>0</v>
      </c>
      <c r="Q12" s="14">
        <f>(VLOOKUP($D12,$C$5:$AH$1004,15,)/VLOOKUP($D12,$C$5:$AH$1004,4,))*$F12</f>
        <v>0</v>
      </c>
      <c r="R12" s="14">
        <f>(VLOOKUP($D12,$C$5:$AH$1004,16,)/VLOOKUP($D12,$C$5:$AH$1004,4,))*$F12</f>
        <v>0</v>
      </c>
      <c r="S12" s="14">
        <f>(VLOOKUP($D12,$C$5:$AH$1004,17,)/VLOOKUP($D12,$C$5:$AH$1004,4,))*$F12</f>
        <v>0</v>
      </c>
      <c r="T12" s="14">
        <f>(VLOOKUP($D12,$C$5:$AH$1004,18,)/VLOOKUP($D12,$C$5:$AH$1004,4,))*$F12</f>
        <v>0</v>
      </c>
      <c r="U12" s="14">
        <f>SUM(G12:T12)</f>
        <v>73172522.650000006</v>
      </c>
      <c r="V12" s="39" t="str">
        <f>IF(ABS(U12-F12)&lt;1,"ok","err")</f>
        <v>ok</v>
      </c>
    </row>
    <row r="13" spans="1:30" s="28" customFormat="1" x14ac:dyDescent="0.2">
      <c r="A13" s="31"/>
      <c r="C13" s="31"/>
      <c r="D13" s="31"/>
      <c r="E13" s="31"/>
      <c r="F13" s="57"/>
      <c r="G13" s="4"/>
      <c r="H13" s="4"/>
      <c r="I13" s="4"/>
      <c r="J13" s="4"/>
      <c r="K13" s="4"/>
      <c r="L13" s="4"/>
      <c r="M13" s="4"/>
      <c r="N13" s="4"/>
      <c r="O13" s="9"/>
      <c r="P13" s="9"/>
      <c r="Q13" s="9"/>
      <c r="R13" s="9"/>
      <c r="S13" s="9"/>
      <c r="T13" s="9"/>
      <c r="U13" s="9"/>
      <c r="V13" s="9"/>
    </row>
    <row r="14" spans="1:30" x14ac:dyDescent="0.2">
      <c r="A14" s="1" t="s">
        <v>64</v>
      </c>
      <c r="F14" s="48"/>
    </row>
    <row r="15" spans="1:30" s="28" customFormat="1" x14ac:dyDescent="0.2">
      <c r="A15" s="50" t="s">
        <v>675</v>
      </c>
      <c r="B15" s="19" t="s">
        <v>25</v>
      </c>
      <c r="C15" s="21" t="s">
        <v>26</v>
      </c>
      <c r="D15" s="21" t="s">
        <v>38</v>
      </c>
      <c r="E15" s="21"/>
      <c r="F15" s="204">
        <v>364909.94</v>
      </c>
      <c r="G15" s="14">
        <f t="shared" ref="G15:G26" si="1">(VLOOKUP($D15,$C$5:$AH$1004,5,)/VLOOKUP($D15,$C$5:$AH$1004,4,))*$F15</f>
        <v>0</v>
      </c>
      <c r="H15" s="14">
        <f t="shared" ref="H15:H26" si="2">(VLOOKUP($D15,$C$5:$AH$1004,6,)/VLOOKUP($D15,$C$5:$AH$1004,4,))*$F15</f>
        <v>0</v>
      </c>
      <c r="I15" s="14">
        <f t="shared" ref="I15:I26" si="3">(VLOOKUP($D15,$C$5:$AH$1004,7,)/VLOOKUP($D15,$C$5:$AH$1004,4,))*$F15</f>
        <v>0</v>
      </c>
      <c r="J15" s="14">
        <f t="shared" ref="J15:J26" si="4">(VLOOKUP($D15,$C$5:$AH$1004,8,)/VLOOKUP($D15,$C$5:$AH$1004,4,))*$F15</f>
        <v>0</v>
      </c>
      <c r="K15" s="14">
        <f t="shared" ref="K15:K26" si="5">(VLOOKUP($D15,$C$5:$AH$1004,9,)/VLOOKUP($D15,$C$5:$AH$1004,4,))*$F15</f>
        <v>0</v>
      </c>
      <c r="L15" s="14">
        <f t="shared" ref="L15:L26" si="6">(VLOOKUP($D15,$C$5:$AH$1004,10,)/VLOOKUP($D15,$C$5:$AH$1004,4,))*$F15</f>
        <v>0</v>
      </c>
      <c r="M15" s="14">
        <f t="shared" ref="M15:M26" si="7">(VLOOKUP($D15,$C$5:$AH$1004,11,)/VLOOKUP($D15,$C$5:$AH$1004,4,))*$F15</f>
        <v>0</v>
      </c>
      <c r="N15" s="14">
        <f t="shared" ref="N15:N26" si="8">(VLOOKUP($D15,$C$5:$AH$1004,12,)/VLOOKUP($D15,$C$5:$AH$1004,4,))*$F15</f>
        <v>364909.94</v>
      </c>
      <c r="O15" s="14">
        <f t="shared" ref="O15:O26" si="9">(VLOOKUP($D15,$C$5:$AH$1004,13,)/VLOOKUP($D15,$C$5:$AH$1004,4,))*$F15</f>
        <v>0</v>
      </c>
      <c r="P15" s="14">
        <f t="shared" ref="P15:P26" si="10">(VLOOKUP($D15,$C$5:$AH$1004,14,)/VLOOKUP($D15,$C$5:$AH$1004,4,))*$F15</f>
        <v>0</v>
      </c>
      <c r="Q15" s="14">
        <f t="shared" ref="Q15:Q26" si="11">(VLOOKUP($D15,$C$5:$AH$1004,15,)/VLOOKUP($D15,$C$5:$AH$1004,4,))*$F15</f>
        <v>0</v>
      </c>
      <c r="R15" s="14">
        <f t="shared" ref="R15:R26" si="12">(VLOOKUP($D15,$C$5:$AH$1004,16,)/VLOOKUP($D15,$C$5:$AH$1004,4,))*$F15</f>
        <v>0</v>
      </c>
      <c r="S15" s="14">
        <f t="shared" ref="S15:S26" si="13">(VLOOKUP($D15,$C$5:$AH$1004,17,)/VLOOKUP($D15,$C$5:$AH$1004,4,))*$F15</f>
        <v>0</v>
      </c>
      <c r="T15" s="14">
        <f t="shared" ref="T15:T26" si="14">(VLOOKUP($D15,$C$5:$AH$1004,18,)/VLOOKUP($D15,$C$5:$AH$1004,4,))*$F15</f>
        <v>0</v>
      </c>
      <c r="U15" s="14">
        <f t="shared" ref="U15:U25" si="15">SUM(G15:T15)</f>
        <v>364909.94</v>
      </c>
      <c r="V15" s="39" t="str">
        <f t="shared" ref="V15:V25" si="16">IF(ABS(U15-F15)&lt;1,"ok","err")</f>
        <v>ok</v>
      </c>
    </row>
    <row r="16" spans="1:30" s="28" customFormat="1" x14ac:dyDescent="0.2">
      <c r="A16" s="51">
        <v>375</v>
      </c>
      <c r="B16" s="28" t="s">
        <v>28</v>
      </c>
      <c r="C16" s="31" t="s">
        <v>29</v>
      </c>
      <c r="D16" s="31" t="s">
        <v>38</v>
      </c>
      <c r="E16" s="31"/>
      <c r="F16" s="46">
        <v>117407.14</v>
      </c>
      <c r="G16" s="14">
        <f t="shared" si="1"/>
        <v>0</v>
      </c>
      <c r="H16" s="14">
        <f t="shared" si="2"/>
        <v>0</v>
      </c>
      <c r="I16" s="14">
        <f t="shared" si="3"/>
        <v>0</v>
      </c>
      <c r="J16" s="14">
        <f t="shared" si="4"/>
        <v>0</v>
      </c>
      <c r="K16" s="14">
        <f t="shared" si="5"/>
        <v>0</v>
      </c>
      <c r="L16" s="14">
        <f t="shared" si="6"/>
        <v>0</v>
      </c>
      <c r="M16" s="14">
        <f t="shared" si="7"/>
        <v>0</v>
      </c>
      <c r="N16" s="14">
        <f t="shared" si="8"/>
        <v>117407.14</v>
      </c>
      <c r="O16" s="14">
        <f t="shared" si="9"/>
        <v>0</v>
      </c>
      <c r="P16" s="14">
        <f t="shared" si="10"/>
        <v>0</v>
      </c>
      <c r="Q16" s="14">
        <f t="shared" si="11"/>
        <v>0</v>
      </c>
      <c r="R16" s="14">
        <f t="shared" si="12"/>
        <v>0</v>
      </c>
      <c r="S16" s="14">
        <f t="shared" si="13"/>
        <v>0</v>
      </c>
      <c r="T16" s="14">
        <f t="shared" si="14"/>
        <v>0</v>
      </c>
      <c r="U16" s="14">
        <f t="shared" si="15"/>
        <v>117407.14</v>
      </c>
      <c r="V16" s="39" t="str">
        <f t="shared" si="16"/>
        <v>ok</v>
      </c>
    </row>
    <row r="17" spans="1:22" s="28" customFormat="1" x14ac:dyDescent="0.2">
      <c r="A17" s="51">
        <v>376</v>
      </c>
      <c r="B17" s="28" t="s">
        <v>30</v>
      </c>
      <c r="C17" s="31" t="s">
        <v>31</v>
      </c>
      <c r="D17" s="31" t="s">
        <v>40</v>
      </c>
      <c r="E17" s="31"/>
      <c r="F17" s="46">
        <v>105203373.7</v>
      </c>
      <c r="G17" s="14">
        <f t="shared" si="1"/>
        <v>0</v>
      </c>
      <c r="H17" s="14">
        <f t="shared" si="2"/>
        <v>0</v>
      </c>
      <c r="I17" s="14">
        <f t="shared" si="3"/>
        <v>0</v>
      </c>
      <c r="J17" s="14">
        <f t="shared" si="4"/>
        <v>0</v>
      </c>
      <c r="K17" s="14">
        <f t="shared" si="5"/>
        <v>0</v>
      </c>
      <c r="L17" s="14">
        <f t="shared" si="6"/>
        <v>0</v>
      </c>
      <c r="M17" s="14">
        <f t="shared" si="7"/>
        <v>0</v>
      </c>
      <c r="N17" s="14">
        <f t="shared" si="8"/>
        <v>0</v>
      </c>
      <c r="O17" s="14">
        <f t="shared" si="9"/>
        <v>30424815.674040001</v>
      </c>
      <c r="P17" s="14">
        <f t="shared" si="10"/>
        <v>74778558.025959998</v>
      </c>
      <c r="Q17" s="14">
        <f t="shared" si="11"/>
        <v>0</v>
      </c>
      <c r="R17" s="14">
        <f t="shared" si="12"/>
        <v>0</v>
      </c>
      <c r="S17" s="14">
        <f t="shared" si="13"/>
        <v>0</v>
      </c>
      <c r="T17" s="14">
        <f t="shared" si="14"/>
        <v>0</v>
      </c>
      <c r="U17" s="14">
        <f t="shared" si="15"/>
        <v>105203373.7</v>
      </c>
      <c r="V17" s="39" t="str">
        <f t="shared" si="16"/>
        <v>ok</v>
      </c>
    </row>
    <row r="18" spans="1:22" s="28" customFormat="1" x14ac:dyDescent="0.2">
      <c r="A18" s="51">
        <v>378</v>
      </c>
      <c r="B18" s="28" t="s">
        <v>33</v>
      </c>
      <c r="C18" s="31" t="s">
        <v>34</v>
      </c>
      <c r="D18" s="31" t="s">
        <v>38</v>
      </c>
      <c r="E18" s="31"/>
      <c r="F18" s="46">
        <v>2282460.6800000002</v>
      </c>
      <c r="G18" s="14">
        <f t="shared" si="1"/>
        <v>0</v>
      </c>
      <c r="H18" s="14">
        <f t="shared" si="2"/>
        <v>0</v>
      </c>
      <c r="I18" s="14">
        <f t="shared" si="3"/>
        <v>0</v>
      </c>
      <c r="J18" s="14">
        <f t="shared" si="4"/>
        <v>0</v>
      </c>
      <c r="K18" s="14">
        <f t="shared" si="5"/>
        <v>0</v>
      </c>
      <c r="L18" s="14">
        <f t="shared" si="6"/>
        <v>0</v>
      </c>
      <c r="M18" s="14">
        <f t="shared" si="7"/>
        <v>0</v>
      </c>
      <c r="N18" s="14">
        <f t="shared" si="8"/>
        <v>2282460.6800000002</v>
      </c>
      <c r="O18" s="14">
        <f t="shared" si="9"/>
        <v>0</v>
      </c>
      <c r="P18" s="14">
        <f t="shared" si="10"/>
        <v>0</v>
      </c>
      <c r="Q18" s="14">
        <f t="shared" si="11"/>
        <v>0</v>
      </c>
      <c r="R18" s="14">
        <f t="shared" si="12"/>
        <v>0</v>
      </c>
      <c r="S18" s="14">
        <f t="shared" si="13"/>
        <v>0</v>
      </c>
      <c r="T18" s="14">
        <f t="shared" si="14"/>
        <v>0</v>
      </c>
      <c r="U18" s="14">
        <f t="shared" si="15"/>
        <v>2282460.6800000002</v>
      </c>
      <c r="V18" s="39" t="str">
        <f t="shared" si="16"/>
        <v>ok</v>
      </c>
    </row>
    <row r="19" spans="1:22" s="28" customFormat="1" x14ac:dyDescent="0.2">
      <c r="A19" s="51">
        <v>379</v>
      </c>
      <c r="B19" s="28" t="s">
        <v>36</v>
      </c>
      <c r="C19" s="31" t="s">
        <v>37</v>
      </c>
      <c r="D19" s="31" t="s">
        <v>38</v>
      </c>
      <c r="E19" s="31"/>
      <c r="F19" s="46">
        <v>965611.77</v>
      </c>
      <c r="G19" s="14">
        <f t="shared" si="1"/>
        <v>0</v>
      </c>
      <c r="H19" s="14">
        <f t="shared" si="2"/>
        <v>0</v>
      </c>
      <c r="I19" s="14">
        <f t="shared" si="3"/>
        <v>0</v>
      </c>
      <c r="J19" s="14">
        <f t="shared" si="4"/>
        <v>0</v>
      </c>
      <c r="K19" s="14">
        <f t="shared" si="5"/>
        <v>0</v>
      </c>
      <c r="L19" s="14">
        <f t="shared" si="6"/>
        <v>0</v>
      </c>
      <c r="M19" s="14">
        <f t="shared" si="7"/>
        <v>0</v>
      </c>
      <c r="N19" s="14">
        <f t="shared" si="8"/>
        <v>965611.77</v>
      </c>
      <c r="O19" s="14">
        <f t="shared" si="9"/>
        <v>0</v>
      </c>
      <c r="P19" s="14">
        <f t="shared" si="10"/>
        <v>0</v>
      </c>
      <c r="Q19" s="14">
        <f t="shared" si="11"/>
        <v>0</v>
      </c>
      <c r="R19" s="14">
        <f t="shared" si="12"/>
        <v>0</v>
      </c>
      <c r="S19" s="14">
        <f t="shared" si="13"/>
        <v>0</v>
      </c>
      <c r="T19" s="14">
        <f t="shared" si="14"/>
        <v>0</v>
      </c>
      <c r="U19" s="14">
        <f t="shared" si="15"/>
        <v>965611.77</v>
      </c>
      <c r="V19" s="39" t="str">
        <f t="shared" si="16"/>
        <v>ok</v>
      </c>
    </row>
    <row r="20" spans="1:22" s="28" customFormat="1" x14ac:dyDescent="0.2">
      <c r="A20" s="51">
        <v>380</v>
      </c>
      <c r="B20" s="28" t="s">
        <v>9</v>
      </c>
      <c r="C20" s="31" t="s">
        <v>39</v>
      </c>
      <c r="D20" s="31" t="s">
        <v>42</v>
      </c>
      <c r="E20" s="31"/>
      <c r="F20" s="46">
        <v>24828092.539999999</v>
      </c>
      <c r="G20" s="14">
        <f t="shared" si="1"/>
        <v>0</v>
      </c>
      <c r="H20" s="14">
        <f t="shared" si="2"/>
        <v>0</v>
      </c>
      <c r="I20" s="14">
        <f t="shared" si="3"/>
        <v>0</v>
      </c>
      <c r="J20" s="14">
        <f t="shared" si="4"/>
        <v>0</v>
      </c>
      <c r="K20" s="14">
        <f t="shared" si="5"/>
        <v>0</v>
      </c>
      <c r="L20" s="14">
        <f t="shared" si="6"/>
        <v>0</v>
      </c>
      <c r="M20" s="14">
        <f t="shared" si="7"/>
        <v>0</v>
      </c>
      <c r="N20" s="14">
        <f t="shared" si="8"/>
        <v>0</v>
      </c>
      <c r="O20" s="14">
        <f t="shared" si="9"/>
        <v>0</v>
      </c>
      <c r="P20" s="14">
        <f t="shared" si="10"/>
        <v>0</v>
      </c>
      <c r="Q20" s="14">
        <f t="shared" si="11"/>
        <v>24828092.539999999</v>
      </c>
      <c r="R20" s="14">
        <f t="shared" si="12"/>
        <v>0</v>
      </c>
      <c r="S20" s="14">
        <f t="shared" si="13"/>
        <v>0</v>
      </c>
      <c r="T20" s="14">
        <f t="shared" si="14"/>
        <v>0</v>
      </c>
      <c r="U20" s="14">
        <f t="shared" si="15"/>
        <v>24828092.539999999</v>
      </c>
      <c r="V20" s="39" t="str">
        <f t="shared" si="16"/>
        <v>ok</v>
      </c>
    </row>
    <row r="21" spans="1:22" s="28" customFormat="1" x14ac:dyDescent="0.2">
      <c r="A21" s="51">
        <v>381</v>
      </c>
      <c r="B21" s="28" t="s">
        <v>10</v>
      </c>
      <c r="C21" s="31" t="s">
        <v>41</v>
      </c>
      <c r="D21" s="31" t="s">
        <v>45</v>
      </c>
      <c r="E21" s="31"/>
      <c r="F21" s="46">
        <v>11164355.609999999</v>
      </c>
      <c r="G21" s="14">
        <f t="shared" si="1"/>
        <v>0</v>
      </c>
      <c r="H21" s="14">
        <f t="shared" si="2"/>
        <v>0</v>
      </c>
      <c r="I21" s="14">
        <f t="shared" si="3"/>
        <v>0</v>
      </c>
      <c r="J21" s="14">
        <f t="shared" si="4"/>
        <v>0</v>
      </c>
      <c r="K21" s="14">
        <f t="shared" si="5"/>
        <v>0</v>
      </c>
      <c r="L21" s="14">
        <f t="shared" si="6"/>
        <v>0</v>
      </c>
      <c r="M21" s="14">
        <f t="shared" si="7"/>
        <v>0</v>
      </c>
      <c r="N21" s="14">
        <f t="shared" si="8"/>
        <v>0</v>
      </c>
      <c r="O21" s="14">
        <f t="shared" si="9"/>
        <v>0</v>
      </c>
      <c r="P21" s="14">
        <f t="shared" si="10"/>
        <v>0</v>
      </c>
      <c r="Q21" s="14">
        <f t="shared" si="11"/>
        <v>0</v>
      </c>
      <c r="R21" s="14">
        <f t="shared" si="12"/>
        <v>11164355.609999999</v>
      </c>
      <c r="S21" s="14">
        <f t="shared" si="13"/>
        <v>0</v>
      </c>
      <c r="T21" s="14">
        <f t="shared" si="14"/>
        <v>0</v>
      </c>
      <c r="U21" s="14">
        <f t="shared" si="15"/>
        <v>11164355.609999999</v>
      </c>
      <c r="V21" s="39" t="str">
        <f t="shared" si="16"/>
        <v>ok</v>
      </c>
    </row>
    <row r="22" spans="1:22" s="28" customFormat="1" x14ac:dyDescent="0.2">
      <c r="A22" s="51">
        <v>382</v>
      </c>
      <c r="B22" s="28" t="s">
        <v>43</v>
      </c>
      <c r="C22" s="31" t="s">
        <v>44</v>
      </c>
      <c r="D22" s="31" t="s">
        <v>45</v>
      </c>
      <c r="E22" s="31"/>
      <c r="F22" s="46">
        <v>5799163.3399999999</v>
      </c>
      <c r="G22" s="14">
        <f t="shared" si="1"/>
        <v>0</v>
      </c>
      <c r="H22" s="14">
        <f t="shared" si="2"/>
        <v>0</v>
      </c>
      <c r="I22" s="14">
        <f t="shared" si="3"/>
        <v>0</v>
      </c>
      <c r="J22" s="14">
        <f t="shared" si="4"/>
        <v>0</v>
      </c>
      <c r="K22" s="14">
        <f t="shared" si="5"/>
        <v>0</v>
      </c>
      <c r="L22" s="14">
        <f t="shared" si="6"/>
        <v>0</v>
      </c>
      <c r="M22" s="14">
        <f t="shared" si="7"/>
        <v>0</v>
      </c>
      <c r="N22" s="14">
        <f t="shared" si="8"/>
        <v>0</v>
      </c>
      <c r="O22" s="14">
        <f t="shared" si="9"/>
        <v>0</v>
      </c>
      <c r="P22" s="14">
        <f t="shared" si="10"/>
        <v>0</v>
      </c>
      <c r="Q22" s="14">
        <f t="shared" si="11"/>
        <v>0</v>
      </c>
      <c r="R22" s="14">
        <f t="shared" si="12"/>
        <v>5799163.3399999999</v>
      </c>
      <c r="S22" s="14">
        <f t="shared" si="13"/>
        <v>0</v>
      </c>
      <c r="T22" s="14">
        <f t="shared" si="14"/>
        <v>0</v>
      </c>
      <c r="U22" s="14">
        <f t="shared" si="15"/>
        <v>5799163.3399999999</v>
      </c>
      <c r="V22" s="39" t="str">
        <f t="shared" si="16"/>
        <v>ok</v>
      </c>
    </row>
    <row r="23" spans="1:22" s="28" customFormat="1" x14ac:dyDescent="0.2">
      <c r="A23" s="51">
        <v>383</v>
      </c>
      <c r="B23" s="28" t="s">
        <v>46</v>
      </c>
      <c r="C23" s="31" t="s">
        <v>47</v>
      </c>
      <c r="D23" s="31" t="s">
        <v>45</v>
      </c>
      <c r="E23" s="31"/>
      <c r="F23" s="46">
        <v>4659055.08</v>
      </c>
      <c r="G23" s="14">
        <f t="shared" si="1"/>
        <v>0</v>
      </c>
      <c r="H23" s="14">
        <f t="shared" si="2"/>
        <v>0</v>
      </c>
      <c r="I23" s="14">
        <f t="shared" si="3"/>
        <v>0</v>
      </c>
      <c r="J23" s="14">
        <f t="shared" si="4"/>
        <v>0</v>
      </c>
      <c r="K23" s="14">
        <f t="shared" si="5"/>
        <v>0</v>
      </c>
      <c r="L23" s="14">
        <f t="shared" si="6"/>
        <v>0</v>
      </c>
      <c r="M23" s="14">
        <f t="shared" si="7"/>
        <v>0</v>
      </c>
      <c r="N23" s="14">
        <f t="shared" si="8"/>
        <v>0</v>
      </c>
      <c r="O23" s="14">
        <f t="shared" si="9"/>
        <v>0</v>
      </c>
      <c r="P23" s="14">
        <f t="shared" si="10"/>
        <v>0</v>
      </c>
      <c r="Q23" s="14">
        <f t="shared" si="11"/>
        <v>0</v>
      </c>
      <c r="R23" s="14">
        <f t="shared" si="12"/>
        <v>4659055.08</v>
      </c>
      <c r="S23" s="14">
        <f t="shared" si="13"/>
        <v>0</v>
      </c>
      <c r="T23" s="14">
        <f t="shared" si="14"/>
        <v>0</v>
      </c>
      <c r="U23" s="14">
        <f t="shared" si="15"/>
        <v>4659055.08</v>
      </c>
      <c r="V23" s="39" t="str">
        <f t="shared" si="16"/>
        <v>ok</v>
      </c>
    </row>
    <row r="24" spans="1:22" s="28" customFormat="1" x14ac:dyDescent="0.2">
      <c r="A24" s="51">
        <v>384</v>
      </c>
      <c r="B24" s="28" t="s">
        <v>49</v>
      </c>
      <c r="C24" s="31" t="s">
        <v>50</v>
      </c>
      <c r="D24" s="31" t="s">
        <v>45</v>
      </c>
      <c r="E24" s="31"/>
      <c r="F24" s="46">
        <v>0</v>
      </c>
      <c r="G24" s="14">
        <f t="shared" si="1"/>
        <v>0</v>
      </c>
      <c r="H24" s="14">
        <f t="shared" si="2"/>
        <v>0</v>
      </c>
      <c r="I24" s="14">
        <f t="shared" si="3"/>
        <v>0</v>
      </c>
      <c r="J24" s="14">
        <f t="shared" si="4"/>
        <v>0</v>
      </c>
      <c r="K24" s="14">
        <f t="shared" si="5"/>
        <v>0</v>
      </c>
      <c r="L24" s="14">
        <f t="shared" si="6"/>
        <v>0</v>
      </c>
      <c r="M24" s="14">
        <f t="shared" si="7"/>
        <v>0</v>
      </c>
      <c r="N24" s="14">
        <f t="shared" si="8"/>
        <v>0</v>
      </c>
      <c r="O24" s="14">
        <f t="shared" si="9"/>
        <v>0</v>
      </c>
      <c r="P24" s="14">
        <f t="shared" si="10"/>
        <v>0</v>
      </c>
      <c r="Q24" s="14">
        <f t="shared" si="11"/>
        <v>0</v>
      </c>
      <c r="R24" s="14">
        <f t="shared" si="12"/>
        <v>0</v>
      </c>
      <c r="S24" s="14">
        <f t="shared" si="13"/>
        <v>0</v>
      </c>
      <c r="T24" s="14">
        <f t="shared" si="14"/>
        <v>0</v>
      </c>
      <c r="U24" s="14">
        <f t="shared" si="15"/>
        <v>0</v>
      </c>
      <c r="V24" s="39" t="str">
        <f t="shared" si="16"/>
        <v>ok</v>
      </c>
    </row>
    <row r="25" spans="1:22" s="28" customFormat="1" x14ac:dyDescent="0.2">
      <c r="A25" s="51">
        <v>385</v>
      </c>
      <c r="B25" s="28" t="s">
        <v>52</v>
      </c>
      <c r="C25" s="31" t="s">
        <v>53</v>
      </c>
      <c r="D25" s="31" t="s">
        <v>45</v>
      </c>
      <c r="E25" s="31"/>
      <c r="F25" s="46">
        <v>1843633.37</v>
      </c>
      <c r="G25" s="14">
        <f t="shared" si="1"/>
        <v>0</v>
      </c>
      <c r="H25" s="14">
        <f t="shared" si="2"/>
        <v>0</v>
      </c>
      <c r="I25" s="14">
        <f t="shared" si="3"/>
        <v>0</v>
      </c>
      <c r="J25" s="14">
        <f t="shared" si="4"/>
        <v>0</v>
      </c>
      <c r="K25" s="14">
        <f t="shared" si="5"/>
        <v>0</v>
      </c>
      <c r="L25" s="14">
        <f t="shared" si="6"/>
        <v>0</v>
      </c>
      <c r="M25" s="14">
        <f t="shared" si="7"/>
        <v>0</v>
      </c>
      <c r="N25" s="14">
        <f t="shared" si="8"/>
        <v>0</v>
      </c>
      <c r="O25" s="14">
        <f t="shared" si="9"/>
        <v>0</v>
      </c>
      <c r="P25" s="14">
        <f t="shared" si="10"/>
        <v>0</v>
      </c>
      <c r="Q25" s="14">
        <f t="shared" si="11"/>
        <v>0</v>
      </c>
      <c r="R25" s="14">
        <f t="shared" si="12"/>
        <v>1843633.37</v>
      </c>
      <c r="S25" s="14">
        <f t="shared" si="13"/>
        <v>0</v>
      </c>
      <c r="T25" s="14">
        <f t="shared" si="14"/>
        <v>0</v>
      </c>
      <c r="U25" s="14">
        <f t="shared" si="15"/>
        <v>1843633.37</v>
      </c>
      <c r="V25" s="39" t="str">
        <f t="shared" si="16"/>
        <v>ok</v>
      </c>
    </row>
    <row r="26" spans="1:22" s="28" customFormat="1" x14ac:dyDescent="0.2">
      <c r="A26" s="52">
        <v>387</v>
      </c>
      <c r="B26" s="28" t="s">
        <v>54</v>
      </c>
      <c r="C26" s="31" t="s">
        <v>55</v>
      </c>
      <c r="D26" s="31" t="s">
        <v>45</v>
      </c>
      <c r="E26" s="31"/>
      <c r="F26" s="46">
        <v>0</v>
      </c>
      <c r="G26" s="14">
        <f t="shared" si="1"/>
        <v>0</v>
      </c>
      <c r="H26" s="14">
        <f t="shared" si="2"/>
        <v>0</v>
      </c>
      <c r="I26" s="14">
        <f t="shared" si="3"/>
        <v>0</v>
      </c>
      <c r="J26" s="14">
        <f t="shared" si="4"/>
        <v>0</v>
      </c>
      <c r="K26" s="14">
        <f t="shared" si="5"/>
        <v>0</v>
      </c>
      <c r="L26" s="14">
        <f t="shared" si="6"/>
        <v>0</v>
      </c>
      <c r="M26" s="14">
        <f t="shared" si="7"/>
        <v>0</v>
      </c>
      <c r="N26" s="14">
        <f t="shared" si="8"/>
        <v>0</v>
      </c>
      <c r="O26" s="14">
        <f t="shared" si="9"/>
        <v>0</v>
      </c>
      <c r="P26" s="14">
        <f t="shared" si="10"/>
        <v>0</v>
      </c>
      <c r="Q26" s="14">
        <f t="shared" si="11"/>
        <v>0</v>
      </c>
      <c r="R26" s="14">
        <f t="shared" si="12"/>
        <v>0</v>
      </c>
      <c r="S26" s="14">
        <f t="shared" si="13"/>
        <v>0</v>
      </c>
      <c r="T26" s="14">
        <f t="shared" si="14"/>
        <v>0</v>
      </c>
      <c r="U26" s="14">
        <f>SUM(G26:T26)</f>
        <v>0</v>
      </c>
      <c r="V26" s="39" t="str">
        <f>IF(ABS(U26-F26)&lt;1,"ok","err")</f>
        <v>ok</v>
      </c>
    </row>
    <row r="27" spans="1:22" s="28" customFormat="1" x14ac:dyDescent="0.2">
      <c r="A27" s="52"/>
      <c r="B27" s="28" t="s">
        <v>676</v>
      </c>
      <c r="C27" s="31" t="s">
        <v>677</v>
      </c>
      <c r="D27" s="31"/>
      <c r="E27" s="31"/>
      <c r="F27" s="46">
        <v>0</v>
      </c>
      <c r="G27" s="14">
        <f>(SUM(G15:G26)/SUM($F$15:$F$26))*$F$27</f>
        <v>0</v>
      </c>
      <c r="H27" s="14">
        <f t="shared" ref="H27:T27" si="17">(SUM(H15:H26)/SUM($F$15:$F$26))*$F$27</f>
        <v>0</v>
      </c>
      <c r="I27" s="14">
        <f t="shared" si="17"/>
        <v>0</v>
      </c>
      <c r="J27" s="14">
        <f t="shared" si="17"/>
        <v>0</v>
      </c>
      <c r="K27" s="14">
        <f t="shared" si="17"/>
        <v>0</v>
      </c>
      <c r="L27" s="14">
        <f t="shared" si="17"/>
        <v>0</v>
      </c>
      <c r="M27" s="14">
        <f t="shared" si="17"/>
        <v>0</v>
      </c>
      <c r="N27" s="14">
        <f t="shared" si="17"/>
        <v>0</v>
      </c>
      <c r="O27" s="14">
        <f t="shared" si="17"/>
        <v>0</v>
      </c>
      <c r="P27" s="14">
        <f t="shared" si="17"/>
        <v>0</v>
      </c>
      <c r="Q27" s="14">
        <f t="shared" si="17"/>
        <v>0</v>
      </c>
      <c r="R27" s="14">
        <f t="shared" si="17"/>
        <v>0</v>
      </c>
      <c r="S27" s="14">
        <f t="shared" si="17"/>
        <v>0</v>
      </c>
      <c r="T27" s="14">
        <f t="shared" si="17"/>
        <v>0</v>
      </c>
      <c r="U27" s="14">
        <f>SUM(G27:T27)</f>
        <v>0</v>
      </c>
      <c r="V27" s="39" t="str">
        <f>IF(ABS(U27-F27)&lt;1,"ok","err")</f>
        <v>ok</v>
      </c>
    </row>
    <row r="28" spans="1:22" s="28" customFormat="1" x14ac:dyDescent="0.2">
      <c r="A28" s="33"/>
      <c r="C28" s="31"/>
      <c r="D28" s="31"/>
      <c r="E28" s="31"/>
      <c r="F28" s="46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39"/>
    </row>
    <row r="29" spans="1:22" s="28" customFormat="1" x14ac:dyDescent="0.2">
      <c r="A29" s="33" t="s">
        <v>202</v>
      </c>
      <c r="C29" s="31" t="s">
        <v>203</v>
      </c>
      <c r="D29" s="31"/>
      <c r="E29" s="31"/>
      <c r="F29" s="58">
        <f>SUM(F15:F27)</f>
        <v>157228063.17000002</v>
      </c>
      <c r="G29" s="34">
        <f>SUM(G15:G27)</f>
        <v>0</v>
      </c>
      <c r="H29" s="34">
        <f t="shared" ref="H29:T29" si="18">SUM(H15:H27)</f>
        <v>0</v>
      </c>
      <c r="I29" s="34">
        <f t="shared" si="18"/>
        <v>0</v>
      </c>
      <c r="J29" s="34">
        <f t="shared" si="18"/>
        <v>0</v>
      </c>
      <c r="K29" s="34">
        <f t="shared" si="18"/>
        <v>0</v>
      </c>
      <c r="L29" s="34">
        <f t="shared" si="18"/>
        <v>0</v>
      </c>
      <c r="M29" s="34">
        <f t="shared" si="18"/>
        <v>0</v>
      </c>
      <c r="N29" s="34">
        <f t="shared" si="18"/>
        <v>3730389.5300000003</v>
      </c>
      <c r="O29" s="34">
        <f t="shared" si="18"/>
        <v>30424815.674040001</v>
      </c>
      <c r="P29" s="34">
        <f t="shared" si="18"/>
        <v>74778558.025959998</v>
      </c>
      <c r="Q29" s="34">
        <f t="shared" si="18"/>
        <v>24828092.539999999</v>
      </c>
      <c r="R29" s="34">
        <f t="shared" si="18"/>
        <v>23466207.400000002</v>
      </c>
      <c r="S29" s="34">
        <f t="shared" si="18"/>
        <v>0</v>
      </c>
      <c r="T29" s="34">
        <f t="shared" si="18"/>
        <v>0</v>
      </c>
      <c r="U29" s="14">
        <f>SUM(G29:T29)</f>
        <v>157228063.16999999</v>
      </c>
      <c r="V29" s="39" t="str">
        <f>IF(ABS(U29-F29)&lt;1,"ok","err")</f>
        <v>ok</v>
      </c>
    </row>
    <row r="30" spans="1:22" s="28" customFormat="1" x14ac:dyDescent="0.2">
      <c r="A30" s="33"/>
      <c r="C30" s="31"/>
      <c r="D30" s="31"/>
      <c r="E30" s="31"/>
      <c r="F30" s="58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14"/>
      <c r="V30" s="39"/>
    </row>
    <row r="31" spans="1:22" s="28" customFormat="1" x14ac:dyDescent="0.2">
      <c r="A31" s="33" t="s">
        <v>693</v>
      </c>
      <c r="C31" s="31" t="s">
        <v>694</v>
      </c>
      <c r="D31" s="31"/>
      <c r="E31" s="31"/>
      <c r="F31" s="58">
        <f>F12+F29</f>
        <v>230400585.82000002</v>
      </c>
      <c r="G31" s="32">
        <f t="shared" ref="G31:U31" si="19">G12+G29</f>
        <v>0</v>
      </c>
      <c r="H31" s="32">
        <f t="shared" si="19"/>
        <v>0</v>
      </c>
      <c r="I31" s="32">
        <f t="shared" si="19"/>
        <v>0</v>
      </c>
      <c r="J31" s="32">
        <f t="shared" si="19"/>
        <v>0</v>
      </c>
      <c r="K31" s="32">
        <f t="shared" si="19"/>
        <v>73172522.650000006</v>
      </c>
      <c r="L31" s="32">
        <f t="shared" si="19"/>
        <v>0</v>
      </c>
      <c r="M31" s="32">
        <f t="shared" si="19"/>
        <v>0</v>
      </c>
      <c r="N31" s="32">
        <f t="shared" si="19"/>
        <v>3730389.5300000003</v>
      </c>
      <c r="O31" s="32">
        <f t="shared" si="19"/>
        <v>30424815.674040001</v>
      </c>
      <c r="P31" s="32">
        <f t="shared" si="19"/>
        <v>74778558.025959998</v>
      </c>
      <c r="Q31" s="32">
        <f t="shared" si="19"/>
        <v>24828092.539999999</v>
      </c>
      <c r="R31" s="32">
        <f t="shared" si="19"/>
        <v>23466207.400000002</v>
      </c>
      <c r="S31" s="32">
        <f t="shared" si="19"/>
        <v>0</v>
      </c>
      <c r="T31" s="32">
        <f t="shared" si="19"/>
        <v>0</v>
      </c>
      <c r="U31" s="32">
        <f t="shared" si="19"/>
        <v>230400585.81999999</v>
      </c>
      <c r="V31" s="39" t="str">
        <f>IF(ABS(U31-F31)&lt;1,"ok","err")</f>
        <v>ok</v>
      </c>
    </row>
    <row r="32" spans="1:22" s="28" customFormat="1" x14ac:dyDescent="0.2">
      <c r="A32" s="33"/>
      <c r="C32" s="31"/>
      <c r="D32" s="31"/>
      <c r="E32" s="31"/>
      <c r="F32" s="46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14"/>
      <c r="V32" s="39"/>
    </row>
    <row r="33" spans="1:22" s="28" customFormat="1" x14ac:dyDescent="0.2">
      <c r="A33" s="33" t="s">
        <v>459</v>
      </c>
      <c r="C33" s="31" t="s">
        <v>56</v>
      </c>
      <c r="D33" s="31"/>
      <c r="E33" s="31"/>
      <c r="F33" s="58">
        <f>+F9+F12+F29</f>
        <v>260983814.91000003</v>
      </c>
      <c r="G33" s="34">
        <f t="shared" ref="G33:U33" si="20">+G9+G12+G29</f>
        <v>0</v>
      </c>
      <c r="H33" s="34">
        <f t="shared" si="20"/>
        <v>0</v>
      </c>
      <c r="I33" s="34">
        <f t="shared" si="20"/>
        <v>30583229.09</v>
      </c>
      <c r="J33" s="34">
        <f t="shared" si="20"/>
        <v>0</v>
      </c>
      <c r="K33" s="34">
        <f t="shared" si="20"/>
        <v>73172522.650000006</v>
      </c>
      <c r="L33" s="34">
        <f t="shared" si="20"/>
        <v>0</v>
      </c>
      <c r="M33" s="34">
        <f t="shared" si="20"/>
        <v>0</v>
      </c>
      <c r="N33" s="34">
        <f t="shared" si="20"/>
        <v>3730389.5300000003</v>
      </c>
      <c r="O33" s="34">
        <f t="shared" si="20"/>
        <v>30424815.674040001</v>
      </c>
      <c r="P33" s="34">
        <f t="shared" si="20"/>
        <v>74778558.025959998</v>
      </c>
      <c r="Q33" s="34">
        <f t="shared" si="20"/>
        <v>24828092.539999999</v>
      </c>
      <c r="R33" s="34">
        <f t="shared" si="20"/>
        <v>23466207.400000002</v>
      </c>
      <c r="S33" s="34">
        <f t="shared" si="20"/>
        <v>0</v>
      </c>
      <c r="T33" s="34">
        <f t="shared" si="20"/>
        <v>0</v>
      </c>
      <c r="U33" s="34">
        <f t="shared" si="20"/>
        <v>260983814.91</v>
      </c>
      <c r="V33" s="39" t="str">
        <f>IF(ABS(U33-F33)&lt;1,"ok","err")</f>
        <v>ok</v>
      </c>
    </row>
    <row r="34" spans="1:22" s="28" customFormat="1" x14ac:dyDescent="0.2">
      <c r="A34" s="33"/>
      <c r="C34" s="31"/>
      <c r="D34" s="31"/>
      <c r="E34" s="31"/>
      <c r="F34" s="46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14"/>
      <c r="V34" s="39"/>
    </row>
    <row r="35" spans="1:22" s="28" customFormat="1" x14ac:dyDescent="0.2">
      <c r="A35" s="60">
        <v>117</v>
      </c>
      <c r="B35" s="61" t="s">
        <v>595</v>
      </c>
      <c r="C35" s="62" t="s">
        <v>396</v>
      </c>
      <c r="D35" s="62" t="s">
        <v>24</v>
      </c>
      <c r="E35" s="31"/>
      <c r="F35" s="58">
        <v>4208069.49</v>
      </c>
      <c r="G35" s="14">
        <f>(VLOOKUP($D35,$C$5:$AH$1004,5,)/VLOOKUP($D35,$C$5:$AH$1004,4,))*$F35</f>
        <v>0</v>
      </c>
      <c r="H35" s="14">
        <f>(VLOOKUP($D35,$C$5:$AH$1004,6,)/VLOOKUP($D35,$C$5:$AH$1004,4,))*$F35</f>
        <v>0</v>
      </c>
      <c r="I35" s="14">
        <f>(VLOOKUP($D35,$C$5:$AH$1004,7,)/VLOOKUP($D35,$C$5:$AH$1004,4,))*$F35</f>
        <v>4208069.49</v>
      </c>
      <c r="J35" s="14">
        <f>(VLOOKUP($D35,$C$5:$AH$1004,8,)/VLOOKUP($D35,$C$5:$AH$1004,4,))*$F35</f>
        <v>0</v>
      </c>
      <c r="K35" s="14">
        <f>(VLOOKUP($D35,$C$5:$AH$1004,9,)/VLOOKUP($D35,$C$5:$AH$1004,4,))*$F35</f>
        <v>0</v>
      </c>
      <c r="L35" s="14">
        <f>(VLOOKUP($D35,$C$5:$AH$1004,10,)/VLOOKUP($D35,$C$5:$AH$1004,4,))*$F35</f>
        <v>0</v>
      </c>
      <c r="M35" s="14">
        <f>(VLOOKUP($D35,$C$5:$AH$1004,11,)/VLOOKUP($D35,$C$5:$AH$1004,4,))*$F35</f>
        <v>0</v>
      </c>
      <c r="N35" s="14">
        <f>(VLOOKUP($D35,$C$5:$AH$1004,12,)/VLOOKUP($D35,$C$5:$AH$1004,4,))*$F35</f>
        <v>0</v>
      </c>
      <c r="O35" s="14">
        <f>(VLOOKUP($D35,$C$5:$AH$1004,13,)/VLOOKUP($D35,$C$5:$AH$1004,4,))*$F35</f>
        <v>0</v>
      </c>
      <c r="P35" s="14">
        <f>(VLOOKUP($D35,$C$5:$AH$1004,14,)/VLOOKUP($D35,$C$5:$AH$1004,4,))*$F35</f>
        <v>0</v>
      </c>
      <c r="Q35" s="14">
        <f>(VLOOKUP($D35,$C$5:$AH$1004,15,)/VLOOKUP($D35,$C$5:$AH$1004,4,))*$F35</f>
        <v>0</v>
      </c>
      <c r="R35" s="14">
        <f>(VLOOKUP($D35,$C$5:$AH$1004,16,)/VLOOKUP($D35,$C$5:$AH$1004,4,))*$F35</f>
        <v>0</v>
      </c>
      <c r="S35" s="14">
        <f>(VLOOKUP($D35,$C$5:$AH$1004,17,)/VLOOKUP($D35,$C$5:$AH$1004,4,))*$F35</f>
        <v>0</v>
      </c>
      <c r="T35" s="14">
        <f>(VLOOKUP($D35,$C$5:$AH$1004,18,)/VLOOKUP($D35,$C$5:$AH$1004,4,))*$F35</f>
        <v>0</v>
      </c>
      <c r="U35" s="14">
        <f>SUM(G35:T35)</f>
        <v>4208069.49</v>
      </c>
      <c r="V35" s="39" t="str">
        <f>IF(ABS(U35-F35)&lt;1,"ok","err")</f>
        <v>ok</v>
      </c>
    </row>
    <row r="36" spans="1:22" s="28" customFormat="1" x14ac:dyDescent="0.2">
      <c r="A36" s="33" t="s">
        <v>57</v>
      </c>
      <c r="B36" s="28" t="s">
        <v>58</v>
      </c>
      <c r="C36" s="31" t="s">
        <v>59</v>
      </c>
      <c r="D36" s="31" t="s">
        <v>56</v>
      </c>
      <c r="E36" s="31"/>
      <c r="F36" s="46">
        <v>7677340.1699999999</v>
      </c>
      <c r="G36" s="14">
        <f>(VLOOKUP($D36,$C$5:$AH$1004,5,)/VLOOKUP($D36,$C$5:$AH$1004,4,))*$F36</f>
        <v>0</v>
      </c>
      <c r="H36" s="14">
        <f>(VLOOKUP($D36,$C$5:$AH$1004,6,)/VLOOKUP($D36,$C$5:$AH$1004,4,))*$F36</f>
        <v>0</v>
      </c>
      <c r="I36" s="14">
        <f>(VLOOKUP($D36,$C$5:$AH$1004,7,)/VLOOKUP($D36,$C$5:$AH$1004,4,))*$F36</f>
        <v>899664.42287595232</v>
      </c>
      <c r="J36" s="14">
        <f>(VLOOKUP($D36,$C$5:$AH$1004,8,)/VLOOKUP($D36,$C$5:$AH$1004,4,))*$F36</f>
        <v>0</v>
      </c>
      <c r="K36" s="14">
        <f>(VLOOKUP($D36,$C$5:$AH$1004,9,)/VLOOKUP($D36,$C$5:$AH$1004,4,))*$F36</f>
        <v>2152510.2913941457</v>
      </c>
      <c r="L36" s="14">
        <f>(VLOOKUP($D36,$C$5:$AH$1004,10,)/VLOOKUP($D36,$C$5:$AH$1004,4,))*$F36</f>
        <v>0</v>
      </c>
      <c r="M36" s="14">
        <f>(VLOOKUP($D36,$C$5:$AH$1004,11,)/VLOOKUP($D36,$C$5:$AH$1004,4,))*$F36</f>
        <v>0</v>
      </c>
      <c r="N36" s="14">
        <f>(VLOOKUP($D36,$C$5:$AH$1004,12,)/VLOOKUP($D36,$C$5:$AH$1004,4,))*$F36</f>
        <v>109736.57273840031</v>
      </c>
      <c r="O36" s="14">
        <f>(VLOOKUP($D36,$C$5:$AH$1004,13,)/VLOOKUP($D36,$C$5:$AH$1004,4,))*$F36</f>
        <v>895004.38799127564</v>
      </c>
      <c r="P36" s="14">
        <f>(VLOOKUP($D36,$C$5:$AH$1004,14,)/VLOOKUP($D36,$C$5:$AH$1004,4,))*$F36</f>
        <v>2199754.9065843662</v>
      </c>
      <c r="Q36" s="14">
        <f>(VLOOKUP($D36,$C$5:$AH$1004,15,)/VLOOKUP($D36,$C$5:$AH$1004,4,))*$F36</f>
        <v>730366.02774602035</v>
      </c>
      <c r="R36" s="14">
        <f>(VLOOKUP($D36,$C$5:$AH$1004,16,)/VLOOKUP($D36,$C$5:$AH$1004,4,))*$F36</f>
        <v>690303.56066983915</v>
      </c>
      <c r="S36" s="14">
        <f>(VLOOKUP($D36,$C$5:$AH$1004,17,)/VLOOKUP($D36,$C$5:$AH$1004,4,))*$F36</f>
        <v>0</v>
      </c>
      <c r="T36" s="14">
        <f>(VLOOKUP($D36,$C$5:$AH$1004,18,)/VLOOKUP($D36,$C$5:$AH$1004,4,))*$F36</f>
        <v>0</v>
      </c>
      <c r="U36" s="14">
        <f>SUM(G36:T36)</f>
        <v>7677340.1699999999</v>
      </c>
      <c r="V36" s="39" t="str">
        <f>IF(ABS(U36-F36)&lt;1,"ok","err")</f>
        <v>ok</v>
      </c>
    </row>
    <row r="37" spans="1:22" s="28" customFormat="1" x14ac:dyDescent="0.2">
      <c r="A37" s="33" t="s">
        <v>60</v>
      </c>
      <c r="B37" s="28" t="s">
        <v>61</v>
      </c>
      <c r="C37" s="31" t="s">
        <v>62</v>
      </c>
      <c r="D37" s="31" t="s">
        <v>56</v>
      </c>
      <c r="E37" s="31"/>
      <c r="F37" s="46">
        <v>24289867.039999999</v>
      </c>
      <c r="G37" s="14">
        <f>(VLOOKUP($D37,$C$5:$AH$1004,5,)/VLOOKUP($D37,$C$5:$AH$1004,4,))*$F37</f>
        <v>0</v>
      </c>
      <c r="H37" s="14">
        <f>(VLOOKUP($D37,$C$5:$AH$1004,6,)/VLOOKUP($D37,$C$5:$AH$1004,4,))*$F37</f>
        <v>0</v>
      </c>
      <c r="I37" s="14">
        <f>(VLOOKUP($D37,$C$5:$AH$1004,7,)/VLOOKUP($D37,$C$5:$AH$1004,4,))*$F37</f>
        <v>2846393.2466698573</v>
      </c>
      <c r="J37" s="14">
        <f>(VLOOKUP($D37,$C$5:$AH$1004,8,)/VLOOKUP($D37,$C$5:$AH$1004,4,))*$F37</f>
        <v>0</v>
      </c>
      <c r="K37" s="14">
        <f>(VLOOKUP($D37,$C$5:$AH$1004,9,)/VLOOKUP($D37,$C$5:$AH$1004,4,))*$F37</f>
        <v>6810195.6696540974</v>
      </c>
      <c r="L37" s="14">
        <f>(VLOOKUP($D37,$C$5:$AH$1004,10,)/VLOOKUP($D37,$C$5:$AH$1004,4,))*$F37</f>
        <v>0</v>
      </c>
      <c r="M37" s="14">
        <f>(VLOOKUP($D37,$C$5:$AH$1004,11,)/VLOOKUP($D37,$C$5:$AH$1004,4,))*$F37</f>
        <v>0</v>
      </c>
      <c r="N37" s="14">
        <f>(VLOOKUP($D37,$C$5:$AH$1004,12,)/VLOOKUP($D37,$C$5:$AH$1004,4,))*$F37</f>
        <v>347188.83131643652</v>
      </c>
      <c r="O37" s="14">
        <f>(VLOOKUP($D37,$C$5:$AH$1004,13,)/VLOOKUP($D37,$C$5:$AH$1004,4,))*$F37</f>
        <v>2831649.6472924501</v>
      </c>
      <c r="P37" s="14">
        <f>(VLOOKUP($D37,$C$5:$AH$1004,14,)/VLOOKUP($D37,$C$5:$AH$1004,4,))*$F37</f>
        <v>6959670.0183107648</v>
      </c>
      <c r="Q37" s="14">
        <f>(VLOOKUP($D37,$C$5:$AH$1004,15,)/VLOOKUP($D37,$C$5:$AH$1004,4,))*$F37</f>
        <v>2310760.4081172016</v>
      </c>
      <c r="R37" s="14">
        <f>(VLOOKUP($D37,$C$5:$AH$1004,16,)/VLOOKUP($D37,$C$5:$AH$1004,4,))*$F37</f>
        <v>2184009.2186391898</v>
      </c>
      <c r="S37" s="14">
        <f>(VLOOKUP($D37,$C$5:$AH$1004,17,)/VLOOKUP($D37,$C$5:$AH$1004,4,))*$F37</f>
        <v>0</v>
      </c>
      <c r="T37" s="14">
        <f>(VLOOKUP($D37,$C$5:$AH$1004,18,)/VLOOKUP($D37,$C$5:$AH$1004,4,))*$F37</f>
        <v>0</v>
      </c>
      <c r="U37" s="14">
        <f>SUM(G37:T37)</f>
        <v>24289867.039999999</v>
      </c>
      <c r="V37" s="39" t="str">
        <f>IF(ABS(U37-F37)&lt;1,"ok","err")</f>
        <v>ok</v>
      </c>
    </row>
    <row r="38" spans="1:22" s="28" customFormat="1" x14ac:dyDescent="0.2">
      <c r="A38" s="33"/>
      <c r="B38" s="28" t="s">
        <v>596</v>
      </c>
      <c r="C38" s="31" t="s">
        <v>402</v>
      </c>
      <c r="D38" s="31" t="s">
        <v>56</v>
      </c>
      <c r="E38" s="31"/>
      <c r="F38" s="46">
        <v>0</v>
      </c>
      <c r="G38" s="14">
        <f>(VLOOKUP($D38,$C$5:$AH$1004,5,)/VLOOKUP($D38,$C$5:$AH$1004,4,))*$F38</f>
        <v>0</v>
      </c>
      <c r="H38" s="14">
        <f>(VLOOKUP($D38,$C$5:$AH$1004,6,)/VLOOKUP($D38,$C$5:$AH$1004,4,))*$F38</f>
        <v>0</v>
      </c>
      <c r="I38" s="14">
        <f>(VLOOKUP($D38,$C$5:$AH$1004,7,)/VLOOKUP($D38,$C$5:$AH$1004,4,))*$F38</f>
        <v>0</v>
      </c>
      <c r="J38" s="14">
        <f>(VLOOKUP($D38,$C$5:$AH$1004,8,)/VLOOKUP($D38,$C$5:$AH$1004,4,))*$F38</f>
        <v>0</v>
      </c>
      <c r="K38" s="14">
        <f>(VLOOKUP($D38,$C$5:$AH$1004,9,)/VLOOKUP($D38,$C$5:$AH$1004,4,))*$F38</f>
        <v>0</v>
      </c>
      <c r="L38" s="14">
        <f>(VLOOKUP($D38,$C$5:$AH$1004,10,)/VLOOKUP($D38,$C$5:$AH$1004,4,))*$F38</f>
        <v>0</v>
      </c>
      <c r="M38" s="14">
        <f>(VLOOKUP($D38,$C$5:$AH$1004,11,)/VLOOKUP($D38,$C$5:$AH$1004,4,))*$F38</f>
        <v>0</v>
      </c>
      <c r="N38" s="14">
        <f>(VLOOKUP($D38,$C$5:$AH$1004,12,)/VLOOKUP($D38,$C$5:$AH$1004,4,))*$F38</f>
        <v>0</v>
      </c>
      <c r="O38" s="14">
        <f>(VLOOKUP($D38,$C$5:$AH$1004,13,)/VLOOKUP($D38,$C$5:$AH$1004,4,))*$F38</f>
        <v>0</v>
      </c>
      <c r="P38" s="14">
        <f>(VLOOKUP($D38,$C$5:$AH$1004,14,)/VLOOKUP($D38,$C$5:$AH$1004,4,))*$F38</f>
        <v>0</v>
      </c>
      <c r="Q38" s="14">
        <f>(VLOOKUP($D38,$C$5:$AH$1004,15,)/VLOOKUP($D38,$C$5:$AH$1004,4,))*$F38</f>
        <v>0</v>
      </c>
      <c r="R38" s="14">
        <f>(VLOOKUP($D38,$C$5:$AH$1004,16,)/VLOOKUP($D38,$C$5:$AH$1004,4,))*$F38</f>
        <v>0</v>
      </c>
      <c r="S38" s="14">
        <f>(VLOOKUP($D38,$C$5:$AH$1004,17,)/VLOOKUP($D38,$C$5:$AH$1004,4,))*$F38</f>
        <v>0</v>
      </c>
      <c r="T38" s="14">
        <f>(VLOOKUP($D38,$C$5:$AH$1004,18,)/VLOOKUP($D38,$C$5:$AH$1004,4,))*$F38</f>
        <v>0</v>
      </c>
      <c r="U38" s="14">
        <f>SUM(G38:T38)</f>
        <v>0</v>
      </c>
      <c r="V38" s="39" t="str">
        <f>IF(ABS(U38-F38)&lt;1,"ok","err")</f>
        <v>ok</v>
      </c>
    </row>
    <row r="39" spans="1:22" s="28" customFormat="1" x14ac:dyDescent="0.2">
      <c r="A39" s="33"/>
      <c r="C39" s="31"/>
      <c r="D39" s="31"/>
      <c r="E39" s="31"/>
      <c r="F39" s="46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39"/>
    </row>
    <row r="40" spans="1:22" s="28" customFormat="1" x14ac:dyDescent="0.2">
      <c r="A40" s="33" t="s">
        <v>67</v>
      </c>
      <c r="C40" s="31" t="s">
        <v>63</v>
      </c>
      <c r="D40" s="31"/>
      <c r="E40" s="31"/>
      <c r="F40" s="58">
        <f>F33+F35+F36+F37+F38</f>
        <v>297159091.61000007</v>
      </c>
      <c r="G40" s="34">
        <f t="shared" ref="G40:T40" si="21">G33+G35+G36+G37+G38</f>
        <v>0</v>
      </c>
      <c r="H40" s="34">
        <f t="shared" si="21"/>
        <v>0</v>
      </c>
      <c r="I40" s="34">
        <f t="shared" si="21"/>
        <v>38537356.249545813</v>
      </c>
      <c r="J40" s="34">
        <f t="shared" si="21"/>
        <v>0</v>
      </c>
      <c r="K40" s="34">
        <f t="shared" si="21"/>
        <v>82135228.611048251</v>
      </c>
      <c r="L40" s="34">
        <f t="shared" si="21"/>
        <v>0</v>
      </c>
      <c r="M40" s="34">
        <f t="shared" si="21"/>
        <v>0</v>
      </c>
      <c r="N40" s="34">
        <f t="shared" si="21"/>
        <v>4187314.9340548371</v>
      </c>
      <c r="O40" s="34">
        <f t="shared" si="21"/>
        <v>34151469.709323727</v>
      </c>
      <c r="P40" s="34">
        <f t="shared" si="21"/>
        <v>83937982.950855136</v>
      </c>
      <c r="Q40" s="34">
        <f t="shared" si="21"/>
        <v>27869218.975863222</v>
      </c>
      <c r="R40" s="34">
        <f t="shared" si="21"/>
        <v>26340520.179309033</v>
      </c>
      <c r="S40" s="34">
        <f t="shared" si="21"/>
        <v>0</v>
      </c>
      <c r="T40" s="34">
        <f t="shared" si="21"/>
        <v>0</v>
      </c>
      <c r="U40" s="14">
        <f>SUM(G40:T40)</f>
        <v>297159091.61000001</v>
      </c>
      <c r="V40" s="39" t="str">
        <f>IF(ABS(U40-F40)&lt;1,"ok","err")</f>
        <v>ok</v>
      </c>
    </row>
    <row r="41" spans="1:22" s="28" customFormat="1" x14ac:dyDescent="0.2">
      <c r="A41" s="33"/>
      <c r="C41" s="31"/>
      <c r="D41" s="31"/>
      <c r="E41" s="31"/>
      <c r="F41" s="58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14"/>
      <c r="V41" s="39"/>
    </row>
    <row r="42" spans="1:22" s="28" customFormat="1" x14ac:dyDescent="0.2">
      <c r="A42" s="33"/>
      <c r="C42" s="31"/>
      <c r="D42" s="31"/>
      <c r="E42" s="31"/>
      <c r="F42" s="58">
        <f>F40-F35</f>
        <v>292951022.12000006</v>
      </c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14"/>
      <c r="V42" s="39"/>
    </row>
    <row r="43" spans="1:22" s="28" customFormat="1" x14ac:dyDescent="0.2">
      <c r="A43" s="33"/>
      <c r="C43" s="31"/>
      <c r="D43" s="31"/>
      <c r="E43" s="31"/>
      <c r="F43" s="58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14"/>
      <c r="V43" s="39"/>
    </row>
    <row r="44" spans="1:22" s="28" customFormat="1" x14ac:dyDescent="0.2">
      <c r="A44" s="33"/>
      <c r="C44" s="31"/>
      <c r="D44" s="31"/>
      <c r="E44" s="31"/>
      <c r="F44" s="58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14"/>
      <c r="V44" s="39"/>
    </row>
    <row r="45" spans="1:22" s="28" customFormat="1" x14ac:dyDescent="0.2">
      <c r="A45" s="33"/>
      <c r="C45" s="31"/>
      <c r="D45" s="31"/>
      <c r="E45" s="31"/>
      <c r="F45" s="58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14"/>
      <c r="V45" s="39"/>
    </row>
    <row r="46" spans="1:22" s="28" customFormat="1" x14ac:dyDescent="0.2">
      <c r="A46" s="33"/>
      <c r="C46" s="31"/>
      <c r="D46" s="31"/>
      <c r="E46" s="31"/>
      <c r="F46" s="58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14"/>
      <c r="V46" s="39"/>
    </row>
    <row r="47" spans="1:22" s="28" customFormat="1" x14ac:dyDescent="0.2">
      <c r="A47" s="33"/>
      <c r="C47" s="31"/>
      <c r="D47" s="31"/>
      <c r="E47" s="31"/>
      <c r="F47" s="58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14"/>
      <c r="V47" s="39"/>
    </row>
    <row r="48" spans="1:22" s="28" customFormat="1" x14ac:dyDescent="0.2">
      <c r="A48" s="33"/>
      <c r="C48" s="31"/>
      <c r="D48" s="31"/>
      <c r="E48" s="31"/>
      <c r="F48" s="58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14"/>
      <c r="V48" s="39"/>
    </row>
    <row r="49" spans="1:22" s="28" customFormat="1" x14ac:dyDescent="0.2">
      <c r="A49" s="33"/>
      <c r="C49" s="31"/>
      <c r="D49" s="31"/>
      <c r="E49" s="31"/>
      <c r="F49" s="58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14"/>
      <c r="V49" s="39"/>
    </row>
    <row r="50" spans="1:22" s="28" customFormat="1" x14ac:dyDescent="0.2">
      <c r="A50" s="33"/>
      <c r="C50" s="31"/>
      <c r="D50" s="31"/>
      <c r="E50" s="31"/>
      <c r="F50" s="58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14"/>
      <c r="V50" s="39"/>
    </row>
    <row r="51" spans="1:22" s="28" customFormat="1" x14ac:dyDescent="0.2">
      <c r="A51" s="56" t="s">
        <v>666</v>
      </c>
      <c r="C51" s="31"/>
      <c r="D51" s="31"/>
      <c r="E51" s="31"/>
      <c r="F51" s="58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14"/>
      <c r="V51" s="39"/>
    </row>
    <row r="52" spans="1:22" s="28" customFormat="1" x14ac:dyDescent="0.2">
      <c r="A52" s="33"/>
      <c r="C52" s="31"/>
      <c r="D52" s="31"/>
      <c r="E52" s="31"/>
      <c r="F52" s="46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14"/>
      <c r="V52" s="39"/>
    </row>
    <row r="53" spans="1:22" s="28" customFormat="1" x14ac:dyDescent="0.2">
      <c r="A53" s="33" t="s">
        <v>96</v>
      </c>
      <c r="C53" s="31"/>
      <c r="D53" s="31"/>
      <c r="E53" s="31"/>
      <c r="F53" s="46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14"/>
      <c r="V53" s="39"/>
    </row>
    <row r="54" spans="1:22" s="28" customFormat="1" x14ac:dyDescent="0.2">
      <c r="A54" s="33"/>
      <c r="B54" s="57" t="s">
        <v>397</v>
      </c>
      <c r="C54" s="45" t="s">
        <v>69</v>
      </c>
      <c r="D54" s="45" t="s">
        <v>24</v>
      </c>
      <c r="E54" s="45"/>
      <c r="F54" s="58">
        <v>0</v>
      </c>
      <c r="G54" s="14">
        <f>(VLOOKUP($D54,$C$5:$AH$1004,5,)/VLOOKUP($D54,$C$5:$AH$1004,4,))*$F54</f>
        <v>0</v>
      </c>
      <c r="H54" s="14">
        <f>(VLOOKUP($D54,$C$5:$AH$1004,6,)/VLOOKUP($D54,$C$5:$AH$1004,4,))*$F54</f>
        <v>0</v>
      </c>
      <c r="I54" s="14">
        <f>(VLOOKUP($D54,$C$5:$AH$1004,7,)/VLOOKUP($D54,$C$5:$AH$1004,4,))*$F54</f>
        <v>0</v>
      </c>
      <c r="J54" s="14">
        <f>(VLOOKUP($D54,$C$5:$AH$1004,8,)/VLOOKUP($D54,$C$5:$AH$1004,4,))*$F54</f>
        <v>0</v>
      </c>
      <c r="K54" s="14">
        <f>(VLOOKUP($D54,$C$5:$AH$1004,9,)/VLOOKUP($D54,$C$5:$AH$1004,4,))*$F54</f>
        <v>0</v>
      </c>
      <c r="L54" s="14">
        <f>(VLOOKUP($D54,$C$5:$AH$1004,10,)/VLOOKUP($D54,$C$5:$AH$1004,4,))*$F54</f>
        <v>0</v>
      </c>
      <c r="M54" s="14">
        <f>(VLOOKUP($D54,$C$5:$AH$1004,11,)/VLOOKUP($D54,$C$5:$AH$1004,4,))*$F54</f>
        <v>0</v>
      </c>
      <c r="N54" s="14">
        <f>(VLOOKUP($D54,$C$5:$AH$1004,12,)/VLOOKUP($D54,$C$5:$AH$1004,4,))*$F54</f>
        <v>0</v>
      </c>
      <c r="O54" s="14">
        <f>(VLOOKUP($D54,$C$5:$AH$1004,13,)/VLOOKUP($D54,$C$5:$AH$1004,4,))*$F54</f>
        <v>0</v>
      </c>
      <c r="P54" s="14">
        <f>(VLOOKUP($D54,$C$5:$AH$1004,14,)/VLOOKUP($D54,$C$5:$AH$1004,4,))*$F54</f>
        <v>0</v>
      </c>
      <c r="Q54" s="14">
        <f>(VLOOKUP($D54,$C$5:$AH$1004,15,)/VLOOKUP($D54,$C$5:$AH$1004,4,))*$F54</f>
        <v>0</v>
      </c>
      <c r="R54" s="14">
        <f>(VLOOKUP($D54,$C$5:$AH$1004,16,)/VLOOKUP($D54,$C$5:$AH$1004,4,))*$F54</f>
        <v>0</v>
      </c>
      <c r="S54" s="14">
        <f>(VLOOKUP($D54,$C$5:$AH$1004,17,)/VLOOKUP($D54,$C$5:$AH$1004,4,))*$F54</f>
        <v>0</v>
      </c>
      <c r="T54" s="14">
        <f>(VLOOKUP($D54,$C$5:$AH$1004,18,)/VLOOKUP($D54,$C$5:$AH$1004,4,))*$F54</f>
        <v>0</v>
      </c>
      <c r="U54" s="14">
        <f>SUM(G54:T54)</f>
        <v>0</v>
      </c>
      <c r="V54" s="39" t="str">
        <f>IF(ABS(U54-F54)&lt;1,"ok","err")</f>
        <v>ok</v>
      </c>
    </row>
    <row r="55" spans="1:22" s="28" customFormat="1" x14ac:dyDescent="0.2">
      <c r="A55" s="33"/>
      <c r="B55" s="57" t="s">
        <v>3</v>
      </c>
      <c r="C55" s="45" t="s">
        <v>70</v>
      </c>
      <c r="D55" s="45" t="s">
        <v>27</v>
      </c>
      <c r="E55" s="45"/>
      <c r="F55" s="194">
        <v>0</v>
      </c>
      <c r="G55" s="14">
        <f>(VLOOKUP($D55,$C$5:$AH$1004,5,)/VLOOKUP($D55,$C$5:$AH$1004,4,))*$F55</f>
        <v>0</v>
      </c>
      <c r="H55" s="14">
        <f>(VLOOKUP($D55,$C$5:$AH$1004,6,)/VLOOKUP($D55,$C$5:$AH$1004,4,))*$F55</f>
        <v>0</v>
      </c>
      <c r="I55" s="14">
        <f>(VLOOKUP($D55,$C$5:$AH$1004,7,)/VLOOKUP($D55,$C$5:$AH$1004,4,))*$F55</f>
        <v>0</v>
      </c>
      <c r="J55" s="14">
        <f>(VLOOKUP($D55,$C$5:$AH$1004,8,)/VLOOKUP($D55,$C$5:$AH$1004,4,))*$F55</f>
        <v>0</v>
      </c>
      <c r="K55" s="14">
        <f>(VLOOKUP($D55,$C$5:$AH$1004,9,)/VLOOKUP($D55,$C$5:$AH$1004,4,))*$F55</f>
        <v>0</v>
      </c>
      <c r="L55" s="14">
        <f>(VLOOKUP($D55,$C$5:$AH$1004,10,)/VLOOKUP($D55,$C$5:$AH$1004,4,))*$F55</f>
        <v>0</v>
      </c>
      <c r="M55" s="14">
        <f>(VLOOKUP($D55,$C$5:$AH$1004,11,)/VLOOKUP($D55,$C$5:$AH$1004,4,))*$F55</f>
        <v>0</v>
      </c>
      <c r="N55" s="14">
        <f>(VLOOKUP($D55,$C$5:$AH$1004,12,)/VLOOKUP($D55,$C$5:$AH$1004,4,))*$F55</f>
        <v>0</v>
      </c>
      <c r="O55" s="14">
        <f>(VLOOKUP($D55,$C$5:$AH$1004,13,)/VLOOKUP($D55,$C$5:$AH$1004,4,))*$F55</f>
        <v>0</v>
      </c>
      <c r="P55" s="14">
        <f>(VLOOKUP($D55,$C$5:$AH$1004,14,)/VLOOKUP($D55,$C$5:$AH$1004,4,))*$F55</f>
        <v>0</v>
      </c>
      <c r="Q55" s="14">
        <f>(VLOOKUP($D55,$C$5:$AH$1004,15,)/VLOOKUP($D55,$C$5:$AH$1004,4,))*$F55</f>
        <v>0</v>
      </c>
      <c r="R55" s="14">
        <f>(VLOOKUP($D55,$C$5:$AH$1004,16,)/VLOOKUP($D55,$C$5:$AH$1004,4,))*$F55</f>
        <v>0</v>
      </c>
      <c r="S55" s="14">
        <f>(VLOOKUP($D55,$C$5:$AH$1004,17,)/VLOOKUP($D55,$C$5:$AH$1004,4,))*$F55</f>
        <v>0</v>
      </c>
      <c r="T55" s="14">
        <f>(VLOOKUP($D55,$C$5:$AH$1004,18,)/VLOOKUP($D55,$C$5:$AH$1004,4,))*$F55</f>
        <v>0</v>
      </c>
      <c r="U55" s="14">
        <f t="shared" ref="U55:U60" si="22">SUM(G55:T55)</f>
        <v>0</v>
      </c>
      <c r="V55" s="39" t="str">
        <f t="shared" ref="V55:V60" si="23">IF(ABS(U55-F55)&lt;1,"ok","err")</f>
        <v>ok</v>
      </c>
    </row>
    <row r="56" spans="1:22" s="28" customFormat="1" x14ac:dyDescent="0.2">
      <c r="A56" s="33"/>
      <c r="B56" s="57" t="s">
        <v>7</v>
      </c>
      <c r="C56" s="45" t="s">
        <v>597</v>
      </c>
      <c r="D56" s="45" t="s">
        <v>40</v>
      </c>
      <c r="E56" s="45"/>
      <c r="F56" s="194">
        <v>4096613.89</v>
      </c>
      <c r="G56" s="14">
        <f>(VLOOKUP($D56,$C$5:$AH$1004,5,)/VLOOKUP($D56,$C$5:$AH$1004,4,))*$F56</f>
        <v>0</v>
      </c>
      <c r="H56" s="14">
        <f>(VLOOKUP($D56,$C$5:$AH$1004,6,)/VLOOKUP($D56,$C$5:$AH$1004,4,))*$F56</f>
        <v>0</v>
      </c>
      <c r="I56" s="14">
        <f>(VLOOKUP($D56,$C$5:$AH$1004,7,)/VLOOKUP($D56,$C$5:$AH$1004,4,))*$F56</f>
        <v>0</v>
      </c>
      <c r="J56" s="14">
        <f>(VLOOKUP($D56,$C$5:$AH$1004,8,)/VLOOKUP($D56,$C$5:$AH$1004,4,))*$F56</f>
        <v>0</v>
      </c>
      <c r="K56" s="14">
        <f>(VLOOKUP($D56,$C$5:$AH$1004,9,)/VLOOKUP($D56,$C$5:$AH$1004,4,))*$F56</f>
        <v>0</v>
      </c>
      <c r="L56" s="14">
        <f>(VLOOKUP($D56,$C$5:$AH$1004,10,)/VLOOKUP($D56,$C$5:$AH$1004,4,))*$F56</f>
        <v>0</v>
      </c>
      <c r="M56" s="14">
        <f>(VLOOKUP($D56,$C$5:$AH$1004,11,)/VLOOKUP($D56,$C$5:$AH$1004,4,))*$F56</f>
        <v>0</v>
      </c>
      <c r="N56" s="14">
        <f>(VLOOKUP($D56,$C$5:$AH$1004,12,)/VLOOKUP($D56,$C$5:$AH$1004,4,))*$F56</f>
        <v>0</v>
      </c>
      <c r="O56" s="14">
        <f>(VLOOKUP($D56,$C$5:$AH$1004,13,)/VLOOKUP($D56,$C$5:$AH$1004,4,))*$F56</f>
        <v>1184740.7369880001</v>
      </c>
      <c r="P56" s="14">
        <f>(VLOOKUP($D56,$C$5:$AH$1004,14,)/VLOOKUP($D56,$C$5:$AH$1004,4,))*$F56</f>
        <v>2911873.153012</v>
      </c>
      <c r="Q56" s="14">
        <f>(VLOOKUP($D56,$C$5:$AH$1004,15,)/VLOOKUP($D56,$C$5:$AH$1004,4,))*$F56</f>
        <v>0</v>
      </c>
      <c r="R56" s="14">
        <f>(VLOOKUP($D56,$C$5:$AH$1004,16,)/VLOOKUP($D56,$C$5:$AH$1004,4,))*$F56</f>
        <v>0</v>
      </c>
      <c r="S56" s="14">
        <f>(VLOOKUP($D56,$C$5:$AH$1004,17,)/VLOOKUP($D56,$C$5:$AH$1004,4,))*$F56</f>
        <v>0</v>
      </c>
      <c r="T56" s="14">
        <f>(VLOOKUP($D56,$C$5:$AH$1004,18,)/VLOOKUP($D56,$C$5:$AH$1004,4,))*$F56</f>
        <v>0</v>
      </c>
      <c r="U56" s="14">
        <f t="shared" si="22"/>
        <v>4096613.89</v>
      </c>
      <c r="V56" s="39" t="str">
        <f t="shared" si="23"/>
        <v>ok</v>
      </c>
    </row>
    <row r="57" spans="1:22" s="28" customFormat="1" x14ac:dyDescent="0.2">
      <c r="A57" s="33"/>
      <c r="B57" s="57" t="s">
        <v>398</v>
      </c>
      <c r="C57" s="45" t="s">
        <v>598</v>
      </c>
      <c r="D57" s="45" t="s">
        <v>203</v>
      </c>
      <c r="E57" s="45"/>
      <c r="F57" s="194">
        <v>0</v>
      </c>
      <c r="G57" s="14">
        <f>(VLOOKUP($D57,$C$5:$AH$1004,5,)/VLOOKUP($D57,$C$5:$AH$1004,4,))*$F57</f>
        <v>0</v>
      </c>
      <c r="H57" s="14">
        <f>(VLOOKUP($D57,$C$5:$AH$1004,6,)/VLOOKUP($D57,$C$5:$AH$1004,4,))*$F57</f>
        <v>0</v>
      </c>
      <c r="I57" s="14">
        <f>(VLOOKUP($D57,$C$5:$AH$1004,7,)/VLOOKUP($D57,$C$5:$AH$1004,4,))*$F57</f>
        <v>0</v>
      </c>
      <c r="J57" s="14">
        <f>(VLOOKUP($D57,$C$5:$AH$1004,8,)/VLOOKUP($D57,$C$5:$AH$1004,4,))*$F57</f>
        <v>0</v>
      </c>
      <c r="K57" s="14">
        <f>(VLOOKUP($D57,$C$5:$AH$1004,9,)/VLOOKUP($D57,$C$5:$AH$1004,4,))*$F57</f>
        <v>0</v>
      </c>
      <c r="L57" s="14">
        <f>(VLOOKUP($D57,$C$5:$AH$1004,10,)/VLOOKUP($D57,$C$5:$AH$1004,4,))*$F57</f>
        <v>0</v>
      </c>
      <c r="M57" s="14">
        <f>(VLOOKUP($D57,$C$5:$AH$1004,11,)/VLOOKUP($D57,$C$5:$AH$1004,4,))*$F57</f>
        <v>0</v>
      </c>
      <c r="N57" s="14">
        <f>(VLOOKUP($D57,$C$5:$AH$1004,12,)/VLOOKUP($D57,$C$5:$AH$1004,4,))*$F57</f>
        <v>0</v>
      </c>
      <c r="O57" s="14">
        <f>(VLOOKUP($D57,$C$5:$AH$1004,13,)/VLOOKUP($D57,$C$5:$AH$1004,4,))*$F57</f>
        <v>0</v>
      </c>
      <c r="P57" s="14">
        <f>(VLOOKUP($D57,$C$5:$AH$1004,14,)/VLOOKUP($D57,$C$5:$AH$1004,4,))*$F57</f>
        <v>0</v>
      </c>
      <c r="Q57" s="14">
        <f>(VLOOKUP($D57,$C$5:$AH$1004,15,)/VLOOKUP($D57,$C$5:$AH$1004,4,))*$F57</f>
        <v>0</v>
      </c>
      <c r="R57" s="14">
        <f>(VLOOKUP($D57,$C$5:$AH$1004,16,)/VLOOKUP($D57,$C$5:$AH$1004,4,))*$F57</f>
        <v>0</v>
      </c>
      <c r="S57" s="14">
        <f>(VLOOKUP($D57,$C$5:$AH$1004,17,)/VLOOKUP($D57,$C$5:$AH$1004,4,))*$F57</f>
        <v>0</v>
      </c>
      <c r="T57" s="14">
        <f>(VLOOKUP($D57,$C$5:$AH$1004,18,)/VLOOKUP($D57,$C$5:$AH$1004,4,))*$F57</f>
        <v>0</v>
      </c>
      <c r="U57" s="14">
        <f t="shared" si="22"/>
        <v>0</v>
      </c>
      <c r="V57" s="39" t="str">
        <f t="shared" si="23"/>
        <v>ok</v>
      </c>
    </row>
    <row r="58" spans="1:22" s="28" customFormat="1" x14ac:dyDescent="0.2">
      <c r="A58" s="33"/>
      <c r="B58" s="57" t="s">
        <v>77</v>
      </c>
      <c r="C58" s="45" t="s">
        <v>71</v>
      </c>
      <c r="D58" s="31" t="s">
        <v>62</v>
      </c>
      <c r="E58" s="45"/>
      <c r="F58" s="194">
        <v>0</v>
      </c>
      <c r="G58" s="14">
        <f>(VLOOKUP($D58,$C$5:$AH$1004,5,)/VLOOKUP($D58,$C$5:$AH$1004,4,))*$F58</f>
        <v>0</v>
      </c>
      <c r="H58" s="14">
        <f>(VLOOKUP($D58,$C$5:$AH$1004,6,)/VLOOKUP($D58,$C$5:$AH$1004,4,))*$F58</f>
        <v>0</v>
      </c>
      <c r="I58" s="14">
        <f>(VLOOKUP($D58,$C$5:$AH$1004,7,)/VLOOKUP($D58,$C$5:$AH$1004,4,))*$F58</f>
        <v>0</v>
      </c>
      <c r="J58" s="14">
        <f>(VLOOKUP($D58,$C$5:$AH$1004,8,)/VLOOKUP($D58,$C$5:$AH$1004,4,))*$F58</f>
        <v>0</v>
      </c>
      <c r="K58" s="14">
        <f>(VLOOKUP($D58,$C$5:$AH$1004,9,)/VLOOKUP($D58,$C$5:$AH$1004,4,))*$F58</f>
        <v>0</v>
      </c>
      <c r="L58" s="14">
        <f>(VLOOKUP($D58,$C$5:$AH$1004,10,)/VLOOKUP($D58,$C$5:$AH$1004,4,))*$F58</f>
        <v>0</v>
      </c>
      <c r="M58" s="14">
        <f>(VLOOKUP($D58,$C$5:$AH$1004,11,)/VLOOKUP($D58,$C$5:$AH$1004,4,))*$F58</f>
        <v>0</v>
      </c>
      <c r="N58" s="14">
        <f>(VLOOKUP($D58,$C$5:$AH$1004,12,)/VLOOKUP($D58,$C$5:$AH$1004,4,))*$F58</f>
        <v>0</v>
      </c>
      <c r="O58" s="14">
        <f>(VLOOKUP($D58,$C$5:$AH$1004,13,)/VLOOKUP($D58,$C$5:$AH$1004,4,))*$F58</f>
        <v>0</v>
      </c>
      <c r="P58" s="14">
        <f>(VLOOKUP($D58,$C$5:$AH$1004,14,)/VLOOKUP($D58,$C$5:$AH$1004,4,))*$F58</f>
        <v>0</v>
      </c>
      <c r="Q58" s="14">
        <f>(VLOOKUP($D58,$C$5:$AH$1004,15,)/VLOOKUP($D58,$C$5:$AH$1004,4,))*$F58</f>
        <v>0</v>
      </c>
      <c r="R58" s="14">
        <f>(VLOOKUP($D58,$C$5:$AH$1004,16,)/VLOOKUP($D58,$C$5:$AH$1004,4,))*$F58</f>
        <v>0</v>
      </c>
      <c r="S58" s="14">
        <f>(VLOOKUP($D58,$C$5:$AH$1004,17,)/VLOOKUP($D58,$C$5:$AH$1004,4,))*$F58</f>
        <v>0</v>
      </c>
      <c r="T58" s="14">
        <f>(VLOOKUP($D58,$C$5:$AH$1004,18,)/VLOOKUP($D58,$C$5:$AH$1004,4,))*$F58</f>
        <v>0</v>
      </c>
      <c r="U58" s="14">
        <f t="shared" si="22"/>
        <v>0</v>
      </c>
      <c r="V58" s="39" t="str">
        <f t="shared" si="23"/>
        <v>ok</v>
      </c>
    </row>
    <row r="59" spans="1:22" s="28" customFormat="1" x14ac:dyDescent="0.2">
      <c r="A59" s="33"/>
      <c r="C59" s="31"/>
      <c r="D59" s="31"/>
      <c r="E59" s="31"/>
      <c r="F59" s="19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14"/>
      <c r="V59" s="39"/>
    </row>
    <row r="60" spans="1:22" s="28" customFormat="1" x14ac:dyDescent="0.2">
      <c r="A60" s="28" t="s">
        <v>460</v>
      </c>
      <c r="C60" s="31" t="s">
        <v>72</v>
      </c>
      <c r="D60" s="31"/>
      <c r="E60" s="31"/>
      <c r="F60" s="58">
        <f>+SUM(F54:F58)</f>
        <v>4096613.89</v>
      </c>
      <c r="G60" s="34">
        <f t="shared" ref="G60:T60" si="24">+SUM(G54:G58)</f>
        <v>0</v>
      </c>
      <c r="H60" s="34">
        <f t="shared" si="24"/>
        <v>0</v>
      </c>
      <c r="I60" s="34">
        <f t="shared" si="24"/>
        <v>0</v>
      </c>
      <c r="J60" s="34">
        <f t="shared" si="24"/>
        <v>0</v>
      </c>
      <c r="K60" s="34">
        <f t="shared" si="24"/>
        <v>0</v>
      </c>
      <c r="L60" s="34">
        <f t="shared" si="24"/>
        <v>0</v>
      </c>
      <c r="M60" s="34">
        <f t="shared" si="24"/>
        <v>0</v>
      </c>
      <c r="N60" s="34">
        <f t="shared" si="24"/>
        <v>0</v>
      </c>
      <c r="O60" s="34">
        <f t="shared" si="24"/>
        <v>1184740.7369880001</v>
      </c>
      <c r="P60" s="34">
        <f t="shared" si="24"/>
        <v>2911873.153012</v>
      </c>
      <c r="Q60" s="34">
        <f t="shared" si="24"/>
        <v>0</v>
      </c>
      <c r="R60" s="34">
        <f t="shared" si="24"/>
        <v>0</v>
      </c>
      <c r="S60" s="34">
        <f t="shared" si="24"/>
        <v>0</v>
      </c>
      <c r="T60" s="34">
        <f t="shared" si="24"/>
        <v>0</v>
      </c>
      <c r="U60" s="14">
        <f t="shared" si="22"/>
        <v>4096613.89</v>
      </c>
      <c r="V60" s="39" t="str">
        <f t="shared" si="23"/>
        <v>ok</v>
      </c>
    </row>
    <row r="61" spans="1:22" s="28" customFormat="1" x14ac:dyDescent="0.2">
      <c r="A61" s="33"/>
      <c r="C61" s="31"/>
      <c r="D61" s="31"/>
      <c r="E61" s="31"/>
      <c r="F61" s="46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39"/>
    </row>
    <row r="62" spans="1:22" s="28" customFormat="1" x14ac:dyDescent="0.2">
      <c r="A62" s="33" t="s">
        <v>599</v>
      </c>
      <c r="C62" s="31" t="s">
        <v>73</v>
      </c>
      <c r="D62" s="31"/>
      <c r="E62" s="31"/>
      <c r="F62" s="58">
        <f>F40+F60</f>
        <v>301255705.50000006</v>
      </c>
      <c r="G62" s="34">
        <f t="shared" ref="G62:T62" si="25">G40+G60</f>
        <v>0</v>
      </c>
      <c r="H62" s="34">
        <f t="shared" si="25"/>
        <v>0</v>
      </c>
      <c r="I62" s="34">
        <f t="shared" si="25"/>
        <v>38537356.249545813</v>
      </c>
      <c r="J62" s="34">
        <f t="shared" si="25"/>
        <v>0</v>
      </c>
      <c r="K62" s="34">
        <f t="shared" si="25"/>
        <v>82135228.611048251</v>
      </c>
      <c r="L62" s="34">
        <f t="shared" si="25"/>
        <v>0</v>
      </c>
      <c r="M62" s="34">
        <f t="shared" si="25"/>
        <v>0</v>
      </c>
      <c r="N62" s="34">
        <f t="shared" si="25"/>
        <v>4187314.9340548371</v>
      </c>
      <c r="O62" s="34">
        <f t="shared" si="25"/>
        <v>35336210.446311727</v>
      </c>
      <c r="P62" s="34">
        <f t="shared" si="25"/>
        <v>86849856.103867143</v>
      </c>
      <c r="Q62" s="34">
        <f t="shared" si="25"/>
        <v>27869218.975863222</v>
      </c>
      <c r="R62" s="34">
        <f t="shared" si="25"/>
        <v>26340520.179309033</v>
      </c>
      <c r="S62" s="34">
        <f t="shared" si="25"/>
        <v>0</v>
      </c>
      <c r="T62" s="34">
        <f t="shared" si="25"/>
        <v>0</v>
      </c>
      <c r="U62" s="14"/>
      <c r="V62" s="39"/>
    </row>
    <row r="63" spans="1:22" s="28" customFormat="1" x14ac:dyDescent="0.2">
      <c r="A63" s="33"/>
      <c r="C63" s="31"/>
      <c r="D63" s="31"/>
      <c r="E63" s="31"/>
      <c r="F63" s="46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39"/>
    </row>
    <row r="64" spans="1:22" x14ac:dyDescent="0.2">
      <c r="F64" s="48"/>
    </row>
    <row r="65" spans="6:6" x14ac:dyDescent="0.2">
      <c r="F65" s="204"/>
    </row>
    <row r="66" spans="6:6" x14ac:dyDescent="0.2">
      <c r="F66" s="48"/>
    </row>
    <row r="67" spans="6:6" x14ac:dyDescent="0.2">
      <c r="F67" s="48"/>
    </row>
    <row r="68" spans="6:6" x14ac:dyDescent="0.2">
      <c r="F68" s="70"/>
    </row>
    <row r="69" spans="6:6" x14ac:dyDescent="0.2">
      <c r="F69" s="48"/>
    </row>
    <row r="70" spans="6:6" x14ac:dyDescent="0.2">
      <c r="F70" s="48"/>
    </row>
    <row r="71" spans="6:6" x14ac:dyDescent="0.2">
      <c r="F71" s="48"/>
    </row>
    <row r="72" spans="6:6" x14ac:dyDescent="0.2">
      <c r="F72" s="48"/>
    </row>
    <row r="73" spans="6:6" x14ac:dyDescent="0.2">
      <c r="F73" s="48"/>
    </row>
    <row r="74" spans="6:6" x14ac:dyDescent="0.2">
      <c r="F74" s="48"/>
    </row>
    <row r="75" spans="6:6" x14ac:dyDescent="0.2">
      <c r="F75" s="48"/>
    </row>
    <row r="76" spans="6:6" x14ac:dyDescent="0.2">
      <c r="F76" s="48"/>
    </row>
    <row r="77" spans="6:6" x14ac:dyDescent="0.2">
      <c r="F77" s="48"/>
    </row>
    <row r="78" spans="6:6" x14ac:dyDescent="0.2">
      <c r="F78" s="48"/>
    </row>
    <row r="79" spans="6:6" x14ac:dyDescent="0.2">
      <c r="F79" s="48"/>
    </row>
    <row r="80" spans="6:6" x14ac:dyDescent="0.2">
      <c r="F80" s="48"/>
    </row>
    <row r="81" spans="1:22" x14ac:dyDescent="0.2">
      <c r="F81" s="48"/>
    </row>
    <row r="82" spans="1:22" x14ac:dyDescent="0.2">
      <c r="F82" s="48"/>
    </row>
    <row r="83" spans="1:22" x14ac:dyDescent="0.2">
      <c r="F83" s="48"/>
    </row>
    <row r="84" spans="1:22" x14ac:dyDescent="0.2">
      <c r="F84" s="48"/>
    </row>
    <row r="85" spans="1:22" x14ac:dyDescent="0.2">
      <c r="F85" s="48"/>
    </row>
    <row r="86" spans="1:22" x14ac:dyDescent="0.2">
      <c r="F86" s="48"/>
    </row>
    <row r="87" spans="1:22" x14ac:dyDescent="0.2">
      <c r="F87" s="48"/>
    </row>
    <row r="88" spans="1:22" x14ac:dyDescent="0.2">
      <c r="F88" s="48"/>
    </row>
    <row r="89" spans="1:22" x14ac:dyDescent="0.2">
      <c r="F89" s="48"/>
    </row>
    <row r="90" spans="1:22" x14ac:dyDescent="0.2">
      <c r="F90" s="48"/>
    </row>
    <row r="91" spans="1:22" x14ac:dyDescent="0.2">
      <c r="F91" s="48"/>
    </row>
    <row r="92" spans="1:22" x14ac:dyDescent="0.2">
      <c r="F92" s="48"/>
    </row>
    <row r="93" spans="1:22" x14ac:dyDescent="0.2">
      <c r="F93" s="48"/>
    </row>
    <row r="94" spans="1:22" x14ac:dyDescent="0.2">
      <c r="A94" s="7" t="s">
        <v>94</v>
      </c>
      <c r="F94" s="48"/>
    </row>
    <row r="95" spans="1:22" x14ac:dyDescent="0.2">
      <c r="F95" s="48"/>
    </row>
    <row r="96" spans="1:22" x14ac:dyDescent="0.2">
      <c r="A96" s="1" t="s">
        <v>600</v>
      </c>
      <c r="F96" s="70">
        <f>F62</f>
        <v>301255705.50000006</v>
      </c>
      <c r="G96" s="36">
        <f t="shared" ref="G96:T96" si="26">G62</f>
        <v>0</v>
      </c>
      <c r="H96" s="36">
        <f t="shared" si="26"/>
        <v>0</v>
      </c>
      <c r="I96" s="36">
        <f t="shared" si="26"/>
        <v>38537356.249545813</v>
      </c>
      <c r="J96" s="36">
        <f t="shared" si="26"/>
        <v>0</v>
      </c>
      <c r="K96" s="36">
        <f t="shared" si="26"/>
        <v>82135228.611048251</v>
      </c>
      <c r="L96" s="36">
        <f t="shared" si="26"/>
        <v>0</v>
      </c>
      <c r="M96" s="36">
        <f t="shared" si="26"/>
        <v>0</v>
      </c>
      <c r="N96" s="36">
        <f t="shared" si="26"/>
        <v>4187314.9340548371</v>
      </c>
      <c r="O96" s="36">
        <f t="shared" si="26"/>
        <v>35336210.446311727</v>
      </c>
      <c r="P96" s="36">
        <f t="shared" si="26"/>
        <v>86849856.103867143</v>
      </c>
      <c r="Q96" s="36">
        <f t="shared" si="26"/>
        <v>27869218.975863222</v>
      </c>
      <c r="R96" s="36">
        <f t="shared" si="26"/>
        <v>26340520.179309033</v>
      </c>
      <c r="S96" s="36">
        <f t="shared" si="26"/>
        <v>0</v>
      </c>
      <c r="T96" s="36">
        <f t="shared" si="26"/>
        <v>0</v>
      </c>
      <c r="U96" s="14">
        <f>SUM(G96:T96)</f>
        <v>301255705.5</v>
      </c>
      <c r="V96" s="39" t="str">
        <f>IF(ABS(U96-F96)&lt;1,"ok","err")</f>
        <v>ok</v>
      </c>
    </row>
    <row r="97" spans="1:22" x14ac:dyDescent="0.2">
      <c r="F97" s="48"/>
    </row>
    <row r="98" spans="1:22" x14ac:dyDescent="0.2">
      <c r="A98" s="10" t="s">
        <v>74</v>
      </c>
      <c r="F98" s="48"/>
    </row>
    <row r="99" spans="1:22" x14ac:dyDescent="0.2">
      <c r="A99" s="10"/>
      <c r="F99" s="48"/>
    </row>
    <row r="100" spans="1:22" x14ac:dyDescent="0.2">
      <c r="A100" s="1" t="s">
        <v>97</v>
      </c>
      <c r="F100" s="48"/>
    </row>
    <row r="101" spans="1:22" s="28" customFormat="1" x14ac:dyDescent="0.2">
      <c r="A101" s="19" t="s">
        <v>397</v>
      </c>
      <c r="B101" s="19"/>
      <c r="C101" s="21" t="s">
        <v>75</v>
      </c>
      <c r="D101" s="21" t="s">
        <v>201</v>
      </c>
      <c r="E101" s="21"/>
      <c r="F101" s="204">
        <v>14347456.554847039</v>
      </c>
      <c r="G101" s="14">
        <f>(VLOOKUP($D101,$C$5:$AH$1004,5,)/VLOOKUP($D101,$C$5:$AH$1004,4,))*$F101</f>
        <v>0</v>
      </c>
      <c r="H101" s="14">
        <f>(VLOOKUP($D101,$C$5:$AH$1004,6,)/VLOOKUP($D101,$C$5:$AH$1004,4,))*$F101</f>
        <v>0</v>
      </c>
      <c r="I101" s="14">
        <f>(VLOOKUP($D101,$C$5:$AH$1004,7,)/VLOOKUP($D101,$C$5:$AH$1004,4,))*$F101</f>
        <v>14347456.554847039</v>
      </c>
      <c r="J101" s="14">
        <f>(VLOOKUP($D101,$C$5:$AH$1004,8,)/VLOOKUP($D101,$C$5:$AH$1004,4,))*$F101</f>
        <v>0</v>
      </c>
      <c r="K101" s="14">
        <f>(VLOOKUP($D101,$C$5:$AH$1004,9,)/VLOOKUP($D101,$C$5:$AH$1004,4,))*$F101</f>
        <v>0</v>
      </c>
      <c r="L101" s="14">
        <f>(VLOOKUP($D101,$C$5:$AH$1004,10,)/VLOOKUP($D101,$C$5:$AH$1004,4,))*$F101</f>
        <v>0</v>
      </c>
      <c r="M101" s="14">
        <f>(VLOOKUP($D101,$C$5:$AH$1004,11,)/VLOOKUP($D101,$C$5:$AH$1004,4,))*$F101</f>
        <v>0</v>
      </c>
      <c r="N101" s="14">
        <f>(VLOOKUP($D101,$C$5:$AH$1004,12,)/VLOOKUP($D101,$C$5:$AH$1004,4,))*$F101</f>
        <v>0</v>
      </c>
      <c r="O101" s="14">
        <f>(VLOOKUP($D101,$C$5:$AH$1004,13,)/VLOOKUP($D101,$C$5:$AH$1004,4,))*$F101</f>
        <v>0</v>
      </c>
      <c r="P101" s="14">
        <f>(VLOOKUP($D101,$C$5:$AH$1004,14,)/VLOOKUP($D101,$C$5:$AH$1004,4,))*$F101</f>
        <v>0</v>
      </c>
      <c r="Q101" s="14">
        <f>(VLOOKUP($D101,$C$5:$AH$1004,15,)/VLOOKUP($D101,$C$5:$AH$1004,4,))*$F101</f>
        <v>0</v>
      </c>
      <c r="R101" s="14">
        <f>(VLOOKUP($D101,$C$5:$AH$1004,16,)/VLOOKUP($D101,$C$5:$AH$1004,4,))*$F101</f>
        <v>0</v>
      </c>
      <c r="S101" s="14">
        <f>(VLOOKUP($D101,$C$5:$AH$1004,17,)/VLOOKUP($D101,$C$5:$AH$1004,4,))*$F101</f>
        <v>0</v>
      </c>
      <c r="T101" s="14">
        <f>(VLOOKUP($D101,$C$5:$AH$1004,18,)/VLOOKUP($D101,$C$5:$AH$1004,4,))*$F101</f>
        <v>0</v>
      </c>
      <c r="U101" s="14">
        <f>SUM(G101:T101)</f>
        <v>14347456.554847039</v>
      </c>
      <c r="V101" s="39" t="str">
        <f>IF(ABS(U101-F101)&lt;1,"ok","err")</f>
        <v>ok</v>
      </c>
    </row>
    <row r="102" spans="1:22" s="28" customFormat="1" x14ac:dyDescent="0.2">
      <c r="A102" s="28" t="s">
        <v>3</v>
      </c>
      <c r="B102" s="48"/>
      <c r="C102" s="47" t="s">
        <v>400</v>
      </c>
      <c r="D102" s="47" t="s">
        <v>27</v>
      </c>
      <c r="E102" s="47"/>
      <c r="F102" s="49">
        <v>37098820.923460014</v>
      </c>
      <c r="G102" s="14">
        <f>(VLOOKUP($D102,$C$5:$AH$1004,5,)/VLOOKUP($D102,$C$5:$AH$1004,4,))*$F102</f>
        <v>0</v>
      </c>
      <c r="H102" s="14">
        <f>(VLOOKUP($D102,$C$5:$AH$1004,6,)/VLOOKUP($D102,$C$5:$AH$1004,4,))*$F102</f>
        <v>0</v>
      </c>
      <c r="I102" s="14">
        <f>(VLOOKUP($D102,$C$5:$AH$1004,7,)/VLOOKUP($D102,$C$5:$AH$1004,4,))*$F102</f>
        <v>0</v>
      </c>
      <c r="J102" s="14">
        <f>(VLOOKUP($D102,$C$5:$AH$1004,8,)/VLOOKUP($D102,$C$5:$AH$1004,4,))*$F102</f>
        <v>0</v>
      </c>
      <c r="K102" s="14">
        <f>(VLOOKUP($D102,$C$5:$AH$1004,9,)/VLOOKUP($D102,$C$5:$AH$1004,4,))*$F102</f>
        <v>37098820.923460014</v>
      </c>
      <c r="L102" s="14">
        <f>(VLOOKUP($D102,$C$5:$AH$1004,10,)/VLOOKUP($D102,$C$5:$AH$1004,4,))*$F102</f>
        <v>0</v>
      </c>
      <c r="M102" s="14">
        <f>(VLOOKUP($D102,$C$5:$AH$1004,11,)/VLOOKUP($D102,$C$5:$AH$1004,4,))*$F102</f>
        <v>0</v>
      </c>
      <c r="N102" s="14">
        <f>(VLOOKUP($D102,$C$5:$AH$1004,12,)/VLOOKUP($D102,$C$5:$AH$1004,4,))*$F102</f>
        <v>0</v>
      </c>
      <c r="O102" s="14">
        <f>(VLOOKUP($D102,$C$5:$AH$1004,13,)/VLOOKUP($D102,$C$5:$AH$1004,4,))*$F102</f>
        <v>0</v>
      </c>
      <c r="P102" s="14">
        <f>(VLOOKUP($D102,$C$5:$AH$1004,14,)/VLOOKUP($D102,$C$5:$AH$1004,4,))*$F102</f>
        <v>0</v>
      </c>
      <c r="Q102" s="14">
        <f>(VLOOKUP($D102,$C$5:$AH$1004,15,)/VLOOKUP($D102,$C$5:$AH$1004,4,))*$F102</f>
        <v>0</v>
      </c>
      <c r="R102" s="14">
        <f>(VLOOKUP($D102,$C$5:$AH$1004,16,)/VLOOKUP($D102,$C$5:$AH$1004,4,))*$F102</f>
        <v>0</v>
      </c>
      <c r="S102" s="14">
        <f>(VLOOKUP($D102,$C$5:$AH$1004,17,)/VLOOKUP($D102,$C$5:$AH$1004,4,))*$F102</f>
        <v>0</v>
      </c>
      <c r="T102" s="14">
        <f>(VLOOKUP($D102,$C$5:$AH$1004,18,)/VLOOKUP($D102,$C$5:$AH$1004,4,))*$F102</f>
        <v>0</v>
      </c>
      <c r="U102" s="14">
        <f>SUM(G102:T102)</f>
        <v>37098820.923460014</v>
      </c>
      <c r="V102" s="39" t="str">
        <f>IF(ABS(U102-F102)&lt;1,"ok","err")</f>
        <v>ok</v>
      </c>
    </row>
    <row r="103" spans="1:22" s="28" customFormat="1" x14ac:dyDescent="0.2">
      <c r="A103" s="28" t="s">
        <v>4</v>
      </c>
      <c r="C103" s="31" t="s">
        <v>76</v>
      </c>
      <c r="D103" s="31" t="s">
        <v>203</v>
      </c>
      <c r="E103" s="31"/>
      <c r="F103" s="46">
        <v>65102138.93224743</v>
      </c>
      <c r="G103" s="14">
        <f>(VLOOKUP($D103,$C$5:$AH$1004,5,)/VLOOKUP($D103,$C$5:$AH$1004,4,))*$F103</f>
        <v>0</v>
      </c>
      <c r="H103" s="14">
        <f>(VLOOKUP($D103,$C$5:$AH$1004,6,)/VLOOKUP($D103,$C$5:$AH$1004,4,))*$F103</f>
        <v>0</v>
      </c>
      <c r="I103" s="14">
        <f>(VLOOKUP($D103,$C$5:$AH$1004,7,)/VLOOKUP($D103,$C$5:$AH$1004,4,))*$F103</f>
        <v>0</v>
      </c>
      <c r="J103" s="14">
        <f>(VLOOKUP($D103,$C$5:$AH$1004,8,)/VLOOKUP($D103,$C$5:$AH$1004,4,))*$F103</f>
        <v>0</v>
      </c>
      <c r="K103" s="14">
        <f>(VLOOKUP($D103,$C$5:$AH$1004,9,)/VLOOKUP($D103,$C$5:$AH$1004,4,))*$F103</f>
        <v>0</v>
      </c>
      <c r="L103" s="14">
        <f>(VLOOKUP($D103,$C$5:$AH$1004,10,)/VLOOKUP($D103,$C$5:$AH$1004,4,))*$F103</f>
        <v>0</v>
      </c>
      <c r="M103" s="14">
        <f>(VLOOKUP($D103,$C$5:$AH$1004,11,)/VLOOKUP($D103,$C$5:$AH$1004,4,))*$F103</f>
        <v>0</v>
      </c>
      <c r="N103" s="14">
        <f>(VLOOKUP($D103,$C$5:$AH$1004,12,)/VLOOKUP($D103,$C$5:$AH$1004,4,))*$F103</f>
        <v>1544611.9004269433</v>
      </c>
      <c r="O103" s="14">
        <f>(VLOOKUP($D103,$C$5:$AH$1004,13,)/VLOOKUP($D103,$C$5:$AH$1004,4,))*$F103</f>
        <v>12597754.733248562</v>
      </c>
      <c r="P103" s="14">
        <f>(VLOOKUP($D103,$C$5:$AH$1004,14,)/VLOOKUP($D103,$C$5:$AH$1004,4,))*$F103</f>
        <v>30962946.28075061</v>
      </c>
      <c r="Q103" s="14">
        <f>(VLOOKUP($D103,$C$5:$AH$1004,15,)/VLOOKUP($D103,$C$5:$AH$1004,4,))*$F103</f>
        <v>10280365.332835739</v>
      </c>
      <c r="R103" s="14">
        <f>(VLOOKUP($D103,$C$5:$AH$1004,16,)/VLOOKUP($D103,$C$5:$AH$1004,4,))*$F103</f>
        <v>9716460.6849855706</v>
      </c>
      <c r="S103" s="14">
        <f>(VLOOKUP($D103,$C$5:$AH$1004,17,)/VLOOKUP($D103,$C$5:$AH$1004,4,))*$F103</f>
        <v>0</v>
      </c>
      <c r="T103" s="14">
        <f>(VLOOKUP($D103,$C$5:$AH$1004,18,)/VLOOKUP($D103,$C$5:$AH$1004,4,))*$F103</f>
        <v>0</v>
      </c>
      <c r="U103" s="14">
        <f>SUM(G103:T103)</f>
        <v>65102138.93224743</v>
      </c>
      <c r="V103" s="39" t="str">
        <f>IF(ABS(U103-F103)&lt;1,"ok","err")</f>
        <v>ok</v>
      </c>
    </row>
    <row r="104" spans="1:22" s="28" customFormat="1" x14ac:dyDescent="0.2">
      <c r="A104" s="28" t="s">
        <v>77</v>
      </c>
      <c r="C104" s="31" t="s">
        <v>78</v>
      </c>
      <c r="D104" s="31" t="s">
        <v>62</v>
      </c>
      <c r="E104" s="31"/>
      <c r="F104" s="46">
        <v>9062718.4846704602</v>
      </c>
      <c r="G104" s="14">
        <f>(VLOOKUP($D104,$C$5:$AH$1004,5,)/VLOOKUP($D104,$C$5:$AH$1004,4,))*$F104</f>
        <v>0</v>
      </c>
      <c r="H104" s="14">
        <f>(VLOOKUP($D104,$C$5:$AH$1004,6,)/VLOOKUP($D104,$C$5:$AH$1004,4,))*$F104</f>
        <v>0</v>
      </c>
      <c r="I104" s="14">
        <f>(VLOOKUP($D104,$C$5:$AH$1004,7,)/VLOOKUP($D104,$C$5:$AH$1004,4,))*$F104</f>
        <v>1062009.1352808031</v>
      </c>
      <c r="J104" s="14">
        <f>(VLOOKUP($D104,$C$5:$AH$1004,8,)/VLOOKUP($D104,$C$5:$AH$1004,4,))*$F104</f>
        <v>0</v>
      </c>
      <c r="K104" s="14">
        <f>(VLOOKUP($D104,$C$5:$AH$1004,9,)/VLOOKUP($D104,$C$5:$AH$1004,4,))*$F104</f>
        <v>2540931.4130027825</v>
      </c>
      <c r="L104" s="14">
        <f>(VLOOKUP($D104,$C$5:$AH$1004,10,)/VLOOKUP($D104,$C$5:$AH$1004,4,))*$F104</f>
        <v>0</v>
      </c>
      <c r="M104" s="14">
        <f>(VLOOKUP($D104,$C$5:$AH$1004,11,)/VLOOKUP($D104,$C$5:$AH$1004,4,))*$F104</f>
        <v>0</v>
      </c>
      <c r="N104" s="14">
        <f>(VLOOKUP($D104,$C$5:$AH$1004,12,)/VLOOKUP($D104,$C$5:$AH$1004,4,))*$F104</f>
        <v>129538.56989258363</v>
      </c>
      <c r="O104" s="14">
        <f>(VLOOKUP($D104,$C$5:$AH$1004,13,)/VLOOKUP($D104,$C$5:$AH$1004,4,))*$F104</f>
        <v>1056508.1957166563</v>
      </c>
      <c r="P104" s="14">
        <f>(VLOOKUP($D104,$C$5:$AH$1004,14,)/VLOOKUP($D104,$C$5:$AH$1004,4,))*$F104</f>
        <v>2596701.333040799</v>
      </c>
      <c r="Q104" s="14">
        <f>(VLOOKUP($D104,$C$5:$AH$1004,15,)/VLOOKUP($D104,$C$5:$AH$1004,4,))*$F104</f>
        <v>862160.7944498827</v>
      </c>
      <c r="R104" s="14">
        <f>(VLOOKUP($D104,$C$5:$AH$1004,16,)/VLOOKUP($D104,$C$5:$AH$1004,4,))*$F104</f>
        <v>814869.04328695231</v>
      </c>
      <c r="S104" s="14">
        <f>(VLOOKUP($D104,$C$5:$AH$1004,17,)/VLOOKUP($D104,$C$5:$AH$1004,4,))*$F104</f>
        <v>0</v>
      </c>
      <c r="T104" s="14">
        <f>(VLOOKUP($D104,$C$5:$AH$1004,18,)/VLOOKUP($D104,$C$5:$AH$1004,4,))*$F104</f>
        <v>0</v>
      </c>
      <c r="U104" s="14">
        <f>SUM(G104:T104)</f>
        <v>9062718.4846704584</v>
      </c>
      <c r="V104" s="39" t="str">
        <f>IF(ABS(U104-F104)&lt;1,"ok","err")</f>
        <v>ok</v>
      </c>
    </row>
    <row r="105" spans="1:22" s="28" customFormat="1" x14ac:dyDescent="0.2">
      <c r="A105" s="28" t="s">
        <v>399</v>
      </c>
      <c r="C105" s="31" t="s">
        <v>401</v>
      </c>
      <c r="D105" s="31" t="s">
        <v>56</v>
      </c>
      <c r="E105" s="31"/>
      <c r="F105" s="46">
        <v>2245907.7725497531</v>
      </c>
      <c r="G105" s="14">
        <f>IF(VLOOKUP($D105,$C$5:$AH$1004,4,)=0,0,(VLOOKUP($D105,$C$5:$AH$1004,5,)/VLOOKUP($D105,$C$5:$AH$1004,4,))*$F105)</f>
        <v>0</v>
      </c>
      <c r="H105" s="14">
        <f>IF(VLOOKUP($D105,$C$5:$AH$1004,4,)=0,0,(VLOOKUP($D105,$C$5:$AH$1004,6,)/VLOOKUP($D105,$C$5:$AH$1004,4,))*$F105)</f>
        <v>0</v>
      </c>
      <c r="I105" s="14">
        <f>IF(VLOOKUP($D105,$C$5:$AH$1004,4,)=0,0,(VLOOKUP($D105,$C$5:$AH$1004,7,)/VLOOKUP($D105,$C$5:$AH$1004,4,))*$F105)</f>
        <v>263185.33180529752</v>
      </c>
      <c r="J105" s="14">
        <f>IF(VLOOKUP($D105,$C$5:$AH$1004,4,)=0,0,(VLOOKUP($D105,$C$5:$AH$1004,8,)/VLOOKUP($D105,$C$5:$AH$1004,4,))*$F105)</f>
        <v>0</v>
      </c>
      <c r="K105" s="14">
        <f>IF(VLOOKUP($D105,$C$5:$AH$1004,4,)=0,0,(VLOOKUP($D105,$C$5:$AH$1004,9,)/VLOOKUP($D105,$C$5:$AH$1004,4,))*$F105)</f>
        <v>629689.38289671298</v>
      </c>
      <c r="L105" s="14">
        <f>IF(VLOOKUP($D105,$C$5:$AH$1004,4,)=0,0,(VLOOKUP($D105,$C$5:$AH$1004,10,)/VLOOKUP($D105,$C$5:$AH$1004,4,))*$F105)</f>
        <v>0</v>
      </c>
      <c r="M105" s="14">
        <f>IF(VLOOKUP($D105,$C$5:$AH$1004,4,)=0,0,(VLOOKUP($D105,$C$5:$AH$1004,11,)/VLOOKUP($D105,$C$5:$AH$1004,4,))*$F105)</f>
        <v>0</v>
      </c>
      <c r="N105" s="14">
        <f>IF(VLOOKUP($D105,$C$5:$AH$1004,4,)=0,0,(VLOOKUP($D105,$C$5:$AH$1004,12,)/VLOOKUP($D105,$C$5:$AH$1004,4,))*$F105)</f>
        <v>32102.03223887429</v>
      </c>
      <c r="O105" s="14">
        <f>IF(VLOOKUP($D105,$C$5:$AH$1004,4,)=0,0,(VLOOKUP($D105,$C$5:$AH$1004,13,)/VLOOKUP($D105,$C$5:$AH$1004,4,))*$F105)</f>
        <v>261822.09814154176</v>
      </c>
      <c r="P105" s="14">
        <f>IF(VLOOKUP($D105,$C$5:$AH$1004,4,)=0,0,(VLOOKUP($D105,$C$5:$AH$1004,14,)/VLOOKUP($D105,$C$5:$AH$1004,4,))*$F105)</f>
        <v>643510.191421189</v>
      </c>
      <c r="Q105" s="14">
        <f>IF(VLOOKUP($D105,$C$5:$AH$1004,4,)=0,0,(VLOOKUP($D105,$C$5:$AH$1004,15,)/VLOOKUP($D105,$C$5:$AH$1004,4,))*$F105)</f>
        <v>213659.24945345696</v>
      </c>
      <c r="R105" s="14">
        <f>IF(VLOOKUP($D105,$C$5:$AH$1004,4,)=0,0,(VLOOKUP($D105,$C$5:$AH$1004,16,)/VLOOKUP($D105,$C$5:$AH$1004,4,))*$F105)</f>
        <v>201939.48659268042</v>
      </c>
      <c r="S105" s="14">
        <f>IF(VLOOKUP($D105,$C$5:$AH$1004,4,)=0,0,(VLOOKUP($D105,$C$5:$AH$1004,17,)/VLOOKUP($D105,$C$5:$AH$1004,4,))*$F105)</f>
        <v>0</v>
      </c>
      <c r="T105" s="14">
        <f>IF(VLOOKUP($D105,$C$5:$AH$1004,4,)=0,0,(VLOOKUP($D105,$C$5:$AH$1004,18,)/VLOOKUP($D105,$C$5:$AH$1004,4,))*$F105)</f>
        <v>0</v>
      </c>
      <c r="U105" s="14">
        <f>SUM(G105:T105)</f>
        <v>2245907.7725497526</v>
      </c>
      <c r="V105" s="39" t="str">
        <f>IF(ABS(U105-F105)&lt;1,"ok","err")</f>
        <v>ok</v>
      </c>
    </row>
    <row r="106" spans="1:22" s="28" customFormat="1" x14ac:dyDescent="0.2">
      <c r="C106" s="31"/>
      <c r="D106" s="31"/>
      <c r="E106" s="31"/>
      <c r="F106" s="57"/>
      <c r="G106" s="4"/>
      <c r="H106" s="4"/>
      <c r="I106" s="4"/>
      <c r="J106" s="4"/>
      <c r="K106" s="4"/>
      <c r="L106" s="4"/>
      <c r="M106" s="4"/>
      <c r="N106" s="4"/>
      <c r="O106" s="9"/>
      <c r="P106" s="9"/>
      <c r="Q106" s="9"/>
      <c r="R106" s="9"/>
      <c r="S106" s="9"/>
      <c r="T106" s="9"/>
      <c r="U106" s="9"/>
      <c r="V106" s="9"/>
    </row>
    <row r="107" spans="1:22" s="28" customFormat="1" x14ac:dyDescent="0.2">
      <c r="A107" s="29" t="s">
        <v>79</v>
      </c>
      <c r="C107" s="31" t="s">
        <v>80</v>
      </c>
      <c r="D107" s="31"/>
      <c r="E107" s="31"/>
      <c r="F107" s="133">
        <f>SUM(F101:F106)</f>
        <v>127857042.66777469</v>
      </c>
      <c r="G107" s="35">
        <f t="shared" ref="G107:T107" si="27">SUM(G101:G106)</f>
        <v>0</v>
      </c>
      <c r="H107" s="35">
        <f t="shared" si="27"/>
        <v>0</v>
      </c>
      <c r="I107" s="35">
        <f t="shared" si="27"/>
        <v>15672651.02193314</v>
      </c>
      <c r="J107" s="35">
        <f t="shared" si="27"/>
        <v>0</v>
      </c>
      <c r="K107" s="35">
        <f t="shared" si="27"/>
        <v>40269441.71935951</v>
      </c>
      <c r="L107" s="35">
        <f t="shared" si="27"/>
        <v>0</v>
      </c>
      <c r="M107" s="35">
        <f t="shared" si="27"/>
        <v>0</v>
      </c>
      <c r="N107" s="35">
        <f t="shared" si="27"/>
        <v>1706252.5025584013</v>
      </c>
      <c r="O107" s="35">
        <f t="shared" si="27"/>
        <v>13916085.02710676</v>
      </c>
      <c r="P107" s="35">
        <f t="shared" si="27"/>
        <v>34203157.805212595</v>
      </c>
      <c r="Q107" s="35">
        <f t="shared" si="27"/>
        <v>11356185.376739079</v>
      </c>
      <c r="R107" s="35">
        <f t="shared" si="27"/>
        <v>10733269.214865204</v>
      </c>
      <c r="S107" s="35">
        <f t="shared" si="27"/>
        <v>0</v>
      </c>
      <c r="T107" s="35">
        <f t="shared" si="27"/>
        <v>0</v>
      </c>
      <c r="U107" s="14">
        <f>SUM(G107:T107)</f>
        <v>127857042.66777471</v>
      </c>
      <c r="V107" s="39" t="str">
        <f>IF(ABS(U107-F107)&lt;1,"ok","err")</f>
        <v>ok</v>
      </c>
    </row>
    <row r="108" spans="1:22" s="28" customFormat="1" x14ac:dyDescent="0.2">
      <c r="C108" s="31"/>
      <c r="D108" s="31"/>
      <c r="E108" s="31"/>
      <c r="F108" s="57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</row>
    <row r="109" spans="1:22" s="57" customFormat="1" x14ac:dyDescent="0.2">
      <c r="A109" s="137" t="s">
        <v>755</v>
      </c>
      <c r="C109" s="47"/>
      <c r="D109" s="136" t="s">
        <v>80</v>
      </c>
      <c r="E109" s="45"/>
      <c r="F109" s="59">
        <v>0</v>
      </c>
      <c r="G109" s="64">
        <f>(VLOOKUP($D109,$C$5:$AH$1004,5,)/VLOOKUP($D109,$C$5:$AH$1004,4,))*$F109</f>
        <v>0</v>
      </c>
      <c r="H109" s="64">
        <f>(VLOOKUP($D109,$C$5:$AH$1004,6,)/VLOOKUP($D109,$C$5:$AH$1004,4,))*$F109</f>
        <v>0</v>
      </c>
      <c r="I109" s="64">
        <f>(VLOOKUP($D109,$C$5:$AH$1004,7,)/VLOOKUP($D109,$C$5:$AH$1004,4,))*$F109</f>
        <v>0</v>
      </c>
      <c r="J109" s="64">
        <f>(VLOOKUP($D109,$C$5:$AH$1004,8,)/VLOOKUP($D109,$C$5:$AH$1004,4,))*$F109</f>
        <v>0</v>
      </c>
      <c r="K109" s="64">
        <f>(VLOOKUP($D109,$C$5:$AH$1004,9,)/VLOOKUP($D109,$C$5:$AH$1004,4,))*$F109</f>
        <v>0</v>
      </c>
      <c r="L109" s="64">
        <f>(VLOOKUP($D109,$C$5:$AH$1004,10,)/VLOOKUP($D109,$C$5:$AH$1004,4,))*$F109</f>
        <v>0</v>
      </c>
      <c r="M109" s="64">
        <f>(VLOOKUP($D109,$C$5:$AH$1004,11,)/VLOOKUP($D109,$C$5:$AH$1004,4,))*$F109</f>
        <v>0</v>
      </c>
      <c r="N109" s="64">
        <f>(VLOOKUP($D109,$C$5:$AH$1004,12,)/VLOOKUP($D109,$C$5:$AH$1004,4,))*$F109</f>
        <v>0</v>
      </c>
      <c r="O109" s="64">
        <f>(VLOOKUP($D109,$C$5:$AH$1004,13,)/VLOOKUP($D109,$C$5:$AH$1004,4,))*$F109</f>
        <v>0</v>
      </c>
      <c r="P109" s="64">
        <f>(VLOOKUP($D109,$C$5:$AH$1004,14,)/VLOOKUP($D109,$C$5:$AH$1004,4,))*$F109</f>
        <v>0</v>
      </c>
      <c r="Q109" s="64">
        <f>(VLOOKUP($D109,$C$5:$AH$1004,15,)/VLOOKUP($D109,$C$5:$AH$1004,4,))*$F109</f>
        <v>0</v>
      </c>
      <c r="R109" s="64">
        <f>(VLOOKUP($D109,$C$5:$AH$1004,16,)/VLOOKUP($D109,$C$5:$AH$1004,4,))*$F109</f>
        <v>0</v>
      </c>
      <c r="S109" s="64">
        <f>(VLOOKUP($D109,$C$5:$AH$1004,17,)/VLOOKUP($D109,$C$5:$AH$1004,4,))*$F109</f>
        <v>0</v>
      </c>
      <c r="T109" s="64">
        <f>(VLOOKUP($D109,$C$5:$AH$1004,18,)/VLOOKUP($D109,$C$5:$AH$1004,4,))*$F109</f>
        <v>0</v>
      </c>
      <c r="U109" s="64">
        <f>SUM(G109:T109)</f>
        <v>0</v>
      </c>
      <c r="V109" s="66" t="str">
        <f>IF(ABS(U109-F109)&lt;1,"ok","err")</f>
        <v>ok</v>
      </c>
    </row>
    <row r="110" spans="1:22" s="57" customFormat="1" x14ac:dyDescent="0.2">
      <c r="A110" s="57" t="s">
        <v>601</v>
      </c>
      <c r="C110" s="47" t="s">
        <v>602</v>
      </c>
      <c r="D110" s="47" t="s">
        <v>635</v>
      </c>
      <c r="E110" s="45"/>
      <c r="F110" s="59">
        <v>457600.2</v>
      </c>
      <c r="G110" s="64">
        <f>(VLOOKUP($D110,$C$5:$AH$1004,5,)/VLOOKUP($D110,$C$5:$AH$1004,4,))*$F110</f>
        <v>0</v>
      </c>
      <c r="H110" s="64">
        <f>(VLOOKUP($D110,$C$5:$AH$1004,6,)/VLOOKUP($D110,$C$5:$AH$1004,4,))*$F110</f>
        <v>0</v>
      </c>
      <c r="I110" s="64">
        <f>(VLOOKUP($D110,$C$5:$AH$1004,7,)/VLOOKUP($D110,$C$5:$AH$1004,4,))*$F110</f>
        <v>0</v>
      </c>
      <c r="J110" s="64">
        <f>(VLOOKUP($D110,$C$5:$AH$1004,8,)/VLOOKUP($D110,$C$5:$AH$1004,4,))*$F110</f>
        <v>0</v>
      </c>
      <c r="K110" s="64">
        <f>(VLOOKUP($D110,$C$5:$AH$1004,9,)/VLOOKUP($D110,$C$5:$AH$1004,4,))*$F110</f>
        <v>0</v>
      </c>
      <c r="L110" s="64">
        <f>(VLOOKUP($D110,$C$5:$AH$1004,10,)/VLOOKUP($D110,$C$5:$AH$1004,4,))*$F110</f>
        <v>0</v>
      </c>
      <c r="M110" s="64">
        <f>(VLOOKUP($D110,$C$5:$AH$1004,11,)/VLOOKUP($D110,$C$5:$AH$1004,4,))*$F110</f>
        <v>0</v>
      </c>
      <c r="N110" s="64">
        <f>(VLOOKUP($D110,$C$5:$AH$1004,12,)/VLOOKUP($D110,$C$5:$AH$1004,4,))*$F110</f>
        <v>0</v>
      </c>
      <c r="O110" s="64">
        <f>(VLOOKUP($D110,$C$5:$AH$1004,13,)/VLOOKUP($D110,$C$5:$AH$1004,4,))*$F110</f>
        <v>107069.48202604409</v>
      </c>
      <c r="P110" s="64">
        <f>(VLOOKUP($D110,$C$5:$AH$1004,14,)/VLOOKUP($D110,$C$5:$AH$1004,4,))*$F110</f>
        <v>263156.94268365193</v>
      </c>
      <c r="Q110" s="64">
        <f>(VLOOKUP($D110,$C$5:$AH$1004,15,)/VLOOKUP($D110,$C$5:$AH$1004,4,))*$F110</f>
        <v>87373.775290303965</v>
      </c>
      <c r="R110" s="64">
        <f>(VLOOKUP($D110,$C$5:$AH$1004,16,)/VLOOKUP($D110,$C$5:$AH$1004,4,))*$F110</f>
        <v>0</v>
      </c>
      <c r="S110" s="64">
        <f>(VLOOKUP($D110,$C$5:$AH$1004,17,)/VLOOKUP($D110,$C$5:$AH$1004,4,))*$F110</f>
        <v>0</v>
      </c>
      <c r="T110" s="64">
        <f>(VLOOKUP($D110,$C$5:$AH$1004,18,)/VLOOKUP($D110,$C$5:$AH$1004,4,))*$F110</f>
        <v>0</v>
      </c>
      <c r="U110" s="64">
        <f>SUM(G110:T110)</f>
        <v>457600.2</v>
      </c>
      <c r="V110" s="66" t="str">
        <f>IF(ABS(U110-F110)&lt;1,"ok","err")</f>
        <v>ok</v>
      </c>
    </row>
    <row r="111" spans="1:22" s="57" customFormat="1" x14ac:dyDescent="0.2">
      <c r="A111" s="48" t="s">
        <v>81</v>
      </c>
      <c r="C111" s="47" t="s">
        <v>82</v>
      </c>
      <c r="D111" s="47" t="s">
        <v>56</v>
      </c>
      <c r="E111" s="45"/>
      <c r="F111" s="64">
        <v>42774952.340000004</v>
      </c>
      <c r="G111" s="64">
        <f>(VLOOKUP($D111,$C$5:$AH$1004,5,)/VLOOKUP($D111,$C$5:$AH$1004,4,))*$F111</f>
        <v>0</v>
      </c>
      <c r="H111" s="64">
        <f>(VLOOKUP($D111,$C$5:$AH$1004,6,)/VLOOKUP($D111,$C$5:$AH$1004,4,))*$F111</f>
        <v>0</v>
      </c>
      <c r="I111" s="64">
        <f>(VLOOKUP($D111,$C$5:$AH$1004,7,)/VLOOKUP($D111,$C$5:$AH$1004,4,))*$F111</f>
        <v>5012556.687391445</v>
      </c>
      <c r="J111" s="64">
        <f>(VLOOKUP($D111,$C$5:$AH$1004,8,)/VLOOKUP($D111,$C$5:$AH$1004,4,))*$F111</f>
        <v>0</v>
      </c>
      <c r="K111" s="64">
        <f>(VLOOKUP($D111,$C$5:$AH$1004,9,)/VLOOKUP($D111,$C$5:$AH$1004,4,))*$F111</f>
        <v>11992893.774009248</v>
      </c>
      <c r="L111" s="64">
        <f>(VLOOKUP($D111,$C$5:$AH$1004,10,)/VLOOKUP($D111,$C$5:$AH$1004,4,))*$F111</f>
        <v>0</v>
      </c>
      <c r="M111" s="64">
        <f>(VLOOKUP($D111,$C$5:$AH$1004,11,)/VLOOKUP($D111,$C$5:$AH$1004,4,))*$F111</f>
        <v>0</v>
      </c>
      <c r="N111" s="64">
        <f>(VLOOKUP($D111,$C$5:$AH$1004,12,)/VLOOKUP($D111,$C$5:$AH$1004,4,))*$F111</f>
        <v>611406.62845476298</v>
      </c>
      <c r="O111" s="64">
        <f>(VLOOKUP($D111,$C$5:$AH$1004,13,)/VLOOKUP($D111,$C$5:$AH$1004,4,))*$F111</f>
        <v>4986592.9075300684</v>
      </c>
      <c r="P111" s="64">
        <f>(VLOOKUP($D111,$C$5:$AH$1004,14,)/VLOOKUP($D111,$C$5:$AH$1004,4,))*$F111</f>
        <v>12256121.157235034</v>
      </c>
      <c r="Q111" s="64">
        <f>(VLOOKUP($D111,$C$5:$AH$1004,15,)/VLOOKUP($D111,$C$5:$AH$1004,4,))*$F111</f>
        <v>4069296.3104162076</v>
      </c>
      <c r="R111" s="64">
        <f>(VLOOKUP($D111,$C$5:$AH$1004,16,)/VLOOKUP($D111,$C$5:$AH$1004,4,))*$F111</f>
        <v>3846084.8749632351</v>
      </c>
      <c r="S111" s="64">
        <f>(VLOOKUP($D111,$C$5:$AH$1004,17,)/VLOOKUP($D111,$C$5:$AH$1004,4,))*$F111</f>
        <v>0</v>
      </c>
      <c r="T111" s="64">
        <f>(VLOOKUP($D111,$C$5:$AH$1004,18,)/VLOOKUP($D111,$C$5:$AH$1004,4,))*$F111</f>
        <v>0</v>
      </c>
      <c r="U111" s="64">
        <f>SUM(G111:T111)</f>
        <v>42774952.340000004</v>
      </c>
      <c r="V111" s="66" t="str">
        <f>IF(ABS(U111-F111)&lt;1,"ok","err")</f>
        <v>ok</v>
      </c>
    </row>
    <row r="112" spans="1:22" s="57" customFormat="1" x14ac:dyDescent="0.2">
      <c r="A112" s="57" t="s">
        <v>83</v>
      </c>
      <c r="C112" s="45" t="s">
        <v>84</v>
      </c>
      <c r="D112" s="47" t="s">
        <v>56</v>
      </c>
      <c r="E112" s="45"/>
      <c r="F112" s="199">
        <v>0</v>
      </c>
      <c r="G112" s="64">
        <f>(VLOOKUP($D112,$C$5:$AH$1004,5,)/VLOOKUP($D112,$C$5:$AH$1004,4,))*$F112</f>
        <v>0</v>
      </c>
      <c r="H112" s="64">
        <f>(VLOOKUP($D112,$C$5:$AH$1004,6,)/VLOOKUP($D112,$C$5:$AH$1004,4,))*$F112</f>
        <v>0</v>
      </c>
      <c r="I112" s="64">
        <f>(VLOOKUP($D112,$C$5:$AH$1004,7,)/VLOOKUP($D112,$C$5:$AH$1004,4,))*$F112</f>
        <v>0</v>
      </c>
      <c r="J112" s="64">
        <f>(VLOOKUP($D112,$C$5:$AH$1004,8,)/VLOOKUP($D112,$C$5:$AH$1004,4,))*$F112</f>
        <v>0</v>
      </c>
      <c r="K112" s="64">
        <f>(VLOOKUP($D112,$C$5:$AH$1004,9,)/VLOOKUP($D112,$C$5:$AH$1004,4,))*$F112</f>
        <v>0</v>
      </c>
      <c r="L112" s="64">
        <f>(VLOOKUP($D112,$C$5:$AH$1004,10,)/VLOOKUP($D112,$C$5:$AH$1004,4,))*$F112</f>
        <v>0</v>
      </c>
      <c r="M112" s="64">
        <f>(VLOOKUP($D112,$C$5:$AH$1004,11,)/VLOOKUP($D112,$C$5:$AH$1004,4,))*$F112</f>
        <v>0</v>
      </c>
      <c r="N112" s="64">
        <f>(VLOOKUP($D112,$C$5:$AH$1004,12,)/VLOOKUP($D112,$C$5:$AH$1004,4,))*$F112</f>
        <v>0</v>
      </c>
      <c r="O112" s="64">
        <f>(VLOOKUP($D112,$C$5:$AH$1004,13,)/VLOOKUP($D112,$C$5:$AH$1004,4,))*$F112</f>
        <v>0</v>
      </c>
      <c r="P112" s="64">
        <f>(VLOOKUP($D112,$C$5:$AH$1004,14,)/VLOOKUP($D112,$C$5:$AH$1004,4,))*$F112</f>
        <v>0</v>
      </c>
      <c r="Q112" s="64">
        <f>(VLOOKUP($D112,$C$5:$AH$1004,15,)/VLOOKUP($D112,$C$5:$AH$1004,4,))*$F112</f>
        <v>0</v>
      </c>
      <c r="R112" s="64">
        <f>(VLOOKUP($D112,$C$5:$AH$1004,16,)/VLOOKUP($D112,$C$5:$AH$1004,4,))*$F112</f>
        <v>0</v>
      </c>
      <c r="S112" s="64">
        <f>(VLOOKUP($D112,$C$5:$AH$1004,17,)/VLOOKUP($D112,$C$5:$AH$1004,4,))*$F112</f>
        <v>0</v>
      </c>
      <c r="T112" s="64">
        <f>(VLOOKUP($D112,$C$5:$AH$1004,18,)/VLOOKUP($D112,$C$5:$AH$1004,4,))*$F112</f>
        <v>0</v>
      </c>
      <c r="U112" s="64">
        <f>SUM(G112:T112)</f>
        <v>0</v>
      </c>
      <c r="V112" s="66" t="str">
        <f>IF(ABS(U112-F112)&lt;1,"ok","err")</f>
        <v>ok</v>
      </c>
    </row>
    <row r="113" spans="1:22" s="57" customFormat="1" x14ac:dyDescent="0.2">
      <c r="A113" s="57" t="s">
        <v>403</v>
      </c>
      <c r="C113" s="45" t="s">
        <v>404</v>
      </c>
      <c r="D113" s="47" t="s">
        <v>56</v>
      </c>
      <c r="E113" s="45"/>
      <c r="F113" s="199">
        <v>0</v>
      </c>
      <c r="G113" s="64">
        <f>(VLOOKUP($D113,$C$5:$AH$1004,5,)/VLOOKUP($D113,$C$5:$AH$1004,4,))*$F113</f>
        <v>0</v>
      </c>
      <c r="H113" s="64">
        <f>(VLOOKUP($D113,$C$5:$AH$1004,6,)/VLOOKUP($D113,$C$5:$AH$1004,4,))*$F113</f>
        <v>0</v>
      </c>
      <c r="I113" s="64">
        <f>(VLOOKUP($D113,$C$5:$AH$1004,7,)/VLOOKUP($D113,$C$5:$AH$1004,4,))*$F113</f>
        <v>0</v>
      </c>
      <c r="J113" s="64">
        <f>(VLOOKUP($D113,$C$5:$AH$1004,8,)/VLOOKUP($D113,$C$5:$AH$1004,4,))*$F113</f>
        <v>0</v>
      </c>
      <c r="K113" s="64">
        <f>(VLOOKUP($D113,$C$5:$AH$1004,9,)/VLOOKUP($D113,$C$5:$AH$1004,4,))*$F113</f>
        <v>0</v>
      </c>
      <c r="L113" s="64">
        <f>(VLOOKUP($D113,$C$5:$AH$1004,10,)/VLOOKUP($D113,$C$5:$AH$1004,4,))*$F113</f>
        <v>0</v>
      </c>
      <c r="M113" s="64">
        <f>(VLOOKUP($D113,$C$5:$AH$1004,11,)/VLOOKUP($D113,$C$5:$AH$1004,4,))*$F113</f>
        <v>0</v>
      </c>
      <c r="N113" s="64">
        <f>(VLOOKUP($D113,$C$5:$AH$1004,12,)/VLOOKUP($D113,$C$5:$AH$1004,4,))*$F113</f>
        <v>0</v>
      </c>
      <c r="O113" s="64">
        <f>(VLOOKUP($D113,$C$5:$AH$1004,13,)/VLOOKUP($D113,$C$5:$AH$1004,4,))*$F113</f>
        <v>0</v>
      </c>
      <c r="P113" s="64">
        <f>(VLOOKUP($D113,$C$5:$AH$1004,14,)/VLOOKUP($D113,$C$5:$AH$1004,4,))*$F113</f>
        <v>0</v>
      </c>
      <c r="Q113" s="64">
        <f>(VLOOKUP($D113,$C$5:$AH$1004,15,)/VLOOKUP($D113,$C$5:$AH$1004,4,))*$F113</f>
        <v>0</v>
      </c>
      <c r="R113" s="64">
        <f>(VLOOKUP($D113,$C$5:$AH$1004,16,)/VLOOKUP($D113,$C$5:$AH$1004,4,))*$F113</f>
        <v>0</v>
      </c>
      <c r="S113" s="64">
        <f>(VLOOKUP($D113,$C$5:$AH$1004,17,)/VLOOKUP($D113,$C$5:$AH$1004,4,))*$F113</f>
        <v>0</v>
      </c>
      <c r="T113" s="64">
        <f>(VLOOKUP($D113,$C$5:$AH$1004,18,)/VLOOKUP($D113,$C$5:$AH$1004,4,))*$F113</f>
        <v>0</v>
      </c>
      <c r="U113" s="64">
        <f>SUM(G113:T113)</f>
        <v>0</v>
      </c>
      <c r="V113" s="66" t="str">
        <f>IF(ABS(U113-F113)&lt;1,"ok","err")</f>
        <v>ok</v>
      </c>
    </row>
    <row r="114" spans="1:22" s="57" customFormat="1" ht="18" x14ac:dyDescent="0.25">
      <c r="B114" s="71"/>
      <c r="C114" s="45"/>
      <c r="D114" s="45"/>
      <c r="E114" s="45"/>
      <c r="F114" s="67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</row>
    <row r="115" spans="1:22" s="48" customFormat="1" x14ac:dyDescent="0.2">
      <c r="A115" s="68" t="s">
        <v>603</v>
      </c>
      <c r="C115" s="47"/>
      <c r="D115" s="47"/>
      <c r="E115" s="47"/>
      <c r="F115" s="69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64"/>
      <c r="V115" s="66"/>
    </row>
    <row r="116" spans="1:22" s="48" customFormat="1" x14ac:dyDescent="0.2">
      <c r="C116" s="47"/>
      <c r="D116" s="47"/>
      <c r="E116" s="47"/>
      <c r="F116" s="67"/>
      <c r="G116" s="62"/>
      <c r="H116" s="62"/>
      <c r="I116" s="62"/>
      <c r="J116" s="62"/>
      <c r="K116" s="62"/>
      <c r="L116" s="62"/>
      <c r="M116" s="62"/>
      <c r="N116" s="62"/>
      <c r="O116" s="61"/>
      <c r="P116" s="61"/>
      <c r="Q116" s="61"/>
      <c r="R116" s="61"/>
      <c r="S116" s="61"/>
      <c r="T116" s="61"/>
      <c r="U116" s="61"/>
      <c r="V116" s="61"/>
    </row>
    <row r="117" spans="1:22" s="57" customFormat="1" x14ac:dyDescent="0.2">
      <c r="A117" s="48" t="s">
        <v>85</v>
      </c>
      <c r="B117" s="48"/>
      <c r="C117" s="47" t="s">
        <v>86</v>
      </c>
      <c r="D117" s="47" t="s">
        <v>56</v>
      </c>
      <c r="E117" s="47"/>
      <c r="F117" s="59">
        <v>604905.27461538452</v>
      </c>
      <c r="G117" s="64">
        <f>(VLOOKUP($D117,$C$5:$AH$1004,5,)/VLOOKUP($D117,$C$5:$AH$1004,4,))*$F117</f>
        <v>0</v>
      </c>
      <c r="H117" s="64">
        <f>(VLOOKUP($D117,$C$5:$AH$1004,6,)/VLOOKUP($D117,$C$5:$AH$1004,4,))*$F117</f>
        <v>0</v>
      </c>
      <c r="I117" s="64">
        <f>(VLOOKUP($D117,$C$5:$AH$1004,7,)/VLOOKUP($D117,$C$5:$AH$1004,4,))*$F117</f>
        <v>70885.455474284317</v>
      </c>
      <c r="J117" s="64">
        <f>(VLOOKUP($D117,$C$5:$AH$1004,8,)/VLOOKUP($D117,$C$5:$AH$1004,4,))*$F117</f>
        <v>0</v>
      </c>
      <c r="K117" s="64">
        <f>(VLOOKUP($D117,$C$5:$AH$1004,9,)/VLOOKUP($D117,$C$5:$AH$1004,4,))*$F117</f>
        <v>169598.4286349809</v>
      </c>
      <c r="L117" s="64">
        <f>(VLOOKUP($D117,$C$5:$AH$1004,10,)/VLOOKUP($D117,$C$5:$AH$1004,4,))*$F117</f>
        <v>0</v>
      </c>
      <c r="M117" s="64">
        <f>(VLOOKUP($D117,$C$5:$AH$1004,11,)/VLOOKUP($D117,$C$5:$AH$1004,4,))*$F117</f>
        <v>0</v>
      </c>
      <c r="N117" s="64">
        <f>(VLOOKUP($D117,$C$5:$AH$1004,12,)/VLOOKUP($D117,$C$5:$AH$1004,4,))*$F117</f>
        <v>8646.2538063717402</v>
      </c>
      <c r="O117" s="64">
        <f>(VLOOKUP($D117,$C$5:$AH$1004,13,)/VLOOKUP($D117,$C$5:$AH$1004,4,))*$F117</f>
        <v>70518.286686759733</v>
      </c>
      <c r="P117" s="64">
        <f>(VLOOKUP($D117,$C$5:$AH$1004,14,)/VLOOKUP($D117,$C$5:$AH$1004,4,))*$F117</f>
        <v>173320.87889678014</v>
      </c>
      <c r="Q117" s="64">
        <f>(VLOOKUP($D117,$C$5:$AH$1004,15,)/VLOOKUP($D117,$C$5:$AH$1004,4,))*$F117</f>
        <v>57546.266389216667</v>
      </c>
      <c r="R117" s="64">
        <f>(VLOOKUP($D117,$C$5:$AH$1004,16,)/VLOOKUP($D117,$C$5:$AH$1004,4,))*$F117</f>
        <v>54389.704726990989</v>
      </c>
      <c r="S117" s="64">
        <f>(VLOOKUP($D117,$C$5:$AH$1004,17,)/VLOOKUP($D117,$C$5:$AH$1004,4,))*$F117</f>
        <v>0</v>
      </c>
      <c r="T117" s="64">
        <f>(VLOOKUP($D117,$C$5:$AH$1004,18,)/VLOOKUP($D117,$C$5:$AH$1004,4,))*$F117</f>
        <v>0</v>
      </c>
      <c r="U117" s="64">
        <f>SUM(G117:T117)</f>
        <v>604905.27461538452</v>
      </c>
      <c r="V117" s="66" t="str">
        <f>IF(ABS(U117-F117)&lt;1,"ok","err")</f>
        <v>ok</v>
      </c>
    </row>
    <row r="118" spans="1:22" s="57" customFormat="1" x14ac:dyDescent="0.2">
      <c r="A118" s="57" t="s">
        <v>87</v>
      </c>
      <c r="C118" s="45" t="s">
        <v>88</v>
      </c>
      <c r="D118" s="45" t="s">
        <v>56</v>
      </c>
      <c r="E118" s="45"/>
      <c r="F118" s="64">
        <v>1072740.6115384614</v>
      </c>
      <c r="G118" s="64">
        <f>(VLOOKUP($D118,$C$5:$AH$1004,5,)/VLOOKUP($D118,$C$5:$AH$1004,4,))*$F118</f>
        <v>0</v>
      </c>
      <c r="H118" s="64">
        <f>(VLOOKUP($D118,$C$5:$AH$1004,6,)/VLOOKUP($D118,$C$5:$AH$1004,4,))*$F118</f>
        <v>0</v>
      </c>
      <c r="I118" s="64">
        <f>(VLOOKUP($D118,$C$5:$AH$1004,7,)/VLOOKUP($D118,$C$5:$AH$1004,4,))*$F118</f>
        <v>125708.45394432302</v>
      </c>
      <c r="J118" s="64">
        <f>(VLOOKUP($D118,$C$5:$AH$1004,8,)/VLOOKUP($D118,$C$5:$AH$1004,4,))*$F118</f>
        <v>0</v>
      </c>
      <c r="K118" s="64">
        <f>(VLOOKUP($D118,$C$5:$AH$1004,9,)/VLOOKUP($D118,$C$5:$AH$1004,4,))*$F118</f>
        <v>300766.30124531628</v>
      </c>
      <c r="L118" s="64">
        <f>(VLOOKUP($D118,$C$5:$AH$1004,10,)/VLOOKUP($D118,$C$5:$AH$1004,4,))*$F118</f>
        <v>0</v>
      </c>
      <c r="M118" s="64">
        <f>(VLOOKUP($D118,$C$5:$AH$1004,11,)/VLOOKUP($D118,$C$5:$AH$1004,4,))*$F118</f>
        <v>0</v>
      </c>
      <c r="N118" s="64">
        <f>(VLOOKUP($D118,$C$5:$AH$1004,12,)/VLOOKUP($D118,$C$5:$AH$1004,4,))*$F118</f>
        <v>15333.289334700199</v>
      </c>
      <c r="O118" s="64">
        <f>(VLOOKUP($D118,$C$5:$AH$1004,13,)/VLOOKUP($D118,$C$5:$AH$1004,4,))*$F118</f>
        <v>125057.31584684587</v>
      </c>
      <c r="P118" s="64">
        <f>(VLOOKUP($D118,$C$5:$AH$1004,14,)/VLOOKUP($D118,$C$5:$AH$1004,4,))*$F118</f>
        <v>307367.7043704635</v>
      </c>
      <c r="Q118" s="64">
        <f>(VLOOKUP($D118,$C$5:$AH$1004,15,)/VLOOKUP($D118,$C$5:$AH$1004,4,))*$F118</f>
        <v>102052.7007924911</v>
      </c>
      <c r="R118" s="64">
        <f>(VLOOKUP($D118,$C$5:$AH$1004,16,)/VLOOKUP($D118,$C$5:$AH$1004,4,))*$F118</f>
        <v>96454.8460043214</v>
      </c>
      <c r="S118" s="64">
        <f>(VLOOKUP($D118,$C$5:$AH$1004,17,)/VLOOKUP($D118,$C$5:$AH$1004,4,))*$F118</f>
        <v>0</v>
      </c>
      <c r="T118" s="64">
        <f>(VLOOKUP($D118,$C$5:$AH$1004,18,)/VLOOKUP($D118,$C$5:$AH$1004,4,))*$F118</f>
        <v>0</v>
      </c>
      <c r="U118" s="64">
        <f>SUM(G118:T118)</f>
        <v>1072740.6115384614</v>
      </c>
      <c r="V118" s="66" t="str">
        <f>IF(ABS(U118-F118)&lt;1,"ok","err")</f>
        <v>ok</v>
      </c>
    </row>
    <row r="119" spans="1:22" s="57" customFormat="1" x14ac:dyDescent="0.2">
      <c r="A119" s="57" t="s">
        <v>89</v>
      </c>
      <c r="C119" s="45" t="s">
        <v>90</v>
      </c>
      <c r="D119" s="45" t="s">
        <v>24</v>
      </c>
      <c r="E119" s="45"/>
      <c r="F119" s="64">
        <v>1143702.0207692308</v>
      </c>
      <c r="G119" s="64">
        <f>(VLOOKUP($D119,$C$5:$AH$1004,5,)/VLOOKUP($D119,$C$5:$AH$1004,4,))*$F119</f>
        <v>0</v>
      </c>
      <c r="H119" s="64">
        <f>(VLOOKUP($D119,$C$5:$AH$1004,6,)/VLOOKUP($D119,$C$5:$AH$1004,4,))*$F119</f>
        <v>0</v>
      </c>
      <c r="I119" s="64">
        <f>(VLOOKUP($D119,$C$5:$AH$1004,7,)/VLOOKUP($D119,$C$5:$AH$1004,4,))*$F119</f>
        <v>1143702.0207692308</v>
      </c>
      <c r="J119" s="64">
        <f>(VLOOKUP($D119,$C$5:$AH$1004,8,)/VLOOKUP($D119,$C$5:$AH$1004,4,))*$F119</f>
        <v>0</v>
      </c>
      <c r="K119" s="64">
        <f>(VLOOKUP($D119,$C$5:$AH$1004,9,)/VLOOKUP($D119,$C$5:$AH$1004,4,))*$F119</f>
        <v>0</v>
      </c>
      <c r="L119" s="64">
        <f>(VLOOKUP($D119,$C$5:$AH$1004,10,)/VLOOKUP($D119,$C$5:$AH$1004,4,))*$F119</f>
        <v>0</v>
      </c>
      <c r="M119" s="64">
        <f>(VLOOKUP($D119,$C$5:$AH$1004,11,)/VLOOKUP($D119,$C$5:$AH$1004,4,))*$F119</f>
        <v>0</v>
      </c>
      <c r="N119" s="64">
        <f>(VLOOKUP($D119,$C$5:$AH$1004,12,)/VLOOKUP($D119,$C$5:$AH$1004,4,))*$F119</f>
        <v>0</v>
      </c>
      <c r="O119" s="64">
        <f>(VLOOKUP($D119,$C$5:$AH$1004,13,)/VLOOKUP($D119,$C$5:$AH$1004,4,))*$F119</f>
        <v>0</v>
      </c>
      <c r="P119" s="64">
        <f>(VLOOKUP($D119,$C$5:$AH$1004,14,)/VLOOKUP($D119,$C$5:$AH$1004,4,))*$F119</f>
        <v>0</v>
      </c>
      <c r="Q119" s="64">
        <f>(VLOOKUP($D119,$C$5:$AH$1004,15,)/VLOOKUP($D119,$C$5:$AH$1004,4,))*$F119</f>
        <v>0</v>
      </c>
      <c r="R119" s="64">
        <f>(VLOOKUP($D119,$C$5:$AH$1004,16,)/VLOOKUP($D119,$C$5:$AH$1004,4,))*$F119</f>
        <v>0</v>
      </c>
      <c r="S119" s="64">
        <f>(VLOOKUP($D119,$C$5:$AH$1004,17,)/VLOOKUP($D119,$C$5:$AH$1004,4,))*$F119</f>
        <v>0</v>
      </c>
      <c r="T119" s="64">
        <f>(VLOOKUP($D119,$C$5:$AH$1004,18,)/VLOOKUP($D119,$C$5:$AH$1004,4,))*$F119</f>
        <v>0</v>
      </c>
      <c r="U119" s="64">
        <f>SUM(G119:T119)</f>
        <v>1143702.0207692308</v>
      </c>
      <c r="V119" s="66" t="str">
        <f>IF(ABS(U119-F119)&lt;1,"ok","err")</f>
        <v>ok</v>
      </c>
    </row>
    <row r="120" spans="1:22" s="28" customFormat="1" x14ac:dyDescent="0.2">
      <c r="A120" s="61" t="s">
        <v>91</v>
      </c>
      <c r="B120" s="61"/>
      <c r="C120" s="62" t="s">
        <v>92</v>
      </c>
      <c r="D120" s="62" t="s">
        <v>93</v>
      </c>
      <c r="E120" s="62"/>
      <c r="F120" s="64">
        <v>2000868.71</v>
      </c>
      <c r="G120" s="14">
        <f>(VLOOKUP($D120,$C$5:$AH$1004,5,)/VLOOKUP($D120,$C$5:$AH$1004,4,))*$F120</f>
        <v>0</v>
      </c>
      <c r="H120" s="14">
        <f>(VLOOKUP($D120,$C$5:$AH$1004,6,)/VLOOKUP($D120,$C$5:$AH$1004,4,))*$F120</f>
        <v>0</v>
      </c>
      <c r="I120" s="14">
        <f>(VLOOKUP($D120,$C$5:$AH$1004,7,)/VLOOKUP($D120,$C$5:$AH$1004,4,))*$F120</f>
        <v>54372.924635367417</v>
      </c>
      <c r="J120" s="14">
        <f>(VLOOKUP($D120,$C$5:$AH$1004,8,)/VLOOKUP($D120,$C$5:$AH$1004,4,))*$F120</f>
        <v>30053.345857629647</v>
      </c>
      <c r="K120" s="14">
        <f>(VLOOKUP($D120,$C$5:$AH$1004,9,)/VLOOKUP($D120,$C$5:$AH$1004,4,))*$F120</f>
        <v>968532.20082805562</v>
      </c>
      <c r="L120" s="14">
        <f>(VLOOKUP($D120,$C$5:$AH$1004,10,)/VLOOKUP($D120,$C$5:$AH$1004,4,))*$F120</f>
        <v>21502.440413700115</v>
      </c>
      <c r="M120" s="14">
        <f>(VLOOKUP($D120,$C$5:$AH$1004,11,)/VLOOKUP($D120,$C$5:$AH$1004,4,))*$F120</f>
        <v>86242.478564403558</v>
      </c>
      <c r="N120" s="14">
        <f>(VLOOKUP($D120,$C$5:$AH$1004,12,)/VLOOKUP($D120,$C$5:$AH$1004,4,))*$F120</f>
        <v>12412.358943765144</v>
      </c>
      <c r="O120" s="14">
        <f>(VLOOKUP($D120,$C$5:$AH$1004,13,)/VLOOKUP($D120,$C$5:$AH$1004,4,))*$F120</f>
        <v>97053.95288333905</v>
      </c>
      <c r="P120" s="14">
        <f>(VLOOKUP($D120,$C$5:$AH$1004,14,)/VLOOKUP($D120,$C$5:$AH$1004,4,))*$F120</f>
        <v>238540.62831769502</v>
      </c>
      <c r="Q120" s="14">
        <f>(VLOOKUP($D120,$C$5:$AH$1004,15,)/VLOOKUP($D120,$C$5:$AH$1004,4,))*$F120</f>
        <v>90914.591860753309</v>
      </c>
      <c r="R120" s="14">
        <f>(VLOOKUP($D120,$C$5:$AH$1004,16,)/VLOOKUP($D120,$C$5:$AH$1004,4,))*$F120</f>
        <v>135870.6511254771</v>
      </c>
      <c r="S120" s="14">
        <f>(VLOOKUP($D120,$C$5:$AH$1004,17,)/VLOOKUP($D120,$C$5:$AH$1004,4,))*$F120</f>
        <v>265204.8779211854</v>
      </c>
      <c r="T120" s="14">
        <f>(VLOOKUP($D120,$C$5:$AH$1004,18,)/VLOOKUP($D120,$C$5:$AH$1004,4,))*$F120</f>
        <v>168.2586486286248</v>
      </c>
      <c r="U120" s="14">
        <f>SUM(G120:T120)</f>
        <v>2000868.71</v>
      </c>
      <c r="V120" s="39" t="str">
        <f>IF(ABS(U120-F120)&lt;1,"ok","err")</f>
        <v>ok</v>
      </c>
    </row>
    <row r="121" spans="1:22" s="28" customFormat="1" x14ac:dyDescent="0.2">
      <c r="A121" s="61"/>
      <c r="B121" s="61"/>
      <c r="C121" s="62"/>
      <c r="D121" s="62"/>
      <c r="E121" s="62"/>
      <c r="F121" s="61"/>
      <c r="G121" s="4"/>
      <c r="H121" s="4"/>
      <c r="I121" s="4"/>
      <c r="J121" s="4"/>
      <c r="K121" s="4"/>
      <c r="L121" s="4"/>
      <c r="M121" s="4"/>
      <c r="N121" s="4"/>
      <c r="O121" s="9"/>
      <c r="P121" s="9"/>
      <c r="Q121" s="9"/>
      <c r="R121" s="9"/>
      <c r="S121" s="9"/>
      <c r="T121" s="9"/>
      <c r="U121" s="9"/>
      <c r="V121" s="9"/>
    </row>
    <row r="122" spans="1:22" x14ac:dyDescent="0.2">
      <c r="A122" s="61" t="s">
        <v>185</v>
      </c>
      <c r="B122" s="61"/>
      <c r="C122" s="62"/>
      <c r="D122" s="62"/>
      <c r="E122" s="62"/>
      <c r="F122" s="61"/>
    </row>
    <row r="123" spans="1:22" x14ac:dyDescent="0.2">
      <c r="A123" s="61"/>
      <c r="B123" s="61"/>
      <c r="C123" s="62"/>
      <c r="D123" s="62"/>
      <c r="E123" s="62"/>
      <c r="F123" s="61"/>
    </row>
    <row r="124" spans="1:22" s="28" customFormat="1" x14ac:dyDescent="0.2">
      <c r="A124" s="61" t="s">
        <v>186</v>
      </c>
      <c r="B124" s="61"/>
      <c r="C124" s="62"/>
      <c r="D124" s="62" t="s">
        <v>56</v>
      </c>
      <c r="E124" s="62"/>
      <c r="F124" s="59">
        <v>1747660.73</v>
      </c>
      <c r="G124" s="14">
        <f>(VLOOKUP($D124,$C$5:$AH$1004,5,)/VLOOKUP($D124,$C$5:$AH$1004,4,))*$F124</f>
        <v>0</v>
      </c>
      <c r="H124" s="14">
        <f>(VLOOKUP($D124,$C$5:$AH$1004,6,)/VLOOKUP($D124,$C$5:$AH$1004,4,))*$F124</f>
        <v>0</v>
      </c>
      <c r="I124" s="14">
        <f>(VLOOKUP($D124,$C$5:$AH$1004,7,)/VLOOKUP($D124,$C$5:$AH$1004,4,))*$F124</f>
        <v>204798.55616954062</v>
      </c>
      <c r="J124" s="14">
        <f>(VLOOKUP($D124,$C$5:$AH$1004,8,)/VLOOKUP($D124,$C$5:$AH$1004,4,))*$F124</f>
        <v>0</v>
      </c>
      <c r="K124" s="14">
        <f>(VLOOKUP($D124,$C$5:$AH$1004,9,)/VLOOKUP($D124,$C$5:$AH$1004,4,))*$F124</f>
        <v>489994.9232274809</v>
      </c>
      <c r="L124" s="14">
        <f>(VLOOKUP($D124,$C$5:$AH$1004,10,)/VLOOKUP($D124,$C$5:$AH$1004,4,))*$F124</f>
        <v>0</v>
      </c>
      <c r="M124" s="14">
        <f>(VLOOKUP($D124,$C$5:$AH$1004,11,)/VLOOKUP($D124,$C$5:$AH$1004,4,))*$F124</f>
        <v>0</v>
      </c>
      <c r="N124" s="14">
        <f>(VLOOKUP($D124,$C$5:$AH$1004,12,)/VLOOKUP($D124,$C$5:$AH$1004,4,))*$F124</f>
        <v>24980.304971909405</v>
      </c>
      <c r="O124" s="14">
        <f>(VLOOKUP($D124,$C$5:$AH$1004,13,)/VLOOKUP($D124,$C$5:$AH$1004,4,))*$F124</f>
        <v>203737.75128294673</v>
      </c>
      <c r="P124" s="14">
        <f>(VLOOKUP($D124,$C$5:$AH$1004,14,)/VLOOKUP($D124,$C$5:$AH$1004,4,))*$F124</f>
        <v>500749.63212973211</v>
      </c>
      <c r="Q124" s="14">
        <f>(VLOOKUP($D124,$C$5:$AH$1004,15,)/VLOOKUP($D124,$C$5:$AH$1004,4,))*$F124</f>
        <v>166259.66766531984</v>
      </c>
      <c r="R124" s="14">
        <f>(VLOOKUP($D124,$C$5:$AH$1004,16,)/VLOOKUP($D124,$C$5:$AH$1004,4,))*$F124</f>
        <v>157139.89455307025</v>
      </c>
      <c r="S124" s="14">
        <f>(VLOOKUP($D124,$C$5:$AH$1004,17,)/VLOOKUP($D124,$C$5:$AH$1004,4,))*$F124</f>
        <v>0</v>
      </c>
      <c r="T124" s="14">
        <f>(VLOOKUP($D124,$C$5:$AH$1004,18,)/VLOOKUP($D124,$C$5:$AH$1004,4,))*$F124</f>
        <v>0</v>
      </c>
      <c r="U124" s="14">
        <f>SUM(G124:T124)</f>
        <v>1747660.7299999995</v>
      </c>
      <c r="V124" s="39" t="str">
        <f>IF(ABS(U124-F124)&lt;1,"ok","err")</f>
        <v>ok</v>
      </c>
    </row>
    <row r="125" spans="1:22" s="28" customFormat="1" x14ac:dyDescent="0.2">
      <c r="A125" s="61" t="s">
        <v>756</v>
      </c>
      <c r="B125" s="61"/>
      <c r="C125" s="62"/>
      <c r="D125" s="62" t="s">
        <v>73</v>
      </c>
      <c r="E125" s="62"/>
      <c r="F125" s="59">
        <v>0</v>
      </c>
      <c r="G125" s="14">
        <f>(VLOOKUP($D125,$C$5:$AH$1004,5,)/VLOOKUP($D125,$C$5:$AH$1004,4,))*$F125</f>
        <v>0</v>
      </c>
      <c r="H125" s="14">
        <f>(VLOOKUP($D125,$C$5:$AH$1004,6,)/VLOOKUP($D125,$C$5:$AH$1004,4,))*$F125</f>
        <v>0</v>
      </c>
      <c r="I125" s="14">
        <f>(VLOOKUP($D125,$C$5:$AH$1004,7,)/VLOOKUP($D125,$C$5:$AH$1004,4,))*$F125</f>
        <v>0</v>
      </c>
      <c r="J125" s="14">
        <f>(VLOOKUP($D125,$C$5:$AH$1004,8,)/VLOOKUP($D125,$C$5:$AH$1004,4,))*$F125</f>
        <v>0</v>
      </c>
      <c r="K125" s="14">
        <f>(VLOOKUP($D125,$C$5:$AH$1004,9,)/VLOOKUP($D125,$C$5:$AH$1004,4,))*$F125</f>
        <v>0</v>
      </c>
      <c r="L125" s="14">
        <f>(VLOOKUP($D125,$C$5:$AH$1004,10,)/VLOOKUP($D125,$C$5:$AH$1004,4,))*$F125</f>
        <v>0</v>
      </c>
      <c r="M125" s="14">
        <f>(VLOOKUP($D125,$C$5:$AH$1004,11,)/VLOOKUP($D125,$C$5:$AH$1004,4,))*$F125</f>
        <v>0</v>
      </c>
      <c r="N125" s="14">
        <f>(VLOOKUP($D125,$C$5:$AH$1004,12,)/VLOOKUP($D125,$C$5:$AH$1004,4,))*$F125</f>
        <v>0</v>
      </c>
      <c r="O125" s="14">
        <f>(VLOOKUP($D125,$C$5:$AH$1004,13,)/VLOOKUP($D125,$C$5:$AH$1004,4,))*$F125</f>
        <v>0</v>
      </c>
      <c r="P125" s="14">
        <f>(VLOOKUP($D125,$C$5:$AH$1004,14,)/VLOOKUP($D125,$C$5:$AH$1004,4,))*$F125</f>
        <v>0</v>
      </c>
      <c r="Q125" s="14">
        <f>(VLOOKUP($D125,$C$5:$AH$1004,15,)/VLOOKUP($D125,$C$5:$AH$1004,4,))*$F125</f>
        <v>0</v>
      </c>
      <c r="R125" s="14">
        <f>(VLOOKUP($D125,$C$5:$AH$1004,16,)/VLOOKUP($D125,$C$5:$AH$1004,4,))*$F125</f>
        <v>0</v>
      </c>
      <c r="S125" s="14">
        <f>(VLOOKUP($D125,$C$5:$AH$1004,17,)/VLOOKUP($D125,$C$5:$AH$1004,4,))*$F125</f>
        <v>0</v>
      </c>
      <c r="T125" s="14">
        <f>(VLOOKUP($D125,$C$5:$AH$1004,18,)/VLOOKUP($D125,$C$5:$AH$1004,4,))*$F125</f>
        <v>0</v>
      </c>
      <c r="U125" s="14">
        <f>SUM(G125:T125)</f>
        <v>0</v>
      </c>
      <c r="V125" s="39" t="str">
        <f>IF(ABS(U125-F125)&lt;1,"ok","err")</f>
        <v>ok</v>
      </c>
    </row>
    <row r="126" spans="1:22" s="28" customFormat="1" x14ac:dyDescent="0.2">
      <c r="A126" s="61" t="s">
        <v>757</v>
      </c>
      <c r="B126" s="61"/>
      <c r="C126" s="62"/>
      <c r="D126" s="62" t="s">
        <v>80</v>
      </c>
      <c r="E126" s="62"/>
      <c r="F126" s="59">
        <v>0</v>
      </c>
      <c r="G126" s="14">
        <f>(VLOOKUP($D126,$C$5:$AH$1004,5,)/VLOOKUP($D126,$C$5:$AH$1004,4,))*$F126</f>
        <v>0</v>
      </c>
      <c r="H126" s="14">
        <f>(VLOOKUP($D126,$C$5:$AH$1004,6,)/VLOOKUP($D126,$C$5:$AH$1004,4,))*$F126</f>
        <v>0</v>
      </c>
      <c r="I126" s="14">
        <f>(VLOOKUP($D126,$C$5:$AH$1004,7,)/VLOOKUP($D126,$C$5:$AH$1004,4,))*$F126</f>
        <v>0</v>
      </c>
      <c r="J126" s="14">
        <f>(VLOOKUP($D126,$C$5:$AH$1004,8,)/VLOOKUP($D126,$C$5:$AH$1004,4,))*$F126</f>
        <v>0</v>
      </c>
      <c r="K126" s="14">
        <f>(VLOOKUP($D126,$C$5:$AH$1004,9,)/VLOOKUP($D126,$C$5:$AH$1004,4,))*$F126</f>
        <v>0</v>
      </c>
      <c r="L126" s="14">
        <f>(VLOOKUP($D126,$C$5:$AH$1004,10,)/VLOOKUP($D126,$C$5:$AH$1004,4,))*$F126</f>
        <v>0</v>
      </c>
      <c r="M126" s="14">
        <f>(VLOOKUP($D126,$C$5:$AH$1004,11,)/VLOOKUP($D126,$C$5:$AH$1004,4,))*$F126</f>
        <v>0</v>
      </c>
      <c r="N126" s="14">
        <f>(VLOOKUP($D126,$C$5:$AH$1004,12,)/VLOOKUP($D126,$C$5:$AH$1004,4,))*$F126</f>
        <v>0</v>
      </c>
      <c r="O126" s="14">
        <f>(VLOOKUP($D126,$C$5:$AH$1004,13,)/VLOOKUP($D126,$C$5:$AH$1004,4,))*$F126</f>
        <v>0</v>
      </c>
      <c r="P126" s="14">
        <f>(VLOOKUP($D126,$C$5:$AH$1004,14,)/VLOOKUP($D126,$C$5:$AH$1004,4,))*$F126</f>
        <v>0</v>
      </c>
      <c r="Q126" s="14">
        <f>(VLOOKUP($D126,$C$5:$AH$1004,15,)/VLOOKUP($D126,$C$5:$AH$1004,4,))*$F126</f>
        <v>0</v>
      </c>
      <c r="R126" s="14">
        <f>(VLOOKUP($D126,$C$5:$AH$1004,16,)/VLOOKUP($D126,$C$5:$AH$1004,4,))*$F126</f>
        <v>0</v>
      </c>
      <c r="S126" s="14">
        <f>(VLOOKUP($D126,$C$5:$AH$1004,17,)/VLOOKUP($D126,$C$5:$AH$1004,4,))*$F126</f>
        <v>0</v>
      </c>
      <c r="T126" s="14">
        <f>(VLOOKUP($D126,$C$5:$AH$1004,18,)/VLOOKUP($D126,$C$5:$AH$1004,4,))*$F126</f>
        <v>0</v>
      </c>
      <c r="U126" s="14">
        <f>SUM(G126:T126)</f>
        <v>0</v>
      </c>
      <c r="V126" s="39" t="str">
        <f>IF(ABS(U126-F126)&lt;1,"ok","err")</f>
        <v>ok</v>
      </c>
    </row>
    <row r="127" spans="1:22" s="28" customFormat="1" x14ac:dyDescent="0.2">
      <c r="A127" s="61"/>
      <c r="B127" s="61"/>
      <c r="C127" s="62"/>
      <c r="D127" s="62"/>
      <c r="E127" s="62"/>
      <c r="F127" s="6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39"/>
    </row>
    <row r="128" spans="1:22" s="28" customFormat="1" x14ac:dyDescent="0.2">
      <c r="A128" s="61"/>
      <c r="B128" s="61"/>
      <c r="C128" s="62"/>
      <c r="D128" s="62"/>
      <c r="E128" s="62"/>
      <c r="F128" s="61"/>
      <c r="G128" s="4"/>
      <c r="H128" s="4"/>
      <c r="I128" s="4"/>
      <c r="J128" s="4"/>
      <c r="K128" s="4"/>
      <c r="L128" s="4"/>
      <c r="M128" s="4"/>
      <c r="N128" s="4"/>
      <c r="O128" s="9"/>
      <c r="P128" s="9"/>
      <c r="Q128" s="9"/>
      <c r="R128" s="9"/>
      <c r="S128" s="9"/>
      <c r="T128" s="9"/>
      <c r="U128" s="9"/>
      <c r="V128" s="9"/>
    </row>
    <row r="129" spans="1:30" s="9" customFormat="1" x14ac:dyDescent="0.2">
      <c r="A129" s="60" t="s">
        <v>94</v>
      </c>
      <c r="B129" s="61"/>
      <c r="C129" s="62" t="s">
        <v>95</v>
      </c>
      <c r="D129" s="62"/>
      <c r="E129" s="62"/>
      <c r="F129" s="65">
        <f>F96-F107-F109-F110-F111-F112-F113+F117+F118+F119+F120+F124+F125+F126+F127</f>
        <v>136735987.63914844</v>
      </c>
      <c r="G129" s="65">
        <f t="shared" ref="G129:T129" si="28">G96-G107-G109-G110-G111-G112-G113+G117+G118+G119+G120+G124+G125+G126+G127</f>
        <v>0</v>
      </c>
      <c r="H129" s="65">
        <f t="shared" si="28"/>
        <v>0</v>
      </c>
      <c r="I129" s="65">
        <f t="shared" si="28"/>
        <v>19451615.951213971</v>
      </c>
      <c r="J129" s="65">
        <f t="shared" si="28"/>
        <v>30053.345857629647</v>
      </c>
      <c r="K129" s="65">
        <f t="shared" si="28"/>
        <v>31801784.971615329</v>
      </c>
      <c r="L129" s="65">
        <f t="shared" si="28"/>
        <v>21502.440413700115</v>
      </c>
      <c r="M129" s="65">
        <f t="shared" si="28"/>
        <v>86242.478564403558</v>
      </c>
      <c r="N129" s="65">
        <f t="shared" si="28"/>
        <v>1931028.0100984192</v>
      </c>
      <c r="O129" s="65">
        <f t="shared" si="28"/>
        <v>16822830.336348742</v>
      </c>
      <c r="P129" s="65">
        <f t="shared" si="28"/>
        <v>41347399.042450525</v>
      </c>
      <c r="Q129" s="65">
        <f t="shared" si="28"/>
        <v>12773136.740125412</v>
      </c>
      <c r="R129" s="65">
        <f t="shared" si="28"/>
        <v>12205021.185890455</v>
      </c>
      <c r="S129" s="65">
        <f t="shared" si="28"/>
        <v>265204.8779211854</v>
      </c>
      <c r="T129" s="65">
        <f t="shared" si="28"/>
        <v>168.2586486286248</v>
      </c>
      <c r="U129" s="14">
        <f>SUM(G129:T129)</f>
        <v>136735987.63914844</v>
      </c>
      <c r="V129" s="39" t="str">
        <f>IF(ABS(U129-F129)&lt;1,"ok","err")</f>
        <v>ok</v>
      </c>
    </row>
    <row r="130" spans="1:30" s="9" customFormat="1" x14ac:dyDescent="0.2">
      <c r="A130" s="60"/>
      <c r="B130" s="61"/>
      <c r="C130" s="62"/>
      <c r="D130" s="62"/>
      <c r="E130" s="62"/>
      <c r="F130" s="65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4"/>
      <c r="V130" s="39"/>
    </row>
    <row r="131" spans="1:30" s="9" customFormat="1" x14ac:dyDescent="0.2">
      <c r="A131" s="8"/>
      <c r="C131" s="4"/>
      <c r="D131" s="4"/>
      <c r="E131" s="4"/>
      <c r="F131" s="65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4"/>
      <c r="V131" s="39"/>
    </row>
    <row r="132" spans="1:30" s="9" customFormat="1" x14ac:dyDescent="0.2">
      <c r="A132" s="8"/>
      <c r="C132" s="4"/>
      <c r="D132" s="4"/>
      <c r="E132" s="4"/>
      <c r="F132" s="65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4"/>
      <c r="V132" s="39"/>
    </row>
    <row r="133" spans="1:30" s="9" customFormat="1" x14ac:dyDescent="0.2">
      <c r="A133" s="8"/>
      <c r="C133" s="4"/>
      <c r="D133" s="4"/>
      <c r="E133" s="4"/>
      <c r="F133" s="65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4"/>
      <c r="V133" s="39"/>
    </row>
    <row r="134" spans="1:30" s="9" customFormat="1" x14ac:dyDescent="0.2">
      <c r="A134" s="8"/>
      <c r="C134" s="4"/>
      <c r="D134" s="4"/>
      <c r="E134" s="4"/>
      <c r="F134" s="65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4"/>
      <c r="V134" s="39"/>
    </row>
    <row r="135" spans="1:30" s="9" customFormat="1" x14ac:dyDescent="0.2">
      <c r="A135" s="8"/>
      <c r="C135" s="4"/>
      <c r="D135" s="4"/>
      <c r="E135" s="4"/>
      <c r="F135" s="254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4"/>
      <c r="V135" s="39"/>
    </row>
    <row r="136" spans="1:30" s="9" customFormat="1" x14ac:dyDescent="0.2">
      <c r="A136" s="8"/>
      <c r="C136" s="4"/>
      <c r="D136" s="4"/>
      <c r="E136" s="4"/>
      <c r="F136" s="65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4"/>
      <c r="V136" s="39"/>
    </row>
    <row r="137" spans="1:30" s="9" customFormat="1" x14ac:dyDescent="0.2">
      <c r="A137" s="8"/>
      <c r="C137" s="4"/>
      <c r="D137" s="4"/>
      <c r="E137" s="4"/>
      <c r="F137" s="65"/>
      <c r="G137" s="4"/>
      <c r="H137" s="4"/>
      <c r="I137" s="4"/>
      <c r="J137" s="4"/>
      <c r="K137" s="4"/>
      <c r="L137" s="4"/>
      <c r="M137" s="4"/>
      <c r="N137" s="4"/>
    </row>
    <row r="138" spans="1:30" s="9" customFormat="1" x14ac:dyDescent="0.2">
      <c r="A138" s="11" t="s">
        <v>464</v>
      </c>
      <c r="C138" s="4"/>
      <c r="D138" s="4"/>
      <c r="E138" s="4"/>
      <c r="F138" s="65"/>
      <c r="G138" s="4"/>
      <c r="H138" s="4"/>
      <c r="I138" s="4"/>
      <c r="J138" s="4"/>
      <c r="K138" s="4"/>
      <c r="L138" s="4"/>
      <c r="M138" s="4"/>
      <c r="N138" s="4"/>
    </row>
    <row r="139" spans="1:30" s="9" customFormat="1" x14ac:dyDescent="0.2">
      <c r="A139" s="11"/>
      <c r="C139" s="4"/>
      <c r="D139" s="4"/>
      <c r="E139" s="4"/>
      <c r="F139" s="65"/>
      <c r="G139" s="4"/>
      <c r="H139" s="4"/>
      <c r="I139" s="4"/>
      <c r="J139" s="4"/>
      <c r="K139" s="4"/>
      <c r="L139" s="4"/>
      <c r="M139" s="4"/>
      <c r="N139" s="4"/>
    </row>
    <row r="140" spans="1:30" s="9" customFormat="1" x14ac:dyDescent="0.2">
      <c r="A140" s="8" t="s">
        <v>682</v>
      </c>
      <c r="C140" s="4"/>
      <c r="D140" s="4"/>
      <c r="E140" s="4"/>
      <c r="F140" s="65"/>
      <c r="G140" s="4"/>
      <c r="H140" s="4"/>
      <c r="I140" s="4"/>
      <c r="J140" s="4"/>
      <c r="K140" s="4"/>
      <c r="L140" s="4"/>
      <c r="M140" s="4"/>
      <c r="N140" s="4"/>
      <c r="W140" s="19"/>
      <c r="X140" s="19"/>
      <c r="Y140" s="19"/>
      <c r="Z140" s="19"/>
      <c r="AA140" s="19"/>
      <c r="AB140" s="19"/>
      <c r="AC140" s="19"/>
      <c r="AD140" s="19"/>
    </row>
    <row r="141" spans="1:30" s="9" customFormat="1" x14ac:dyDescent="0.2">
      <c r="A141" s="8" t="s">
        <v>683</v>
      </c>
      <c r="C141" s="4"/>
      <c r="D141" s="4"/>
      <c r="E141" s="4"/>
      <c r="F141" s="65"/>
      <c r="G141" s="4"/>
      <c r="H141" s="4"/>
      <c r="I141" s="4"/>
      <c r="J141" s="4"/>
      <c r="K141" s="4"/>
      <c r="L141" s="4"/>
      <c r="M141" s="4"/>
      <c r="N141" s="4"/>
      <c r="W141" s="19"/>
      <c r="X141" s="19"/>
      <c r="Y141" s="19"/>
      <c r="Z141" s="19"/>
      <c r="AA141" s="19"/>
      <c r="AB141" s="19"/>
      <c r="AC141" s="19"/>
      <c r="AD141" s="19"/>
    </row>
    <row r="142" spans="1:30" s="9" customFormat="1" x14ac:dyDescent="0.2">
      <c r="A142" s="13">
        <v>753</v>
      </c>
      <c r="B142" s="9" t="s">
        <v>678</v>
      </c>
      <c r="C142" s="4" t="s">
        <v>704</v>
      </c>
      <c r="D142" s="4" t="s">
        <v>32</v>
      </c>
      <c r="E142" s="4"/>
      <c r="F142" s="64">
        <v>138715.04</v>
      </c>
      <c r="G142" s="14">
        <f>(VLOOKUP($D142,$C$5:$AH$1004,5,)/VLOOKUP($D142,$C$5:$AH$1004,4,))*$F142</f>
        <v>0</v>
      </c>
      <c r="H142" s="14">
        <f>(VLOOKUP($D142,$C$5:$AH$1004,6,)/VLOOKUP($D142,$C$5:$AH$1004,4,))*$F142</f>
        <v>0</v>
      </c>
      <c r="I142" s="14">
        <f>(VLOOKUP($D142,$C$5:$AH$1004,7,)/VLOOKUP($D142,$C$5:$AH$1004,4,))*$F142</f>
        <v>0</v>
      </c>
      <c r="J142" s="14">
        <f>(VLOOKUP($D142,$C$5:$AH$1004,8,)/VLOOKUP($D142,$C$5:$AH$1004,4,))*$F142</f>
        <v>0</v>
      </c>
      <c r="K142" s="14">
        <f>(VLOOKUP($D142,$C$5:$AH$1004,9,)/VLOOKUP($D142,$C$5:$AH$1004,4,))*$F142</f>
        <v>0</v>
      </c>
      <c r="L142" s="14">
        <f>(VLOOKUP($D142,$C$5:$AH$1004,10,)/VLOOKUP($D142,$C$5:$AH$1004,4,))*$F142</f>
        <v>138715.04</v>
      </c>
      <c r="M142" s="14">
        <f>(VLOOKUP($D142,$C$5:$AH$1004,11,)/VLOOKUP($D142,$C$5:$AH$1004,4,))*$F142</f>
        <v>0</v>
      </c>
      <c r="N142" s="14">
        <f>(VLOOKUP($D142,$C$5:$AH$1004,12,)/VLOOKUP($D142,$C$5:$AH$1004,4,))*$F142</f>
        <v>0</v>
      </c>
      <c r="O142" s="14">
        <f>(VLOOKUP($D142,$C$5:$AH$1004,13,)/VLOOKUP($D142,$C$5:$AH$1004,4,))*$F142</f>
        <v>0</v>
      </c>
      <c r="P142" s="14">
        <f>(VLOOKUP($D142,$C$5:$AH$1004,14,)/VLOOKUP($D142,$C$5:$AH$1004,4,))*$F142</f>
        <v>0</v>
      </c>
      <c r="Q142" s="14">
        <f>(VLOOKUP($D142,$C$5:$AH$1004,15,)/VLOOKUP($D142,$C$5:$AH$1004,4,))*$F142</f>
        <v>0</v>
      </c>
      <c r="R142" s="14">
        <f>(VLOOKUP($D142,$C$5:$AH$1004,16,)/VLOOKUP($D142,$C$5:$AH$1004,4,))*$F142</f>
        <v>0</v>
      </c>
      <c r="S142" s="14">
        <f>(VLOOKUP($D142,$C$5:$AH$1004,17,)/VLOOKUP($D142,$C$5:$AH$1004,4,))*$F142</f>
        <v>0</v>
      </c>
      <c r="T142" s="14">
        <f>(VLOOKUP($D142,$C$5:$AH$1004,18,)/VLOOKUP($D142,$C$5:$AH$1004,4,))*$F142</f>
        <v>0</v>
      </c>
      <c r="U142" s="14">
        <f>SUM(G142:T142)</f>
        <v>138715.04</v>
      </c>
      <c r="V142" s="39" t="str">
        <f>IF(ABS(U142-F142)&lt;1,"ok","err")</f>
        <v>ok</v>
      </c>
      <c r="W142" s="19"/>
      <c r="X142" s="19"/>
      <c r="Y142" s="19"/>
      <c r="Z142" s="19"/>
      <c r="AA142" s="19"/>
      <c r="AB142" s="19"/>
      <c r="AC142" s="19"/>
      <c r="AD142" s="19"/>
    </row>
    <row r="143" spans="1:30" s="9" customFormat="1" x14ac:dyDescent="0.2">
      <c r="A143" s="13">
        <v>754</v>
      </c>
      <c r="B143" s="9" t="s">
        <v>679</v>
      </c>
      <c r="C143" s="4" t="s">
        <v>705</v>
      </c>
      <c r="D143" s="4" t="s">
        <v>32</v>
      </c>
      <c r="E143" s="4"/>
      <c r="F143" s="64">
        <v>0</v>
      </c>
      <c r="G143" s="14">
        <f>(VLOOKUP($D143,$C$5:$AH$1004,5,)/VLOOKUP($D143,$C$5:$AH$1004,4,))*$F143</f>
        <v>0</v>
      </c>
      <c r="H143" s="14">
        <f>(VLOOKUP($D143,$C$5:$AH$1004,6,)/VLOOKUP($D143,$C$5:$AH$1004,4,))*$F143</f>
        <v>0</v>
      </c>
      <c r="I143" s="14">
        <f>(VLOOKUP($D143,$C$5:$AH$1004,7,)/VLOOKUP($D143,$C$5:$AH$1004,4,))*$F143</f>
        <v>0</v>
      </c>
      <c r="J143" s="14">
        <f>(VLOOKUP($D143,$C$5:$AH$1004,8,)/VLOOKUP($D143,$C$5:$AH$1004,4,))*$F143</f>
        <v>0</v>
      </c>
      <c r="K143" s="14">
        <f>(VLOOKUP($D143,$C$5:$AH$1004,9,)/VLOOKUP($D143,$C$5:$AH$1004,4,))*$F143</f>
        <v>0</v>
      </c>
      <c r="L143" s="14">
        <f>(VLOOKUP($D143,$C$5:$AH$1004,10,)/VLOOKUP($D143,$C$5:$AH$1004,4,))*$F143</f>
        <v>0</v>
      </c>
      <c r="M143" s="14">
        <f>(VLOOKUP($D143,$C$5:$AH$1004,11,)/VLOOKUP($D143,$C$5:$AH$1004,4,))*$F143</f>
        <v>0</v>
      </c>
      <c r="N143" s="14">
        <f>(VLOOKUP($D143,$C$5:$AH$1004,12,)/VLOOKUP($D143,$C$5:$AH$1004,4,))*$F143</f>
        <v>0</v>
      </c>
      <c r="O143" s="14">
        <f>(VLOOKUP($D143,$C$5:$AH$1004,13,)/VLOOKUP($D143,$C$5:$AH$1004,4,))*$F143</f>
        <v>0</v>
      </c>
      <c r="P143" s="14">
        <f>(VLOOKUP($D143,$C$5:$AH$1004,14,)/VLOOKUP($D143,$C$5:$AH$1004,4,))*$F143</f>
        <v>0</v>
      </c>
      <c r="Q143" s="14">
        <f>(VLOOKUP($D143,$C$5:$AH$1004,15,)/VLOOKUP($D143,$C$5:$AH$1004,4,))*$F143</f>
        <v>0</v>
      </c>
      <c r="R143" s="14">
        <f>(VLOOKUP($D143,$C$5:$AH$1004,16,)/VLOOKUP($D143,$C$5:$AH$1004,4,))*$F143</f>
        <v>0</v>
      </c>
      <c r="S143" s="14">
        <f>(VLOOKUP($D143,$C$5:$AH$1004,17,)/VLOOKUP($D143,$C$5:$AH$1004,4,))*$F143</f>
        <v>0</v>
      </c>
      <c r="T143" s="14">
        <f>(VLOOKUP($D143,$C$5:$AH$1004,18,)/VLOOKUP($D143,$C$5:$AH$1004,4,))*$F143</f>
        <v>0</v>
      </c>
      <c r="U143" s="14">
        <f>SUM(G143:T143)</f>
        <v>0</v>
      </c>
      <c r="V143" s="39" t="str">
        <f>IF(ABS(U143-F143)&lt;1,"ok","err")</f>
        <v>ok</v>
      </c>
      <c r="W143" s="19"/>
      <c r="X143" s="19"/>
      <c r="Y143" s="19"/>
      <c r="Z143" s="19"/>
      <c r="AA143" s="19"/>
      <c r="AB143" s="19"/>
      <c r="AC143" s="19"/>
      <c r="AD143" s="19"/>
    </row>
    <row r="144" spans="1:30" s="9" customFormat="1" x14ac:dyDescent="0.2">
      <c r="A144" s="13">
        <v>764</v>
      </c>
      <c r="B144" s="9" t="s">
        <v>684</v>
      </c>
      <c r="C144" s="4" t="s">
        <v>706</v>
      </c>
      <c r="D144" s="4" t="s">
        <v>32</v>
      </c>
      <c r="E144" s="4"/>
      <c r="F144" s="64">
        <v>0</v>
      </c>
      <c r="G144" s="14">
        <f>(VLOOKUP($D144,$C$5:$AH$1004,5,)/VLOOKUP($D144,$C$5:$AH$1004,4,))*$F144</f>
        <v>0</v>
      </c>
      <c r="H144" s="14">
        <f>(VLOOKUP($D144,$C$5:$AH$1004,6,)/VLOOKUP($D144,$C$5:$AH$1004,4,))*$F144</f>
        <v>0</v>
      </c>
      <c r="I144" s="14">
        <f>(VLOOKUP($D144,$C$5:$AH$1004,7,)/VLOOKUP($D144,$C$5:$AH$1004,4,))*$F144</f>
        <v>0</v>
      </c>
      <c r="J144" s="14">
        <f>(VLOOKUP($D144,$C$5:$AH$1004,8,)/VLOOKUP($D144,$C$5:$AH$1004,4,))*$F144</f>
        <v>0</v>
      </c>
      <c r="K144" s="14">
        <f>(VLOOKUP($D144,$C$5:$AH$1004,9,)/VLOOKUP($D144,$C$5:$AH$1004,4,))*$F144</f>
        <v>0</v>
      </c>
      <c r="L144" s="14">
        <f>(VLOOKUP($D144,$C$5:$AH$1004,10,)/VLOOKUP($D144,$C$5:$AH$1004,4,))*$F144</f>
        <v>0</v>
      </c>
      <c r="M144" s="14">
        <f>(VLOOKUP($D144,$C$5:$AH$1004,11,)/VLOOKUP($D144,$C$5:$AH$1004,4,))*$F144</f>
        <v>0</v>
      </c>
      <c r="N144" s="14">
        <f>(VLOOKUP($D144,$C$5:$AH$1004,12,)/VLOOKUP($D144,$C$5:$AH$1004,4,))*$F144</f>
        <v>0</v>
      </c>
      <c r="O144" s="14">
        <f>(VLOOKUP($D144,$C$5:$AH$1004,13,)/VLOOKUP($D144,$C$5:$AH$1004,4,))*$F144</f>
        <v>0</v>
      </c>
      <c r="P144" s="14">
        <f>(VLOOKUP($D144,$C$5:$AH$1004,14,)/VLOOKUP($D144,$C$5:$AH$1004,4,))*$F144</f>
        <v>0</v>
      </c>
      <c r="Q144" s="14">
        <f>(VLOOKUP($D144,$C$5:$AH$1004,15,)/VLOOKUP($D144,$C$5:$AH$1004,4,))*$F144</f>
        <v>0</v>
      </c>
      <c r="R144" s="14">
        <f>(VLOOKUP($D144,$C$5:$AH$1004,16,)/VLOOKUP($D144,$C$5:$AH$1004,4,))*$F144</f>
        <v>0</v>
      </c>
      <c r="S144" s="14">
        <f>(VLOOKUP($D144,$C$5:$AH$1004,17,)/VLOOKUP($D144,$C$5:$AH$1004,4,))*$F144</f>
        <v>0</v>
      </c>
      <c r="T144" s="14">
        <f>(VLOOKUP($D144,$C$5:$AH$1004,18,)/VLOOKUP($D144,$C$5:$AH$1004,4,))*$F144</f>
        <v>0</v>
      </c>
      <c r="U144" s="14">
        <f>SUM(G144:T144)</f>
        <v>0</v>
      </c>
      <c r="V144" s="39" t="str">
        <f>IF(ABS(U144-F144)&lt;1,"ok","err")</f>
        <v>ok</v>
      </c>
      <c r="W144" s="19"/>
      <c r="X144" s="19"/>
      <c r="Y144" s="19"/>
      <c r="Z144" s="19"/>
      <c r="AA144" s="19"/>
      <c r="AB144" s="19"/>
      <c r="AC144" s="19"/>
      <c r="AD144" s="19"/>
    </row>
    <row r="145" spans="1:30" s="9" customFormat="1" x14ac:dyDescent="0.2">
      <c r="A145" s="13">
        <v>765</v>
      </c>
      <c r="B145" s="9" t="s">
        <v>685</v>
      </c>
      <c r="C145" s="4" t="s">
        <v>707</v>
      </c>
      <c r="D145" s="4" t="s">
        <v>32</v>
      </c>
      <c r="E145" s="4"/>
      <c r="F145" s="64">
        <v>32395.08</v>
      </c>
      <c r="G145" s="14">
        <f>(VLOOKUP($D145,$C$5:$AH$1004,5,)/VLOOKUP($D145,$C$5:$AH$1004,4,))*$F145</f>
        <v>0</v>
      </c>
      <c r="H145" s="14">
        <f>(VLOOKUP($D145,$C$5:$AH$1004,6,)/VLOOKUP($D145,$C$5:$AH$1004,4,))*$F145</f>
        <v>0</v>
      </c>
      <c r="I145" s="14">
        <f>(VLOOKUP($D145,$C$5:$AH$1004,7,)/VLOOKUP($D145,$C$5:$AH$1004,4,))*$F145</f>
        <v>0</v>
      </c>
      <c r="J145" s="14">
        <f>(VLOOKUP($D145,$C$5:$AH$1004,8,)/VLOOKUP($D145,$C$5:$AH$1004,4,))*$F145</f>
        <v>0</v>
      </c>
      <c r="K145" s="14">
        <f>(VLOOKUP($D145,$C$5:$AH$1004,9,)/VLOOKUP($D145,$C$5:$AH$1004,4,))*$F145</f>
        <v>0</v>
      </c>
      <c r="L145" s="14">
        <f>(VLOOKUP($D145,$C$5:$AH$1004,10,)/VLOOKUP($D145,$C$5:$AH$1004,4,))*$F145</f>
        <v>32395.08</v>
      </c>
      <c r="M145" s="14">
        <f>(VLOOKUP($D145,$C$5:$AH$1004,11,)/VLOOKUP($D145,$C$5:$AH$1004,4,))*$F145</f>
        <v>0</v>
      </c>
      <c r="N145" s="14">
        <f>(VLOOKUP($D145,$C$5:$AH$1004,12,)/VLOOKUP($D145,$C$5:$AH$1004,4,))*$F145</f>
        <v>0</v>
      </c>
      <c r="O145" s="14">
        <f>(VLOOKUP($D145,$C$5:$AH$1004,13,)/VLOOKUP($D145,$C$5:$AH$1004,4,))*$F145</f>
        <v>0</v>
      </c>
      <c r="P145" s="14">
        <f>(VLOOKUP($D145,$C$5:$AH$1004,14,)/VLOOKUP($D145,$C$5:$AH$1004,4,))*$F145</f>
        <v>0</v>
      </c>
      <c r="Q145" s="14">
        <f>(VLOOKUP($D145,$C$5:$AH$1004,15,)/VLOOKUP($D145,$C$5:$AH$1004,4,))*$F145</f>
        <v>0</v>
      </c>
      <c r="R145" s="14">
        <f>(VLOOKUP($D145,$C$5:$AH$1004,16,)/VLOOKUP($D145,$C$5:$AH$1004,4,))*$F145</f>
        <v>0</v>
      </c>
      <c r="S145" s="14">
        <f>(VLOOKUP($D145,$C$5:$AH$1004,17,)/VLOOKUP($D145,$C$5:$AH$1004,4,))*$F145</f>
        <v>0</v>
      </c>
      <c r="T145" s="14">
        <f>(VLOOKUP($D145,$C$5:$AH$1004,18,)/VLOOKUP($D145,$C$5:$AH$1004,4,))*$F145</f>
        <v>0</v>
      </c>
      <c r="U145" s="14">
        <f>SUM(G145:T145)</f>
        <v>32395.08</v>
      </c>
      <c r="V145" s="39" t="str">
        <f>IF(ABS(U145-F145)&lt;1,"ok","err")</f>
        <v>ok</v>
      </c>
      <c r="W145" s="19"/>
      <c r="X145" s="19"/>
      <c r="Y145" s="19"/>
      <c r="Z145" s="19"/>
      <c r="AA145" s="19"/>
      <c r="AB145" s="19"/>
      <c r="AC145" s="19"/>
      <c r="AD145" s="19"/>
    </row>
    <row r="146" spans="1:30" s="9" customFormat="1" x14ac:dyDescent="0.2">
      <c r="A146" s="13"/>
      <c r="C146" s="4"/>
      <c r="D146" s="4"/>
      <c r="E146" s="4"/>
      <c r="F146" s="6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39"/>
      <c r="W146" s="19"/>
      <c r="X146" s="19"/>
      <c r="Y146" s="19"/>
      <c r="Z146" s="19"/>
      <c r="AA146" s="19"/>
      <c r="AB146" s="19"/>
      <c r="AC146" s="19"/>
      <c r="AD146" s="19"/>
    </row>
    <row r="147" spans="1:30" s="9" customFormat="1" x14ac:dyDescent="0.2">
      <c r="A147" s="13" t="s">
        <v>688</v>
      </c>
      <c r="C147" s="4"/>
      <c r="D147" s="4"/>
      <c r="E147" s="4"/>
      <c r="F147" s="64">
        <f t="shared" ref="F147:U147" si="29">SUM(F142:F146)</f>
        <v>171110.12</v>
      </c>
      <c r="G147" s="14">
        <f t="shared" si="29"/>
        <v>0</v>
      </c>
      <c r="H147" s="14">
        <f t="shared" si="29"/>
        <v>0</v>
      </c>
      <c r="I147" s="14">
        <f t="shared" si="29"/>
        <v>0</v>
      </c>
      <c r="J147" s="14">
        <f t="shared" si="29"/>
        <v>0</v>
      </c>
      <c r="K147" s="14">
        <f t="shared" si="29"/>
        <v>0</v>
      </c>
      <c r="L147" s="14">
        <f t="shared" si="29"/>
        <v>171110.12</v>
      </c>
      <c r="M147" s="14">
        <f t="shared" si="29"/>
        <v>0</v>
      </c>
      <c r="N147" s="14">
        <f t="shared" si="29"/>
        <v>0</v>
      </c>
      <c r="O147" s="14">
        <f t="shared" si="29"/>
        <v>0</v>
      </c>
      <c r="P147" s="14">
        <f t="shared" si="29"/>
        <v>0</v>
      </c>
      <c r="Q147" s="14">
        <f t="shared" si="29"/>
        <v>0</v>
      </c>
      <c r="R147" s="14">
        <f t="shared" si="29"/>
        <v>0</v>
      </c>
      <c r="S147" s="14">
        <f t="shared" si="29"/>
        <v>0</v>
      </c>
      <c r="T147" s="14">
        <f t="shared" si="29"/>
        <v>0</v>
      </c>
      <c r="U147" s="14">
        <f t="shared" si="29"/>
        <v>171110.12</v>
      </c>
      <c r="V147" s="39" t="str">
        <f>IF(ABS(U147-F147)&lt;1,"ok","err")</f>
        <v>ok</v>
      </c>
      <c r="W147" s="19"/>
      <c r="X147" s="19"/>
      <c r="Y147" s="19"/>
      <c r="Z147" s="19"/>
      <c r="AA147" s="19"/>
      <c r="AB147" s="19"/>
      <c r="AC147" s="19"/>
      <c r="AD147" s="19"/>
    </row>
    <row r="148" spans="1:30" s="9" customFormat="1" x14ac:dyDescent="0.2">
      <c r="C148" s="4"/>
      <c r="D148" s="4"/>
      <c r="E148" s="4"/>
      <c r="F148" s="65"/>
      <c r="G148" s="4"/>
      <c r="H148" s="4"/>
      <c r="I148" s="4"/>
      <c r="J148" s="4"/>
      <c r="K148" s="4"/>
      <c r="L148" s="4"/>
      <c r="M148" s="4"/>
      <c r="N148" s="4"/>
    </row>
    <row r="149" spans="1:30" s="9" customFormat="1" x14ac:dyDescent="0.2">
      <c r="A149" s="13" t="s">
        <v>462</v>
      </c>
      <c r="B149" s="61" t="s">
        <v>463</v>
      </c>
      <c r="C149" s="4" t="s">
        <v>484</v>
      </c>
      <c r="D149" s="4" t="s">
        <v>636</v>
      </c>
      <c r="E149" s="4"/>
      <c r="F149" s="65">
        <v>0</v>
      </c>
      <c r="G149" s="14">
        <f>(VLOOKUP($D149,$C$5:$AH$1004,5,)/VLOOKUP($D149,$C$5:$AH$1004,4,))*$F149</f>
        <v>0</v>
      </c>
      <c r="H149" s="14">
        <f>(VLOOKUP($D149,$C$5:$AH$1004,6,)/VLOOKUP($D149,$C$5:$AH$1004,4,))*$F149</f>
        <v>0</v>
      </c>
      <c r="I149" s="14">
        <f>(VLOOKUP($D149,$C$5:$AH$1004,7,)/VLOOKUP($D149,$C$5:$AH$1004,4,))*$F149</f>
        <v>0</v>
      </c>
      <c r="J149" s="14">
        <f>(VLOOKUP($D149,$C$5:$AH$1004,8,)/VLOOKUP($D149,$C$5:$AH$1004,4,))*$F149</f>
        <v>0</v>
      </c>
      <c r="K149" s="14">
        <f>(VLOOKUP($D149,$C$5:$AH$1004,9,)/VLOOKUP($D149,$C$5:$AH$1004,4,))*$F149</f>
        <v>0</v>
      </c>
      <c r="L149" s="14">
        <f>(VLOOKUP($D149,$C$5:$AH$1004,10,)/VLOOKUP($D149,$C$5:$AH$1004,4,))*$F149</f>
        <v>0</v>
      </c>
      <c r="M149" s="14">
        <f>(VLOOKUP($D149,$C$5:$AH$1004,11,)/VLOOKUP($D149,$C$5:$AH$1004,4,))*$F149</f>
        <v>0</v>
      </c>
      <c r="N149" s="14">
        <f>(VLOOKUP($D149,$C$5:$AH$1004,12,)/VLOOKUP($D149,$C$5:$AH$1004,4,))*$F149</f>
        <v>0</v>
      </c>
      <c r="O149" s="14">
        <f>(VLOOKUP($D149,$C$5:$AH$1004,13,)/VLOOKUP($D149,$C$5:$AH$1004,4,))*$F149</f>
        <v>0</v>
      </c>
      <c r="P149" s="14">
        <f>(VLOOKUP($D149,$C$5:$AH$1004,14,)/VLOOKUP($D149,$C$5:$AH$1004,4,))*$F149</f>
        <v>0</v>
      </c>
      <c r="Q149" s="14">
        <f>(VLOOKUP($D149,$C$5:$AH$1004,15,)/VLOOKUP($D149,$C$5:$AH$1004,4,))*$F149</f>
        <v>0</v>
      </c>
      <c r="R149" s="14">
        <f>(VLOOKUP($D149,$C$5:$AH$1004,16,)/VLOOKUP($D149,$C$5:$AH$1004,4,))*$F149</f>
        <v>0</v>
      </c>
      <c r="S149" s="14">
        <f>(VLOOKUP($D149,$C$5:$AH$1004,17,)/VLOOKUP($D149,$C$5:$AH$1004,4,))*$F149</f>
        <v>0</v>
      </c>
      <c r="T149" s="14">
        <f>(VLOOKUP($D149,$C$5:$AH$1004,18,)/VLOOKUP($D149,$C$5:$AH$1004,4,))*$F149</f>
        <v>0</v>
      </c>
      <c r="U149" s="14">
        <f>SUM(G149:T149)</f>
        <v>0</v>
      </c>
      <c r="V149" s="39" t="str">
        <f>IF(ABS(U149-F149)&lt;1,"ok","err")</f>
        <v>ok</v>
      </c>
    </row>
    <row r="150" spans="1:30" s="9" customFormat="1" x14ac:dyDescent="0.2">
      <c r="B150" s="61"/>
      <c r="C150" s="4"/>
      <c r="D150" s="4"/>
      <c r="E150" s="4"/>
      <c r="F150" s="65"/>
      <c r="G150" s="4"/>
      <c r="H150" s="4"/>
      <c r="I150" s="4"/>
      <c r="J150" s="4"/>
      <c r="K150" s="4"/>
      <c r="L150" s="4"/>
      <c r="M150" s="4"/>
      <c r="N150" s="4"/>
    </row>
    <row r="151" spans="1:30" s="9" customFormat="1" x14ac:dyDescent="0.2">
      <c r="A151" s="8" t="s">
        <v>465</v>
      </c>
      <c r="B151" s="61"/>
      <c r="C151" s="4"/>
      <c r="D151" s="4"/>
      <c r="E151" s="4"/>
      <c r="F151" s="65"/>
      <c r="G151" s="4"/>
      <c r="H151" s="4"/>
      <c r="I151" s="4"/>
      <c r="J151" s="4"/>
      <c r="K151" s="4"/>
      <c r="L151" s="4"/>
      <c r="M151" s="4"/>
      <c r="N151" s="4"/>
    </row>
    <row r="152" spans="1:30" s="9" customFormat="1" x14ac:dyDescent="0.2">
      <c r="A152" s="8" t="s">
        <v>438</v>
      </c>
      <c r="B152" s="61"/>
      <c r="F152" s="61"/>
    </row>
    <row r="153" spans="1:30" s="9" customFormat="1" x14ac:dyDescent="0.2">
      <c r="A153" s="13">
        <v>814</v>
      </c>
      <c r="B153" s="61" t="s">
        <v>405</v>
      </c>
      <c r="C153" s="4" t="s">
        <v>485</v>
      </c>
      <c r="D153" s="4" t="s">
        <v>630</v>
      </c>
      <c r="E153" s="4"/>
      <c r="F153" s="64">
        <v>0</v>
      </c>
      <c r="G153" s="14">
        <f t="shared" ref="G153:G164" si="30">(VLOOKUP($D153,$C$5:$AH$1004,5,)/VLOOKUP($D153,$C$5:$AH$1004,4,))*$F153</f>
        <v>0</v>
      </c>
      <c r="H153" s="14">
        <f t="shared" ref="H153:H164" si="31">(VLOOKUP($D153,$C$5:$AH$1004,6,)/VLOOKUP($D153,$C$5:$AH$1004,4,))*$F153</f>
        <v>0</v>
      </c>
      <c r="I153" s="14">
        <f t="shared" ref="I153:I164" si="32">(VLOOKUP($D153,$C$5:$AH$1004,7,)/VLOOKUP($D153,$C$5:$AH$1004,4,))*$F153</f>
        <v>0</v>
      </c>
      <c r="J153" s="14">
        <f t="shared" ref="J153:J164" si="33">(VLOOKUP($D153,$C$5:$AH$1004,8,)/VLOOKUP($D153,$C$5:$AH$1004,4,))*$F153</f>
        <v>0</v>
      </c>
      <c r="K153" s="14">
        <f t="shared" ref="K153:K164" si="34">(VLOOKUP($D153,$C$5:$AH$1004,9,)/VLOOKUP($D153,$C$5:$AH$1004,4,))*$F153</f>
        <v>0</v>
      </c>
      <c r="L153" s="14">
        <f t="shared" ref="L153:L164" si="35">(VLOOKUP($D153,$C$5:$AH$1004,10,)/VLOOKUP($D153,$C$5:$AH$1004,4,))*$F153</f>
        <v>0</v>
      </c>
      <c r="M153" s="14">
        <f t="shared" ref="M153:M164" si="36">(VLOOKUP($D153,$C$5:$AH$1004,11,)/VLOOKUP($D153,$C$5:$AH$1004,4,))*$F153</f>
        <v>0</v>
      </c>
      <c r="N153" s="14">
        <f t="shared" ref="N153:N164" si="37">(VLOOKUP($D153,$C$5:$AH$1004,12,)/VLOOKUP($D153,$C$5:$AH$1004,4,))*$F153</f>
        <v>0</v>
      </c>
      <c r="O153" s="14">
        <f t="shared" ref="O153:O164" si="38">(VLOOKUP($D153,$C$5:$AH$1004,13,)/VLOOKUP($D153,$C$5:$AH$1004,4,))*$F153</f>
        <v>0</v>
      </c>
      <c r="P153" s="14">
        <f t="shared" ref="P153:P164" si="39">(VLOOKUP($D153,$C$5:$AH$1004,14,)/VLOOKUP($D153,$C$5:$AH$1004,4,))*$F153</f>
        <v>0</v>
      </c>
      <c r="Q153" s="14">
        <f t="shared" ref="Q153:Q164" si="40">(VLOOKUP($D153,$C$5:$AH$1004,15,)/VLOOKUP($D153,$C$5:$AH$1004,4,))*$F153</f>
        <v>0</v>
      </c>
      <c r="R153" s="14">
        <f t="shared" ref="R153:R164" si="41">(VLOOKUP($D153,$C$5:$AH$1004,16,)/VLOOKUP($D153,$C$5:$AH$1004,4,))*$F153</f>
        <v>0</v>
      </c>
      <c r="S153" s="14">
        <f t="shared" ref="S153:S164" si="42">(VLOOKUP($D153,$C$5:$AH$1004,17,)/VLOOKUP($D153,$C$5:$AH$1004,4,))*$F153</f>
        <v>0</v>
      </c>
      <c r="T153" s="14">
        <f t="shared" ref="T153:T164" si="43">(VLOOKUP($D153,$C$5:$AH$1004,18,)/VLOOKUP($D153,$C$5:$AH$1004,4,))*$F153</f>
        <v>0</v>
      </c>
      <c r="U153" s="14">
        <f t="shared" ref="U153:U164" si="44">SUM(G153:T153)</f>
        <v>0</v>
      </c>
      <c r="V153" s="39" t="str">
        <f t="shared" ref="V153:V164" si="45">IF(ABS(U153-F153)&lt;1,"ok","err")</f>
        <v>ok</v>
      </c>
    </row>
    <row r="154" spans="1:30" s="9" customFormat="1" x14ac:dyDescent="0.2">
      <c r="A154" s="13">
        <v>815</v>
      </c>
      <c r="B154" s="61" t="s">
        <v>406</v>
      </c>
      <c r="C154" s="4" t="s">
        <v>486</v>
      </c>
      <c r="D154" s="4" t="s">
        <v>24</v>
      </c>
      <c r="E154" s="4"/>
      <c r="F154" s="64">
        <v>0</v>
      </c>
      <c r="G154" s="14">
        <f t="shared" si="30"/>
        <v>0</v>
      </c>
      <c r="H154" s="14">
        <f t="shared" si="31"/>
        <v>0</v>
      </c>
      <c r="I154" s="14">
        <f t="shared" si="32"/>
        <v>0</v>
      </c>
      <c r="J154" s="14">
        <f t="shared" si="33"/>
        <v>0</v>
      </c>
      <c r="K154" s="14">
        <f t="shared" si="34"/>
        <v>0</v>
      </c>
      <c r="L154" s="14">
        <f t="shared" si="35"/>
        <v>0</v>
      </c>
      <c r="M154" s="14">
        <f t="shared" si="36"/>
        <v>0</v>
      </c>
      <c r="N154" s="14">
        <f t="shared" si="37"/>
        <v>0</v>
      </c>
      <c r="O154" s="14">
        <f t="shared" si="38"/>
        <v>0</v>
      </c>
      <c r="P154" s="14">
        <f t="shared" si="39"/>
        <v>0</v>
      </c>
      <c r="Q154" s="14">
        <f t="shared" si="40"/>
        <v>0</v>
      </c>
      <c r="R154" s="14">
        <f t="shared" si="41"/>
        <v>0</v>
      </c>
      <c r="S154" s="14">
        <f t="shared" si="42"/>
        <v>0</v>
      </c>
      <c r="T154" s="14">
        <f t="shared" si="43"/>
        <v>0</v>
      </c>
      <c r="U154" s="14">
        <f t="shared" si="44"/>
        <v>0</v>
      </c>
      <c r="V154" s="39" t="str">
        <f t="shared" si="45"/>
        <v>ok</v>
      </c>
    </row>
    <row r="155" spans="1:30" s="9" customFormat="1" x14ac:dyDescent="0.2">
      <c r="A155" s="13">
        <v>816</v>
      </c>
      <c r="B155" s="61" t="s">
        <v>407</v>
      </c>
      <c r="C155" s="4" t="s">
        <v>487</v>
      </c>
      <c r="D155" s="4" t="s">
        <v>24</v>
      </c>
      <c r="E155" s="4"/>
      <c r="F155" s="64">
        <v>60924.63</v>
      </c>
      <c r="G155" s="14">
        <f t="shared" si="30"/>
        <v>0</v>
      </c>
      <c r="H155" s="14">
        <f t="shared" si="31"/>
        <v>0</v>
      </c>
      <c r="I155" s="14">
        <f t="shared" si="32"/>
        <v>60924.63</v>
      </c>
      <c r="J155" s="14">
        <f t="shared" si="33"/>
        <v>0</v>
      </c>
      <c r="K155" s="14">
        <f t="shared" si="34"/>
        <v>0</v>
      </c>
      <c r="L155" s="14">
        <f t="shared" si="35"/>
        <v>0</v>
      </c>
      <c r="M155" s="14">
        <f t="shared" si="36"/>
        <v>0</v>
      </c>
      <c r="N155" s="14">
        <f t="shared" si="37"/>
        <v>0</v>
      </c>
      <c r="O155" s="14">
        <f t="shared" si="38"/>
        <v>0</v>
      </c>
      <c r="P155" s="14">
        <f t="shared" si="39"/>
        <v>0</v>
      </c>
      <c r="Q155" s="14">
        <f t="shared" si="40"/>
        <v>0</v>
      </c>
      <c r="R155" s="14">
        <f t="shared" si="41"/>
        <v>0</v>
      </c>
      <c r="S155" s="14">
        <f t="shared" si="42"/>
        <v>0</v>
      </c>
      <c r="T155" s="14">
        <f t="shared" si="43"/>
        <v>0</v>
      </c>
      <c r="U155" s="14">
        <f t="shared" si="44"/>
        <v>60924.63</v>
      </c>
      <c r="V155" s="39" t="str">
        <f t="shared" si="45"/>
        <v>ok</v>
      </c>
    </row>
    <row r="156" spans="1:30" s="9" customFormat="1" x14ac:dyDescent="0.2">
      <c r="A156" s="13">
        <v>817</v>
      </c>
      <c r="B156" s="61" t="s">
        <v>101</v>
      </c>
      <c r="C156" s="4" t="s">
        <v>488</v>
      </c>
      <c r="D156" s="4" t="s">
        <v>24</v>
      </c>
      <c r="E156" s="4"/>
      <c r="F156" s="64">
        <v>0</v>
      </c>
      <c r="G156" s="14">
        <f t="shared" si="30"/>
        <v>0</v>
      </c>
      <c r="H156" s="14">
        <f t="shared" si="31"/>
        <v>0</v>
      </c>
      <c r="I156" s="14">
        <f t="shared" si="32"/>
        <v>0</v>
      </c>
      <c r="J156" s="14">
        <f t="shared" si="33"/>
        <v>0</v>
      </c>
      <c r="K156" s="14">
        <f t="shared" si="34"/>
        <v>0</v>
      </c>
      <c r="L156" s="14">
        <f t="shared" si="35"/>
        <v>0</v>
      </c>
      <c r="M156" s="14">
        <f t="shared" si="36"/>
        <v>0</v>
      </c>
      <c r="N156" s="14">
        <f t="shared" si="37"/>
        <v>0</v>
      </c>
      <c r="O156" s="14">
        <f t="shared" si="38"/>
        <v>0</v>
      </c>
      <c r="P156" s="14">
        <f t="shared" si="39"/>
        <v>0</v>
      </c>
      <c r="Q156" s="14">
        <f t="shared" si="40"/>
        <v>0</v>
      </c>
      <c r="R156" s="14">
        <f t="shared" si="41"/>
        <v>0</v>
      </c>
      <c r="S156" s="14">
        <f t="shared" si="42"/>
        <v>0</v>
      </c>
      <c r="T156" s="14">
        <f t="shared" si="43"/>
        <v>0</v>
      </c>
      <c r="U156" s="14">
        <f t="shared" si="44"/>
        <v>0</v>
      </c>
      <c r="V156" s="39" t="str">
        <f t="shared" si="45"/>
        <v>ok</v>
      </c>
    </row>
    <row r="157" spans="1:30" s="9" customFormat="1" x14ac:dyDescent="0.2">
      <c r="A157" s="13">
        <v>818</v>
      </c>
      <c r="B157" s="61" t="s">
        <v>667</v>
      </c>
      <c r="C157" s="4" t="s">
        <v>489</v>
      </c>
      <c r="D157" s="4" t="s">
        <v>128</v>
      </c>
      <c r="E157" s="4"/>
      <c r="F157" s="64">
        <v>0</v>
      </c>
      <c r="G157" s="14">
        <f t="shared" si="30"/>
        <v>0</v>
      </c>
      <c r="H157" s="14">
        <f t="shared" si="31"/>
        <v>0</v>
      </c>
      <c r="I157" s="14">
        <f t="shared" si="32"/>
        <v>0</v>
      </c>
      <c r="J157" s="14">
        <f t="shared" si="33"/>
        <v>0</v>
      </c>
      <c r="K157" s="14">
        <f t="shared" si="34"/>
        <v>0</v>
      </c>
      <c r="L157" s="14">
        <f t="shared" si="35"/>
        <v>0</v>
      </c>
      <c r="M157" s="14">
        <f t="shared" si="36"/>
        <v>0</v>
      </c>
      <c r="N157" s="14">
        <f t="shared" si="37"/>
        <v>0</v>
      </c>
      <c r="O157" s="14">
        <f t="shared" si="38"/>
        <v>0</v>
      </c>
      <c r="P157" s="14">
        <f t="shared" si="39"/>
        <v>0</v>
      </c>
      <c r="Q157" s="14">
        <f t="shared" si="40"/>
        <v>0</v>
      </c>
      <c r="R157" s="14">
        <f t="shared" si="41"/>
        <v>0</v>
      </c>
      <c r="S157" s="14">
        <f t="shared" si="42"/>
        <v>0</v>
      </c>
      <c r="T157" s="14">
        <f t="shared" si="43"/>
        <v>0</v>
      </c>
      <c r="U157" s="14">
        <f t="shared" si="44"/>
        <v>0</v>
      </c>
      <c r="V157" s="39" t="str">
        <f t="shared" si="45"/>
        <v>ok</v>
      </c>
    </row>
    <row r="158" spans="1:30" s="9" customFormat="1" x14ac:dyDescent="0.2">
      <c r="A158" s="13">
        <v>819</v>
      </c>
      <c r="B158" s="61" t="s">
        <v>408</v>
      </c>
      <c r="C158" s="4" t="s">
        <v>490</v>
      </c>
      <c r="D158" s="4" t="s">
        <v>128</v>
      </c>
      <c r="E158" s="4"/>
      <c r="F158" s="64">
        <v>0</v>
      </c>
      <c r="G158" s="14">
        <f t="shared" si="30"/>
        <v>0</v>
      </c>
      <c r="H158" s="14">
        <f t="shared" si="31"/>
        <v>0</v>
      </c>
      <c r="I158" s="14">
        <f t="shared" si="32"/>
        <v>0</v>
      </c>
      <c r="J158" s="14">
        <f t="shared" si="33"/>
        <v>0</v>
      </c>
      <c r="K158" s="14">
        <f t="shared" si="34"/>
        <v>0</v>
      </c>
      <c r="L158" s="14">
        <f t="shared" si="35"/>
        <v>0</v>
      </c>
      <c r="M158" s="14">
        <f t="shared" si="36"/>
        <v>0</v>
      </c>
      <c r="N158" s="14">
        <f t="shared" si="37"/>
        <v>0</v>
      </c>
      <c r="O158" s="14">
        <f t="shared" si="38"/>
        <v>0</v>
      </c>
      <c r="P158" s="14">
        <f t="shared" si="39"/>
        <v>0</v>
      </c>
      <c r="Q158" s="14">
        <f t="shared" si="40"/>
        <v>0</v>
      </c>
      <c r="R158" s="14">
        <f t="shared" si="41"/>
        <v>0</v>
      </c>
      <c r="S158" s="14">
        <f t="shared" si="42"/>
        <v>0</v>
      </c>
      <c r="T158" s="14">
        <f t="shared" si="43"/>
        <v>0</v>
      </c>
      <c r="U158" s="14">
        <f t="shared" si="44"/>
        <v>0</v>
      </c>
      <c r="V158" s="39" t="str">
        <f t="shared" si="45"/>
        <v>ok</v>
      </c>
    </row>
    <row r="159" spans="1:30" s="9" customFormat="1" x14ac:dyDescent="0.2">
      <c r="A159" s="13">
        <v>820</v>
      </c>
      <c r="B159" s="61" t="s">
        <v>409</v>
      </c>
      <c r="C159" s="4" t="s">
        <v>491</v>
      </c>
      <c r="D159" s="4" t="s">
        <v>24</v>
      </c>
      <c r="E159" s="4"/>
      <c r="F159" s="64">
        <v>0</v>
      </c>
      <c r="G159" s="14">
        <f t="shared" si="30"/>
        <v>0</v>
      </c>
      <c r="H159" s="14">
        <f t="shared" si="31"/>
        <v>0</v>
      </c>
      <c r="I159" s="14">
        <f t="shared" si="32"/>
        <v>0</v>
      </c>
      <c r="J159" s="14">
        <f t="shared" si="33"/>
        <v>0</v>
      </c>
      <c r="K159" s="14">
        <f t="shared" si="34"/>
        <v>0</v>
      </c>
      <c r="L159" s="14">
        <f t="shared" si="35"/>
        <v>0</v>
      </c>
      <c r="M159" s="14">
        <f t="shared" si="36"/>
        <v>0</v>
      </c>
      <c r="N159" s="14">
        <f t="shared" si="37"/>
        <v>0</v>
      </c>
      <c r="O159" s="14">
        <f t="shared" si="38"/>
        <v>0</v>
      </c>
      <c r="P159" s="14">
        <f t="shared" si="39"/>
        <v>0</v>
      </c>
      <c r="Q159" s="14">
        <f t="shared" si="40"/>
        <v>0</v>
      </c>
      <c r="R159" s="14">
        <f t="shared" si="41"/>
        <v>0</v>
      </c>
      <c r="S159" s="14">
        <f t="shared" si="42"/>
        <v>0</v>
      </c>
      <c r="T159" s="14">
        <f t="shared" si="43"/>
        <v>0</v>
      </c>
      <c r="U159" s="14">
        <f t="shared" si="44"/>
        <v>0</v>
      </c>
      <c r="V159" s="39" t="str">
        <f t="shared" si="45"/>
        <v>ok</v>
      </c>
    </row>
    <row r="160" spans="1:30" s="9" customFormat="1" x14ac:dyDescent="0.2">
      <c r="A160" s="13">
        <v>821</v>
      </c>
      <c r="B160" s="61" t="s">
        <v>668</v>
      </c>
      <c r="C160" s="4" t="s">
        <v>492</v>
      </c>
      <c r="D160" s="4" t="s">
        <v>128</v>
      </c>
      <c r="E160" s="4"/>
      <c r="F160" s="64">
        <v>0</v>
      </c>
      <c r="G160" s="14">
        <f t="shared" si="30"/>
        <v>0</v>
      </c>
      <c r="H160" s="14">
        <f t="shared" si="31"/>
        <v>0</v>
      </c>
      <c r="I160" s="14">
        <f t="shared" si="32"/>
        <v>0</v>
      </c>
      <c r="J160" s="14">
        <f t="shared" si="33"/>
        <v>0</v>
      </c>
      <c r="K160" s="14">
        <f t="shared" si="34"/>
        <v>0</v>
      </c>
      <c r="L160" s="14">
        <f t="shared" si="35"/>
        <v>0</v>
      </c>
      <c r="M160" s="14">
        <f t="shared" si="36"/>
        <v>0</v>
      </c>
      <c r="N160" s="14">
        <f t="shared" si="37"/>
        <v>0</v>
      </c>
      <c r="O160" s="14">
        <f t="shared" si="38"/>
        <v>0</v>
      </c>
      <c r="P160" s="14">
        <f t="shared" si="39"/>
        <v>0</v>
      </c>
      <c r="Q160" s="14">
        <f t="shared" si="40"/>
        <v>0</v>
      </c>
      <c r="R160" s="14">
        <f t="shared" si="41"/>
        <v>0</v>
      </c>
      <c r="S160" s="14">
        <f t="shared" si="42"/>
        <v>0</v>
      </c>
      <c r="T160" s="14">
        <f t="shared" si="43"/>
        <v>0</v>
      </c>
      <c r="U160" s="14">
        <f t="shared" si="44"/>
        <v>0</v>
      </c>
      <c r="V160" s="39" t="str">
        <f t="shared" si="45"/>
        <v>ok</v>
      </c>
    </row>
    <row r="161" spans="1:22" s="9" customFormat="1" x14ac:dyDescent="0.2">
      <c r="A161" s="13">
        <v>823</v>
      </c>
      <c r="B161" s="61" t="s">
        <v>410</v>
      </c>
      <c r="C161" s="4" t="s">
        <v>493</v>
      </c>
      <c r="D161" s="4" t="s">
        <v>128</v>
      </c>
      <c r="E161" s="4"/>
      <c r="F161" s="64">
        <v>0</v>
      </c>
      <c r="G161" s="14">
        <f t="shared" si="30"/>
        <v>0</v>
      </c>
      <c r="H161" s="14">
        <f t="shared" si="31"/>
        <v>0</v>
      </c>
      <c r="I161" s="14">
        <f t="shared" si="32"/>
        <v>0</v>
      </c>
      <c r="J161" s="14">
        <f t="shared" si="33"/>
        <v>0</v>
      </c>
      <c r="K161" s="14">
        <f t="shared" si="34"/>
        <v>0</v>
      </c>
      <c r="L161" s="14">
        <f t="shared" si="35"/>
        <v>0</v>
      </c>
      <c r="M161" s="14">
        <f t="shared" si="36"/>
        <v>0</v>
      </c>
      <c r="N161" s="14">
        <f t="shared" si="37"/>
        <v>0</v>
      </c>
      <c r="O161" s="14">
        <f t="shared" si="38"/>
        <v>0</v>
      </c>
      <c r="P161" s="14">
        <f t="shared" si="39"/>
        <v>0</v>
      </c>
      <c r="Q161" s="14">
        <f t="shared" si="40"/>
        <v>0</v>
      </c>
      <c r="R161" s="14">
        <f t="shared" si="41"/>
        <v>0</v>
      </c>
      <c r="S161" s="14">
        <f t="shared" si="42"/>
        <v>0</v>
      </c>
      <c r="T161" s="14">
        <f t="shared" si="43"/>
        <v>0</v>
      </c>
      <c r="U161" s="14">
        <f t="shared" si="44"/>
        <v>0</v>
      </c>
      <c r="V161" s="39" t="str">
        <f t="shared" si="45"/>
        <v>ok</v>
      </c>
    </row>
    <row r="162" spans="1:22" s="9" customFormat="1" x14ac:dyDescent="0.2">
      <c r="A162" s="13">
        <v>824</v>
      </c>
      <c r="B162" s="61" t="s">
        <v>109</v>
      </c>
      <c r="C162" s="4" t="s">
        <v>494</v>
      </c>
      <c r="D162" s="4" t="s">
        <v>128</v>
      </c>
      <c r="E162" s="4"/>
      <c r="F162" s="64">
        <v>0</v>
      </c>
      <c r="G162" s="14">
        <f t="shared" si="30"/>
        <v>0</v>
      </c>
      <c r="H162" s="14">
        <f t="shared" si="31"/>
        <v>0</v>
      </c>
      <c r="I162" s="14">
        <f t="shared" si="32"/>
        <v>0</v>
      </c>
      <c r="J162" s="14">
        <f t="shared" si="33"/>
        <v>0</v>
      </c>
      <c r="K162" s="14">
        <f t="shared" si="34"/>
        <v>0</v>
      </c>
      <c r="L162" s="14">
        <f t="shared" si="35"/>
        <v>0</v>
      </c>
      <c r="M162" s="14">
        <f t="shared" si="36"/>
        <v>0</v>
      </c>
      <c r="N162" s="14">
        <f t="shared" si="37"/>
        <v>0</v>
      </c>
      <c r="O162" s="14">
        <f t="shared" si="38"/>
        <v>0</v>
      </c>
      <c r="P162" s="14">
        <f t="shared" si="39"/>
        <v>0</v>
      </c>
      <c r="Q162" s="14">
        <f t="shared" si="40"/>
        <v>0</v>
      </c>
      <c r="R162" s="14">
        <f t="shared" si="41"/>
        <v>0</v>
      </c>
      <c r="S162" s="14">
        <f t="shared" si="42"/>
        <v>0</v>
      </c>
      <c r="T162" s="14">
        <f t="shared" si="43"/>
        <v>0</v>
      </c>
      <c r="U162" s="14">
        <f t="shared" si="44"/>
        <v>0</v>
      </c>
      <c r="V162" s="39" t="str">
        <f t="shared" si="45"/>
        <v>ok</v>
      </c>
    </row>
    <row r="163" spans="1:22" s="9" customFormat="1" x14ac:dyDescent="0.2">
      <c r="A163" s="13">
        <v>825</v>
      </c>
      <c r="B163" s="61" t="s">
        <v>411</v>
      </c>
      <c r="C163" s="4" t="s">
        <v>495</v>
      </c>
      <c r="D163" s="4" t="s">
        <v>24</v>
      </c>
      <c r="E163" s="4"/>
      <c r="F163" s="64">
        <v>0</v>
      </c>
      <c r="G163" s="14">
        <f t="shared" si="30"/>
        <v>0</v>
      </c>
      <c r="H163" s="14">
        <f t="shared" si="31"/>
        <v>0</v>
      </c>
      <c r="I163" s="14">
        <f t="shared" si="32"/>
        <v>0</v>
      </c>
      <c r="J163" s="14">
        <f t="shared" si="33"/>
        <v>0</v>
      </c>
      <c r="K163" s="14">
        <f t="shared" si="34"/>
        <v>0</v>
      </c>
      <c r="L163" s="14">
        <f t="shared" si="35"/>
        <v>0</v>
      </c>
      <c r="M163" s="14">
        <f t="shared" si="36"/>
        <v>0</v>
      </c>
      <c r="N163" s="14">
        <f t="shared" si="37"/>
        <v>0</v>
      </c>
      <c r="O163" s="14">
        <f t="shared" si="38"/>
        <v>0</v>
      </c>
      <c r="P163" s="14">
        <f t="shared" si="39"/>
        <v>0</v>
      </c>
      <c r="Q163" s="14">
        <f t="shared" si="40"/>
        <v>0</v>
      </c>
      <c r="R163" s="14">
        <f t="shared" si="41"/>
        <v>0</v>
      </c>
      <c r="S163" s="14">
        <f t="shared" si="42"/>
        <v>0</v>
      </c>
      <c r="T163" s="14">
        <f t="shared" si="43"/>
        <v>0</v>
      </c>
      <c r="U163" s="14">
        <f t="shared" si="44"/>
        <v>0</v>
      </c>
      <c r="V163" s="39" t="str">
        <f t="shared" si="45"/>
        <v>ok</v>
      </c>
    </row>
    <row r="164" spans="1:22" s="9" customFormat="1" x14ac:dyDescent="0.2">
      <c r="A164" s="13">
        <v>826</v>
      </c>
      <c r="B164" s="61" t="s">
        <v>112</v>
      </c>
      <c r="C164" s="4" t="s">
        <v>496</v>
      </c>
      <c r="D164" s="4" t="s">
        <v>24</v>
      </c>
      <c r="E164" s="4"/>
      <c r="F164" s="64">
        <v>0</v>
      </c>
      <c r="G164" s="14">
        <f t="shared" si="30"/>
        <v>0</v>
      </c>
      <c r="H164" s="14">
        <f t="shared" si="31"/>
        <v>0</v>
      </c>
      <c r="I164" s="14">
        <f t="shared" si="32"/>
        <v>0</v>
      </c>
      <c r="J164" s="14">
        <f t="shared" si="33"/>
        <v>0</v>
      </c>
      <c r="K164" s="14">
        <f t="shared" si="34"/>
        <v>0</v>
      </c>
      <c r="L164" s="14">
        <f t="shared" si="35"/>
        <v>0</v>
      </c>
      <c r="M164" s="14">
        <f t="shared" si="36"/>
        <v>0</v>
      </c>
      <c r="N164" s="14">
        <f t="shared" si="37"/>
        <v>0</v>
      </c>
      <c r="O164" s="14">
        <f t="shared" si="38"/>
        <v>0</v>
      </c>
      <c r="P164" s="14">
        <f t="shared" si="39"/>
        <v>0</v>
      </c>
      <c r="Q164" s="14">
        <f t="shared" si="40"/>
        <v>0</v>
      </c>
      <c r="R164" s="14">
        <f t="shared" si="41"/>
        <v>0</v>
      </c>
      <c r="S164" s="14">
        <f t="shared" si="42"/>
        <v>0</v>
      </c>
      <c r="T164" s="14">
        <f t="shared" si="43"/>
        <v>0</v>
      </c>
      <c r="U164" s="14">
        <f t="shared" si="44"/>
        <v>0</v>
      </c>
      <c r="V164" s="39" t="str">
        <f t="shared" si="45"/>
        <v>ok</v>
      </c>
    </row>
    <row r="165" spans="1:22" s="9" customFormat="1" x14ac:dyDescent="0.2">
      <c r="A165" s="13"/>
      <c r="B165" s="61"/>
      <c r="C165" s="4"/>
      <c r="D165" s="4"/>
      <c r="E165" s="4"/>
      <c r="F165" s="64"/>
      <c r="G165" s="4"/>
      <c r="H165" s="4"/>
      <c r="I165" s="4"/>
      <c r="J165" s="4"/>
      <c r="K165" s="4"/>
      <c r="L165" s="4"/>
      <c r="M165" s="4"/>
      <c r="N165" s="4"/>
    </row>
    <row r="166" spans="1:22" s="9" customFormat="1" x14ac:dyDescent="0.2">
      <c r="A166" s="13" t="s">
        <v>629</v>
      </c>
      <c r="B166" s="61"/>
      <c r="C166" s="4" t="s">
        <v>542</v>
      </c>
      <c r="D166" s="4"/>
      <c r="E166" s="4"/>
      <c r="F166" s="59">
        <f>SUM(F153:F165)</f>
        <v>60924.63</v>
      </c>
      <c r="G166" s="15">
        <f t="shared" ref="G166:T166" si="46">SUM(G153:G165)</f>
        <v>0</v>
      </c>
      <c r="H166" s="15">
        <f t="shared" si="46"/>
        <v>0</v>
      </c>
      <c r="I166" s="15">
        <f t="shared" si="46"/>
        <v>60924.63</v>
      </c>
      <c r="J166" s="15">
        <f t="shared" si="46"/>
        <v>0</v>
      </c>
      <c r="K166" s="15">
        <f t="shared" si="46"/>
        <v>0</v>
      </c>
      <c r="L166" s="15">
        <f t="shared" si="46"/>
        <v>0</v>
      </c>
      <c r="M166" s="15">
        <f t="shared" si="46"/>
        <v>0</v>
      </c>
      <c r="N166" s="15">
        <f t="shared" si="46"/>
        <v>0</v>
      </c>
      <c r="O166" s="15">
        <f t="shared" si="46"/>
        <v>0</v>
      </c>
      <c r="P166" s="15">
        <f t="shared" si="46"/>
        <v>0</v>
      </c>
      <c r="Q166" s="15">
        <f t="shared" si="46"/>
        <v>0</v>
      </c>
      <c r="R166" s="15">
        <f t="shared" si="46"/>
        <v>0</v>
      </c>
      <c r="S166" s="15">
        <f t="shared" si="46"/>
        <v>0</v>
      </c>
      <c r="T166" s="15">
        <f t="shared" si="46"/>
        <v>0</v>
      </c>
      <c r="U166" s="14">
        <f>SUM(G166:T166)</f>
        <v>60924.63</v>
      </c>
      <c r="V166" s="39" t="str">
        <f>IF(ABS(U166-F166)&lt;1,"ok","err")</f>
        <v>ok</v>
      </c>
    </row>
    <row r="167" spans="1:22" s="9" customFormat="1" x14ac:dyDescent="0.2">
      <c r="A167" s="13"/>
      <c r="B167" s="61"/>
      <c r="C167" s="4"/>
      <c r="D167" s="4"/>
      <c r="E167" s="4"/>
      <c r="F167" s="64"/>
      <c r="G167" s="4"/>
      <c r="H167" s="4"/>
      <c r="I167" s="4"/>
      <c r="J167" s="4"/>
      <c r="K167" s="4"/>
      <c r="L167" s="4"/>
      <c r="M167" s="4"/>
      <c r="N167" s="4"/>
    </row>
    <row r="168" spans="1:22" s="9" customFormat="1" x14ac:dyDescent="0.2">
      <c r="A168" s="8"/>
      <c r="B168" s="61"/>
      <c r="C168" s="4"/>
      <c r="D168" s="4"/>
      <c r="E168" s="4"/>
      <c r="F168" s="65"/>
      <c r="G168" s="16"/>
      <c r="H168" s="4"/>
      <c r="I168" s="4"/>
      <c r="J168" s="4"/>
      <c r="K168" s="4"/>
      <c r="L168" s="4"/>
      <c r="M168" s="4"/>
      <c r="N168" s="4"/>
    </row>
    <row r="169" spans="1:22" s="9" customFormat="1" x14ac:dyDescent="0.2">
      <c r="A169" s="13"/>
      <c r="B169" s="61"/>
      <c r="C169" s="4"/>
      <c r="D169" s="4"/>
      <c r="E169" s="4"/>
      <c r="F169" s="65"/>
      <c r="G169" s="16"/>
      <c r="H169" s="4"/>
      <c r="I169" s="4"/>
      <c r="J169" s="4"/>
      <c r="K169" s="4"/>
      <c r="L169" s="4"/>
      <c r="M169" s="4"/>
      <c r="N169" s="4"/>
    </row>
    <row r="170" spans="1:22" s="9" customFormat="1" x14ac:dyDescent="0.2">
      <c r="A170" s="8" t="s">
        <v>466</v>
      </c>
      <c r="B170" s="61"/>
      <c r="C170" s="4"/>
      <c r="D170" s="4"/>
      <c r="E170" s="4"/>
      <c r="F170" s="65"/>
      <c r="G170" s="16"/>
      <c r="H170" s="4"/>
      <c r="I170" s="4"/>
      <c r="J170" s="4"/>
      <c r="K170" s="4"/>
      <c r="L170" s="4"/>
      <c r="M170" s="4"/>
      <c r="N170" s="4"/>
    </row>
    <row r="171" spans="1:22" s="9" customFormat="1" x14ac:dyDescent="0.2">
      <c r="A171" s="13" t="s">
        <v>467</v>
      </c>
      <c r="B171" s="61"/>
      <c r="C171" s="4"/>
      <c r="D171" s="4"/>
      <c r="E171" s="4"/>
      <c r="F171" s="65"/>
      <c r="G171" s="16"/>
      <c r="H171" s="4"/>
      <c r="I171" s="4"/>
      <c r="J171" s="4"/>
      <c r="K171" s="4"/>
      <c r="L171" s="4"/>
      <c r="M171" s="4"/>
      <c r="N171" s="4"/>
    </row>
    <row r="172" spans="1:22" s="9" customFormat="1" x14ac:dyDescent="0.2">
      <c r="A172" s="13">
        <v>830</v>
      </c>
      <c r="B172" s="61" t="s">
        <v>412</v>
      </c>
      <c r="C172" s="4" t="s">
        <v>497</v>
      </c>
      <c r="D172" s="4" t="s">
        <v>632</v>
      </c>
      <c r="E172" s="4"/>
      <c r="F172" s="59">
        <v>0</v>
      </c>
      <c r="G172" s="14">
        <f t="shared" ref="G172:G179" si="47">(VLOOKUP($D172,$C$5:$AH$1004,5,)/VLOOKUP($D172,$C$5:$AH$1004,4,))*$F172</f>
        <v>0</v>
      </c>
      <c r="H172" s="14">
        <f t="shared" ref="H172:H179" si="48">(VLOOKUP($D172,$C$5:$AH$1004,6,)/VLOOKUP($D172,$C$5:$AH$1004,4,))*$F172</f>
        <v>0</v>
      </c>
      <c r="I172" s="14">
        <f t="shared" ref="I172:I179" si="49">(VLOOKUP($D172,$C$5:$AH$1004,7,)/VLOOKUP($D172,$C$5:$AH$1004,4,))*$F172</f>
        <v>0</v>
      </c>
      <c r="J172" s="14">
        <f t="shared" ref="J172:J179" si="50">(VLOOKUP($D172,$C$5:$AH$1004,8,)/VLOOKUP($D172,$C$5:$AH$1004,4,))*$F172</f>
        <v>0</v>
      </c>
      <c r="K172" s="14">
        <f t="shared" ref="K172:K179" si="51">(VLOOKUP($D172,$C$5:$AH$1004,9,)/VLOOKUP($D172,$C$5:$AH$1004,4,))*$F172</f>
        <v>0</v>
      </c>
      <c r="L172" s="14">
        <f t="shared" ref="L172:L179" si="52">(VLOOKUP($D172,$C$5:$AH$1004,10,)/VLOOKUP($D172,$C$5:$AH$1004,4,))*$F172</f>
        <v>0</v>
      </c>
      <c r="M172" s="14">
        <f t="shared" ref="M172:M179" si="53">(VLOOKUP($D172,$C$5:$AH$1004,11,)/VLOOKUP($D172,$C$5:$AH$1004,4,))*$F172</f>
        <v>0</v>
      </c>
      <c r="N172" s="14">
        <f t="shared" ref="N172:N179" si="54">(VLOOKUP($D172,$C$5:$AH$1004,12,)/VLOOKUP($D172,$C$5:$AH$1004,4,))*$F172</f>
        <v>0</v>
      </c>
      <c r="O172" s="14">
        <f t="shared" ref="O172:O179" si="55">(VLOOKUP($D172,$C$5:$AH$1004,13,)/VLOOKUP($D172,$C$5:$AH$1004,4,))*$F172</f>
        <v>0</v>
      </c>
      <c r="P172" s="14">
        <f t="shared" ref="P172:P179" si="56">(VLOOKUP($D172,$C$5:$AH$1004,14,)/VLOOKUP($D172,$C$5:$AH$1004,4,))*$F172</f>
        <v>0</v>
      </c>
      <c r="Q172" s="14">
        <f t="shared" ref="Q172:Q179" si="57">(VLOOKUP($D172,$C$5:$AH$1004,15,)/VLOOKUP($D172,$C$5:$AH$1004,4,))*$F172</f>
        <v>0</v>
      </c>
      <c r="R172" s="14">
        <f t="shared" ref="R172:R179" si="58">(VLOOKUP($D172,$C$5:$AH$1004,16,)/VLOOKUP($D172,$C$5:$AH$1004,4,))*$F172</f>
        <v>0</v>
      </c>
      <c r="S172" s="14">
        <f t="shared" ref="S172:S179" si="59">(VLOOKUP($D172,$C$5:$AH$1004,17,)/VLOOKUP($D172,$C$5:$AH$1004,4,))*$F172</f>
        <v>0</v>
      </c>
      <c r="T172" s="14">
        <f t="shared" ref="T172:T179" si="60">(VLOOKUP($D172,$C$5:$AH$1004,18,)/VLOOKUP($D172,$C$5:$AH$1004,4,))*$F172</f>
        <v>0</v>
      </c>
      <c r="U172" s="14">
        <f>SUM(G172:T172)</f>
        <v>0</v>
      </c>
      <c r="V172" s="39" t="str">
        <f>IF(ABS(U172-F172)&lt;1,"ok","err")</f>
        <v>ok</v>
      </c>
    </row>
    <row r="173" spans="1:22" s="9" customFormat="1" x14ac:dyDescent="0.2">
      <c r="A173" s="13">
        <v>831</v>
      </c>
      <c r="B173" s="61" t="s">
        <v>115</v>
      </c>
      <c r="C173" s="4" t="s">
        <v>498</v>
      </c>
      <c r="D173" s="4" t="s">
        <v>24</v>
      </c>
      <c r="E173" s="4"/>
      <c r="F173" s="64">
        <v>0</v>
      </c>
      <c r="G173" s="14">
        <f t="shared" si="47"/>
        <v>0</v>
      </c>
      <c r="H173" s="14">
        <f t="shared" si="48"/>
        <v>0</v>
      </c>
      <c r="I173" s="14">
        <f t="shared" si="49"/>
        <v>0</v>
      </c>
      <c r="J173" s="14">
        <f t="shared" si="50"/>
        <v>0</v>
      </c>
      <c r="K173" s="14">
        <f t="shared" si="51"/>
        <v>0</v>
      </c>
      <c r="L173" s="14">
        <f t="shared" si="52"/>
        <v>0</v>
      </c>
      <c r="M173" s="14">
        <f t="shared" si="53"/>
        <v>0</v>
      </c>
      <c r="N173" s="14">
        <f t="shared" si="54"/>
        <v>0</v>
      </c>
      <c r="O173" s="14">
        <f t="shared" si="55"/>
        <v>0</v>
      </c>
      <c r="P173" s="14">
        <f t="shared" si="56"/>
        <v>0</v>
      </c>
      <c r="Q173" s="14">
        <f t="shared" si="57"/>
        <v>0</v>
      </c>
      <c r="R173" s="14">
        <f t="shared" si="58"/>
        <v>0</v>
      </c>
      <c r="S173" s="14">
        <f t="shared" si="59"/>
        <v>0</v>
      </c>
      <c r="T173" s="14">
        <f t="shared" si="60"/>
        <v>0</v>
      </c>
      <c r="U173" s="14">
        <f t="shared" ref="U173:U179" si="61">SUM(G173:T173)</f>
        <v>0</v>
      </c>
      <c r="V173" s="39" t="str">
        <f t="shared" ref="V173:V179" si="62">IF(ABS(U173-F173)&lt;1,"ok","err")</f>
        <v>ok</v>
      </c>
    </row>
    <row r="174" spans="1:22" s="9" customFormat="1" x14ac:dyDescent="0.2">
      <c r="A174" s="13">
        <v>832</v>
      </c>
      <c r="B174" s="61" t="s">
        <v>413</v>
      </c>
      <c r="C174" s="4" t="s">
        <v>499</v>
      </c>
      <c r="D174" s="4" t="s">
        <v>24</v>
      </c>
      <c r="E174" s="4"/>
      <c r="F174" s="64">
        <v>19151.82</v>
      </c>
      <c r="G174" s="14">
        <f t="shared" si="47"/>
        <v>0</v>
      </c>
      <c r="H174" s="14">
        <f t="shared" si="48"/>
        <v>0</v>
      </c>
      <c r="I174" s="14">
        <f t="shared" si="49"/>
        <v>19151.82</v>
      </c>
      <c r="J174" s="14">
        <f t="shared" si="50"/>
        <v>0</v>
      </c>
      <c r="K174" s="14">
        <f t="shared" si="51"/>
        <v>0</v>
      </c>
      <c r="L174" s="14">
        <f t="shared" si="52"/>
        <v>0</v>
      </c>
      <c r="M174" s="14">
        <f t="shared" si="53"/>
        <v>0</v>
      </c>
      <c r="N174" s="14">
        <f t="shared" si="54"/>
        <v>0</v>
      </c>
      <c r="O174" s="14">
        <f t="shared" si="55"/>
        <v>0</v>
      </c>
      <c r="P174" s="14">
        <f t="shared" si="56"/>
        <v>0</v>
      </c>
      <c r="Q174" s="14">
        <f t="shared" si="57"/>
        <v>0</v>
      </c>
      <c r="R174" s="14">
        <f t="shared" si="58"/>
        <v>0</v>
      </c>
      <c r="S174" s="14">
        <f t="shared" si="59"/>
        <v>0</v>
      </c>
      <c r="T174" s="14">
        <f t="shared" si="60"/>
        <v>0</v>
      </c>
      <c r="U174" s="14">
        <f t="shared" si="61"/>
        <v>19151.82</v>
      </c>
      <c r="V174" s="39" t="str">
        <f t="shared" si="62"/>
        <v>ok</v>
      </c>
    </row>
    <row r="175" spans="1:22" s="9" customFormat="1" x14ac:dyDescent="0.2">
      <c r="A175" s="13">
        <v>833</v>
      </c>
      <c r="B175" s="61" t="s">
        <v>118</v>
      </c>
      <c r="C175" s="4" t="s">
        <v>500</v>
      </c>
      <c r="D175" s="4" t="s">
        <v>24</v>
      </c>
      <c r="E175" s="4"/>
      <c r="F175" s="64">
        <v>0</v>
      </c>
      <c r="G175" s="14">
        <f t="shared" si="47"/>
        <v>0</v>
      </c>
      <c r="H175" s="14">
        <f t="shared" si="48"/>
        <v>0</v>
      </c>
      <c r="I175" s="14">
        <f t="shared" si="49"/>
        <v>0</v>
      </c>
      <c r="J175" s="14">
        <f t="shared" si="50"/>
        <v>0</v>
      </c>
      <c r="K175" s="14">
        <f t="shared" si="51"/>
        <v>0</v>
      </c>
      <c r="L175" s="14">
        <f t="shared" si="52"/>
        <v>0</v>
      </c>
      <c r="M175" s="14">
        <f t="shared" si="53"/>
        <v>0</v>
      </c>
      <c r="N175" s="14">
        <f t="shared" si="54"/>
        <v>0</v>
      </c>
      <c r="O175" s="14">
        <f t="shared" si="55"/>
        <v>0</v>
      </c>
      <c r="P175" s="14">
        <f t="shared" si="56"/>
        <v>0</v>
      </c>
      <c r="Q175" s="14">
        <f t="shared" si="57"/>
        <v>0</v>
      </c>
      <c r="R175" s="14">
        <f t="shared" si="58"/>
        <v>0</v>
      </c>
      <c r="S175" s="14">
        <f t="shared" si="59"/>
        <v>0</v>
      </c>
      <c r="T175" s="14">
        <f t="shared" si="60"/>
        <v>0</v>
      </c>
      <c r="U175" s="14">
        <f t="shared" si="61"/>
        <v>0</v>
      </c>
      <c r="V175" s="39" t="str">
        <f t="shared" si="62"/>
        <v>ok</v>
      </c>
    </row>
    <row r="176" spans="1:22" s="9" customFormat="1" x14ac:dyDescent="0.2">
      <c r="A176" s="13">
        <v>834</v>
      </c>
      <c r="B176" s="61" t="s">
        <v>414</v>
      </c>
      <c r="C176" s="4" t="s">
        <v>501</v>
      </c>
      <c r="D176" s="4" t="s">
        <v>128</v>
      </c>
      <c r="E176" s="4"/>
      <c r="F176" s="64">
        <v>0</v>
      </c>
      <c r="G176" s="14">
        <f t="shared" si="47"/>
        <v>0</v>
      </c>
      <c r="H176" s="14">
        <f t="shared" si="48"/>
        <v>0</v>
      </c>
      <c r="I176" s="14">
        <f t="shared" si="49"/>
        <v>0</v>
      </c>
      <c r="J176" s="14">
        <f t="shared" si="50"/>
        <v>0</v>
      </c>
      <c r="K176" s="14">
        <f t="shared" si="51"/>
        <v>0</v>
      </c>
      <c r="L176" s="14">
        <f t="shared" si="52"/>
        <v>0</v>
      </c>
      <c r="M176" s="14">
        <f t="shared" si="53"/>
        <v>0</v>
      </c>
      <c r="N176" s="14">
        <f t="shared" si="54"/>
        <v>0</v>
      </c>
      <c r="O176" s="14">
        <f t="shared" si="55"/>
        <v>0</v>
      </c>
      <c r="P176" s="14">
        <f t="shared" si="56"/>
        <v>0</v>
      </c>
      <c r="Q176" s="14">
        <f t="shared" si="57"/>
        <v>0</v>
      </c>
      <c r="R176" s="14">
        <f t="shared" si="58"/>
        <v>0</v>
      </c>
      <c r="S176" s="14">
        <f t="shared" si="59"/>
        <v>0</v>
      </c>
      <c r="T176" s="14">
        <f t="shared" si="60"/>
        <v>0</v>
      </c>
      <c r="U176" s="14">
        <f t="shared" si="61"/>
        <v>0</v>
      </c>
      <c r="V176" s="39" t="str">
        <f t="shared" si="62"/>
        <v>ok</v>
      </c>
    </row>
    <row r="177" spans="1:30" s="9" customFormat="1" x14ac:dyDescent="0.2">
      <c r="A177" s="13">
        <v>835</v>
      </c>
      <c r="B177" s="61" t="s">
        <v>415</v>
      </c>
      <c r="C177" s="4" t="s">
        <v>502</v>
      </c>
      <c r="D177" s="4" t="s">
        <v>24</v>
      </c>
      <c r="E177" s="4"/>
      <c r="F177" s="64">
        <v>0</v>
      </c>
      <c r="G177" s="14">
        <f t="shared" si="47"/>
        <v>0</v>
      </c>
      <c r="H177" s="14">
        <f t="shared" si="48"/>
        <v>0</v>
      </c>
      <c r="I177" s="14">
        <f t="shared" si="49"/>
        <v>0</v>
      </c>
      <c r="J177" s="14">
        <f t="shared" si="50"/>
        <v>0</v>
      </c>
      <c r="K177" s="14">
        <f t="shared" si="51"/>
        <v>0</v>
      </c>
      <c r="L177" s="14">
        <f t="shared" si="52"/>
        <v>0</v>
      </c>
      <c r="M177" s="14">
        <f t="shared" si="53"/>
        <v>0</v>
      </c>
      <c r="N177" s="14">
        <f t="shared" si="54"/>
        <v>0</v>
      </c>
      <c r="O177" s="14">
        <f t="shared" si="55"/>
        <v>0</v>
      </c>
      <c r="P177" s="14">
        <f t="shared" si="56"/>
        <v>0</v>
      </c>
      <c r="Q177" s="14">
        <f t="shared" si="57"/>
        <v>0</v>
      </c>
      <c r="R177" s="14">
        <f t="shared" si="58"/>
        <v>0</v>
      </c>
      <c r="S177" s="14">
        <f t="shared" si="59"/>
        <v>0</v>
      </c>
      <c r="T177" s="14">
        <f t="shared" si="60"/>
        <v>0</v>
      </c>
      <c r="U177" s="14">
        <f t="shared" si="61"/>
        <v>0</v>
      </c>
      <c r="V177" s="39" t="str">
        <f t="shared" si="62"/>
        <v>ok</v>
      </c>
    </row>
    <row r="178" spans="1:30" s="9" customFormat="1" x14ac:dyDescent="0.2">
      <c r="A178" s="13">
        <v>836</v>
      </c>
      <c r="B178" s="61" t="s">
        <v>416</v>
      </c>
      <c r="C178" s="4" t="s">
        <v>503</v>
      </c>
      <c r="D178" s="4" t="s">
        <v>128</v>
      </c>
      <c r="E178" s="4"/>
      <c r="F178" s="64">
        <v>0</v>
      </c>
      <c r="G178" s="14">
        <f t="shared" si="47"/>
        <v>0</v>
      </c>
      <c r="H178" s="14">
        <f t="shared" si="48"/>
        <v>0</v>
      </c>
      <c r="I178" s="14">
        <f t="shared" si="49"/>
        <v>0</v>
      </c>
      <c r="J178" s="14">
        <f t="shared" si="50"/>
        <v>0</v>
      </c>
      <c r="K178" s="14">
        <f t="shared" si="51"/>
        <v>0</v>
      </c>
      <c r="L178" s="14">
        <f t="shared" si="52"/>
        <v>0</v>
      </c>
      <c r="M178" s="14">
        <f t="shared" si="53"/>
        <v>0</v>
      </c>
      <c r="N178" s="14">
        <f t="shared" si="54"/>
        <v>0</v>
      </c>
      <c r="O178" s="14">
        <f t="shared" si="55"/>
        <v>0</v>
      </c>
      <c r="P178" s="14">
        <f t="shared" si="56"/>
        <v>0</v>
      </c>
      <c r="Q178" s="14">
        <f t="shared" si="57"/>
        <v>0</v>
      </c>
      <c r="R178" s="14">
        <f t="shared" si="58"/>
        <v>0</v>
      </c>
      <c r="S178" s="14">
        <f t="shared" si="59"/>
        <v>0</v>
      </c>
      <c r="T178" s="14">
        <f t="shared" si="60"/>
        <v>0</v>
      </c>
      <c r="U178" s="14">
        <f t="shared" si="61"/>
        <v>0</v>
      </c>
      <c r="V178" s="39" t="str">
        <f t="shared" si="62"/>
        <v>ok</v>
      </c>
    </row>
    <row r="179" spans="1:30" s="9" customFormat="1" x14ac:dyDescent="0.2">
      <c r="A179" s="13">
        <v>837</v>
      </c>
      <c r="B179" s="61" t="s">
        <v>417</v>
      </c>
      <c r="C179" s="4" t="s">
        <v>504</v>
      </c>
      <c r="D179" s="4" t="s">
        <v>24</v>
      </c>
      <c r="E179" s="4"/>
      <c r="F179" s="64">
        <v>0</v>
      </c>
      <c r="G179" s="14">
        <f t="shared" si="47"/>
        <v>0</v>
      </c>
      <c r="H179" s="14">
        <f t="shared" si="48"/>
        <v>0</v>
      </c>
      <c r="I179" s="14">
        <f t="shared" si="49"/>
        <v>0</v>
      </c>
      <c r="J179" s="14">
        <f t="shared" si="50"/>
        <v>0</v>
      </c>
      <c r="K179" s="14">
        <f t="shared" si="51"/>
        <v>0</v>
      </c>
      <c r="L179" s="14">
        <f t="shared" si="52"/>
        <v>0</v>
      </c>
      <c r="M179" s="14">
        <f t="shared" si="53"/>
        <v>0</v>
      </c>
      <c r="N179" s="14">
        <f t="shared" si="54"/>
        <v>0</v>
      </c>
      <c r="O179" s="14">
        <f t="shared" si="55"/>
        <v>0</v>
      </c>
      <c r="P179" s="14">
        <f t="shared" si="56"/>
        <v>0</v>
      </c>
      <c r="Q179" s="14">
        <f t="shared" si="57"/>
        <v>0</v>
      </c>
      <c r="R179" s="14">
        <f t="shared" si="58"/>
        <v>0</v>
      </c>
      <c r="S179" s="14">
        <f t="shared" si="59"/>
        <v>0</v>
      </c>
      <c r="T179" s="14">
        <f t="shared" si="60"/>
        <v>0</v>
      </c>
      <c r="U179" s="14">
        <f t="shared" si="61"/>
        <v>0</v>
      </c>
      <c r="V179" s="39" t="str">
        <f t="shared" si="62"/>
        <v>ok</v>
      </c>
    </row>
    <row r="180" spans="1:30" s="9" customFormat="1" x14ac:dyDescent="0.2">
      <c r="A180" s="13"/>
      <c r="B180" s="61"/>
      <c r="C180" s="4"/>
      <c r="D180" s="4"/>
      <c r="E180" s="4"/>
      <c r="F180" s="64"/>
      <c r="G180" s="4"/>
      <c r="H180" s="4"/>
      <c r="I180" s="4"/>
      <c r="J180" s="4"/>
      <c r="K180" s="4"/>
      <c r="L180" s="4"/>
      <c r="M180" s="4"/>
      <c r="N180" s="4"/>
    </row>
    <row r="181" spans="1:30" s="9" customFormat="1" x14ac:dyDescent="0.2">
      <c r="A181" s="13" t="s">
        <v>189</v>
      </c>
      <c r="B181" s="61"/>
      <c r="C181" s="4" t="s">
        <v>541</v>
      </c>
      <c r="D181" s="4"/>
      <c r="E181" s="4"/>
      <c r="F181" s="59">
        <f>+SUM(F172:F179)</f>
        <v>19151.82</v>
      </c>
      <c r="G181" s="15">
        <f t="shared" ref="G181:T181" si="63">SUM(G172:G180)</f>
        <v>0</v>
      </c>
      <c r="H181" s="15">
        <f t="shared" si="63"/>
        <v>0</v>
      </c>
      <c r="I181" s="15">
        <f t="shared" si="63"/>
        <v>19151.82</v>
      </c>
      <c r="J181" s="15">
        <f t="shared" si="63"/>
        <v>0</v>
      </c>
      <c r="K181" s="15">
        <f t="shared" si="63"/>
        <v>0</v>
      </c>
      <c r="L181" s="15">
        <f t="shared" si="63"/>
        <v>0</v>
      </c>
      <c r="M181" s="15">
        <f t="shared" si="63"/>
        <v>0</v>
      </c>
      <c r="N181" s="15">
        <f t="shared" si="63"/>
        <v>0</v>
      </c>
      <c r="O181" s="15">
        <f t="shared" si="63"/>
        <v>0</v>
      </c>
      <c r="P181" s="15">
        <f t="shared" si="63"/>
        <v>0</v>
      </c>
      <c r="Q181" s="15">
        <f t="shared" si="63"/>
        <v>0</v>
      </c>
      <c r="R181" s="15">
        <f t="shared" si="63"/>
        <v>0</v>
      </c>
      <c r="S181" s="15">
        <f t="shared" si="63"/>
        <v>0</v>
      </c>
      <c r="T181" s="15">
        <f t="shared" si="63"/>
        <v>0</v>
      </c>
      <c r="U181" s="14">
        <f>SUM(G181:T181)</f>
        <v>19151.82</v>
      </c>
      <c r="V181" s="39" t="str">
        <f>IF(ABS(U181-F181)&lt;1,"ok","err")</f>
        <v>ok</v>
      </c>
    </row>
    <row r="182" spans="1:30" s="9" customFormat="1" x14ac:dyDescent="0.2">
      <c r="A182" s="13"/>
      <c r="B182" s="61"/>
      <c r="C182" s="4"/>
      <c r="D182" s="4"/>
      <c r="E182" s="4"/>
      <c r="F182" s="64"/>
      <c r="G182" s="4"/>
      <c r="H182" s="4"/>
      <c r="I182" s="4"/>
      <c r="J182" s="4"/>
      <c r="K182" s="4"/>
      <c r="L182" s="4"/>
      <c r="M182" s="4"/>
      <c r="N182" s="4"/>
    </row>
    <row r="183" spans="1:30" s="9" customFormat="1" x14ac:dyDescent="0.2">
      <c r="A183" s="13"/>
      <c r="B183" s="61"/>
      <c r="C183" s="4"/>
      <c r="D183" s="4"/>
      <c r="E183" s="4"/>
      <c r="F183" s="64"/>
      <c r="G183" s="4"/>
      <c r="H183" s="4"/>
      <c r="I183" s="4"/>
      <c r="J183" s="4"/>
      <c r="K183" s="4"/>
      <c r="L183" s="4"/>
      <c r="M183" s="4"/>
      <c r="N183" s="4"/>
    </row>
    <row r="184" spans="1:30" s="9" customFormat="1" x14ac:dyDescent="0.2">
      <c r="A184" s="13" t="s">
        <v>461</v>
      </c>
      <c r="B184" s="61"/>
      <c r="C184" s="4" t="s">
        <v>505</v>
      </c>
      <c r="D184" s="4"/>
      <c r="E184" s="4"/>
      <c r="F184" s="59">
        <f>+F166+F181</f>
        <v>80076.45</v>
      </c>
      <c r="G184" s="14">
        <f t="shared" ref="G184:U184" si="64">+G166+G181</f>
        <v>0</v>
      </c>
      <c r="H184" s="14">
        <f t="shared" si="64"/>
        <v>0</v>
      </c>
      <c r="I184" s="14">
        <f t="shared" si="64"/>
        <v>80076.45</v>
      </c>
      <c r="J184" s="14">
        <f t="shared" si="64"/>
        <v>0</v>
      </c>
      <c r="K184" s="14">
        <f t="shared" si="64"/>
        <v>0</v>
      </c>
      <c r="L184" s="14">
        <f t="shared" si="64"/>
        <v>0</v>
      </c>
      <c r="M184" s="14">
        <f t="shared" si="64"/>
        <v>0</v>
      </c>
      <c r="N184" s="14">
        <f t="shared" si="64"/>
        <v>0</v>
      </c>
      <c r="O184" s="14">
        <f t="shared" si="64"/>
        <v>0</v>
      </c>
      <c r="P184" s="14">
        <f t="shared" si="64"/>
        <v>0</v>
      </c>
      <c r="Q184" s="14">
        <f t="shared" si="64"/>
        <v>0</v>
      </c>
      <c r="R184" s="14">
        <f t="shared" si="64"/>
        <v>0</v>
      </c>
      <c r="S184" s="14">
        <f t="shared" si="64"/>
        <v>0</v>
      </c>
      <c r="T184" s="14">
        <f t="shared" si="64"/>
        <v>0</v>
      </c>
      <c r="U184" s="14">
        <f t="shared" si="64"/>
        <v>80076.45</v>
      </c>
      <c r="V184" s="39" t="str">
        <f>IF(ABS(U184-F184)&lt;1,"ok","err")</f>
        <v>ok</v>
      </c>
    </row>
    <row r="185" spans="1:30" s="9" customFormat="1" x14ac:dyDescent="0.2">
      <c r="A185" s="13"/>
      <c r="B185" s="61"/>
      <c r="C185" s="4"/>
      <c r="D185" s="4"/>
      <c r="E185" s="4"/>
      <c r="F185" s="64"/>
      <c r="G185" s="4"/>
      <c r="H185" s="4"/>
      <c r="I185" s="4"/>
      <c r="J185" s="4"/>
      <c r="K185" s="4"/>
      <c r="L185" s="4"/>
      <c r="M185" s="4"/>
      <c r="N185" s="4"/>
    </row>
    <row r="186" spans="1:30" s="9" customFormat="1" x14ac:dyDescent="0.2">
      <c r="A186" s="13"/>
      <c r="B186" s="61"/>
      <c r="C186" s="4"/>
      <c r="D186" s="4"/>
      <c r="E186" s="4"/>
      <c r="F186" s="64"/>
      <c r="G186" s="4"/>
      <c r="H186" s="4"/>
      <c r="I186" s="4"/>
      <c r="J186" s="4"/>
      <c r="K186" s="4"/>
      <c r="L186" s="4"/>
      <c r="M186" s="4"/>
      <c r="N186" s="4"/>
    </row>
    <row r="187" spans="1:30" s="9" customFormat="1" x14ac:dyDescent="0.2">
      <c r="A187" s="13"/>
      <c r="B187" s="61"/>
      <c r="C187" s="4"/>
      <c r="D187" s="4"/>
      <c r="E187" s="4"/>
      <c r="F187" s="64"/>
      <c r="G187" s="4"/>
      <c r="H187" s="4"/>
      <c r="I187" s="4"/>
      <c r="J187" s="4"/>
      <c r="K187" s="4"/>
      <c r="L187" s="4"/>
      <c r="M187" s="4"/>
      <c r="N187" s="4"/>
    </row>
    <row r="188" spans="1:30" s="9" customFormat="1" x14ac:dyDescent="0.2">
      <c r="A188" s="13"/>
      <c r="B188" s="61"/>
      <c r="C188" s="4"/>
      <c r="D188" s="4"/>
      <c r="E188" s="4"/>
      <c r="F188" s="64"/>
      <c r="G188" s="4"/>
      <c r="H188" s="4"/>
      <c r="I188" s="4"/>
      <c r="J188" s="4"/>
      <c r="K188" s="4"/>
      <c r="L188" s="4"/>
      <c r="M188" s="4"/>
      <c r="N188" s="4"/>
    </row>
    <row r="189" spans="1:30" s="9" customFormat="1" x14ac:dyDescent="0.2">
      <c r="A189" s="13"/>
      <c r="B189" s="61"/>
      <c r="C189" s="4"/>
      <c r="D189" s="4"/>
      <c r="E189" s="4"/>
      <c r="F189" s="64"/>
      <c r="G189" s="4"/>
      <c r="H189" s="4"/>
      <c r="I189" s="4"/>
      <c r="J189" s="4"/>
      <c r="K189" s="4"/>
      <c r="L189" s="4"/>
      <c r="M189" s="4"/>
      <c r="N189" s="4"/>
    </row>
    <row r="190" spans="1:30" s="9" customFormat="1" x14ac:dyDescent="0.2">
      <c r="A190" s="11" t="s">
        <v>468</v>
      </c>
      <c r="B190" s="61"/>
      <c r="C190" s="4"/>
      <c r="D190" s="4"/>
      <c r="E190" s="4"/>
      <c r="F190" s="64"/>
      <c r="G190" s="4"/>
      <c r="H190" s="4"/>
      <c r="I190" s="4"/>
      <c r="J190" s="4"/>
      <c r="K190" s="4"/>
      <c r="L190" s="4"/>
      <c r="M190" s="4"/>
      <c r="N190" s="4"/>
      <c r="W190" s="19"/>
      <c r="X190" s="19"/>
      <c r="Y190" s="19"/>
      <c r="Z190" s="19"/>
      <c r="AA190" s="19"/>
      <c r="AB190" s="19"/>
      <c r="AC190" s="19"/>
      <c r="AD190" s="19"/>
    </row>
    <row r="191" spans="1:30" s="9" customFormat="1" x14ac:dyDescent="0.2">
      <c r="A191" s="13"/>
      <c r="B191" s="61"/>
      <c r="C191" s="4"/>
      <c r="D191" s="4"/>
      <c r="E191" s="4"/>
      <c r="F191" s="64"/>
      <c r="G191" s="4"/>
      <c r="H191" s="4"/>
      <c r="I191" s="4"/>
      <c r="J191" s="4"/>
      <c r="K191" s="4"/>
      <c r="L191" s="4"/>
      <c r="M191" s="4"/>
      <c r="N191" s="4"/>
      <c r="W191" s="19"/>
      <c r="X191" s="19"/>
      <c r="Y191" s="19"/>
      <c r="Z191" s="19"/>
      <c r="AA191" s="19"/>
      <c r="AB191" s="19"/>
      <c r="AC191" s="19"/>
      <c r="AD191" s="19"/>
    </row>
    <row r="192" spans="1:30" s="9" customFormat="1" x14ac:dyDescent="0.2">
      <c r="A192" s="8"/>
      <c r="B192" s="61"/>
      <c r="C192" s="4"/>
      <c r="D192" s="4"/>
      <c r="E192" s="4"/>
      <c r="F192" s="64"/>
      <c r="G192" s="4"/>
      <c r="H192" s="4"/>
      <c r="I192" s="4"/>
      <c r="J192" s="4"/>
      <c r="K192" s="4"/>
      <c r="L192" s="4"/>
      <c r="M192" s="4"/>
      <c r="N192" s="4"/>
      <c r="W192" s="19"/>
      <c r="X192" s="19"/>
      <c r="Y192" s="19"/>
      <c r="Z192" s="19"/>
      <c r="AA192" s="19"/>
      <c r="AB192" s="19"/>
      <c r="AC192" s="19"/>
      <c r="AD192" s="19"/>
    </row>
    <row r="193" spans="1:30" s="9" customFormat="1" x14ac:dyDescent="0.2">
      <c r="A193" s="8" t="s">
        <v>3</v>
      </c>
      <c r="B193" s="61"/>
      <c r="C193" s="4"/>
      <c r="D193" s="4"/>
      <c r="E193" s="4"/>
      <c r="F193" s="64"/>
      <c r="G193" s="4"/>
      <c r="H193" s="4"/>
      <c r="I193" s="4"/>
      <c r="J193" s="4"/>
      <c r="K193" s="4"/>
      <c r="L193" s="4"/>
      <c r="M193" s="4"/>
      <c r="N193" s="4"/>
      <c r="W193" s="19"/>
      <c r="X193" s="19"/>
      <c r="Y193" s="19"/>
      <c r="Z193" s="19"/>
      <c r="AA193" s="19"/>
      <c r="AB193" s="19"/>
      <c r="AC193" s="19"/>
      <c r="AD193" s="19"/>
    </row>
    <row r="194" spans="1:30" s="9" customFormat="1" x14ac:dyDescent="0.2">
      <c r="A194" s="13" t="s">
        <v>124</v>
      </c>
      <c r="B194" s="61" t="s">
        <v>437</v>
      </c>
      <c r="C194" s="4" t="s">
        <v>506</v>
      </c>
      <c r="D194" s="4" t="s">
        <v>27</v>
      </c>
      <c r="E194" s="4"/>
      <c r="F194" s="59">
        <v>4021758.39</v>
      </c>
      <c r="G194" s="14">
        <f>(VLOOKUP($D194,$C$5:$AH$1004,5,)/VLOOKUP($D194,$C$5:$AH$1004,4,))*$F194</f>
        <v>0</v>
      </c>
      <c r="H194" s="14">
        <f>(VLOOKUP($D194,$C$5:$AH$1004,6,)/VLOOKUP($D194,$C$5:$AH$1004,4,))*$F194</f>
        <v>0</v>
      </c>
      <c r="I194" s="14">
        <f>(VLOOKUP($D194,$C$5:$AH$1004,7,)/VLOOKUP($D194,$C$5:$AH$1004,4,))*$F194</f>
        <v>0</v>
      </c>
      <c r="J194" s="14">
        <f>(VLOOKUP($D194,$C$5:$AH$1004,8,)/VLOOKUP($D194,$C$5:$AH$1004,4,))*$F194</f>
        <v>0</v>
      </c>
      <c r="K194" s="14">
        <f>(VLOOKUP($D194,$C$5:$AH$1004,9,)/VLOOKUP($D194,$C$5:$AH$1004,4,))*$F194</f>
        <v>4021758.39</v>
      </c>
      <c r="L194" s="14">
        <f>(VLOOKUP($D194,$C$5:$AH$1004,10,)/VLOOKUP($D194,$C$5:$AH$1004,4,))*$F194</f>
        <v>0</v>
      </c>
      <c r="M194" s="14">
        <f>(VLOOKUP($D194,$C$5:$AH$1004,11,)/VLOOKUP($D194,$C$5:$AH$1004,4,))*$F194</f>
        <v>0</v>
      </c>
      <c r="N194" s="14">
        <f>(VLOOKUP($D194,$C$5:$AH$1004,12,)/VLOOKUP($D194,$C$5:$AH$1004,4,))*$F194</f>
        <v>0</v>
      </c>
      <c r="O194" s="14">
        <f>(VLOOKUP($D194,$C$5:$AH$1004,13,)/VLOOKUP($D194,$C$5:$AH$1004,4,))*$F194</f>
        <v>0</v>
      </c>
      <c r="P194" s="14">
        <f>(VLOOKUP($D194,$C$5:$AH$1004,14,)/VLOOKUP($D194,$C$5:$AH$1004,4,))*$F194</f>
        <v>0</v>
      </c>
      <c r="Q194" s="14">
        <f>(VLOOKUP($D194,$C$5:$AH$1004,15,)/VLOOKUP($D194,$C$5:$AH$1004,4,))*$F194</f>
        <v>0</v>
      </c>
      <c r="R194" s="14">
        <f>(VLOOKUP($D194,$C$5:$AH$1004,16,)/VLOOKUP($D194,$C$5:$AH$1004,4,))*$F194</f>
        <v>0</v>
      </c>
      <c r="S194" s="14">
        <f>(VLOOKUP($D194,$C$5:$AH$1004,17,)/VLOOKUP($D194,$C$5:$AH$1004,4,))*$F194</f>
        <v>0</v>
      </c>
      <c r="T194" s="14">
        <f>(VLOOKUP($D194,$C$5:$AH$1004,18,)/VLOOKUP($D194,$C$5:$AH$1004,4,))*$F194</f>
        <v>0</v>
      </c>
      <c r="U194" s="14">
        <f>SUM(G194:T194)</f>
        <v>4021758.39</v>
      </c>
      <c r="V194" s="39" t="str">
        <f>IF(ABS(U194-F194)&lt;1,"ok","err")</f>
        <v>ok</v>
      </c>
      <c r="W194" s="19"/>
      <c r="X194" s="19"/>
      <c r="Y194" s="19"/>
      <c r="Z194" s="19"/>
      <c r="AA194" s="19"/>
      <c r="AB194" s="19"/>
      <c r="AC194" s="19"/>
      <c r="AD194" s="19"/>
    </row>
    <row r="195" spans="1:30" s="9" customFormat="1" x14ac:dyDescent="0.2">
      <c r="A195" s="8"/>
      <c r="B195" s="61"/>
      <c r="C195" s="4"/>
      <c r="D195" s="4"/>
      <c r="E195" s="4"/>
      <c r="F195" s="64"/>
      <c r="G195" s="4"/>
      <c r="H195" s="4"/>
      <c r="I195" s="4"/>
      <c r="J195" s="4"/>
      <c r="K195" s="4"/>
      <c r="L195" s="4"/>
      <c r="M195" s="4"/>
      <c r="N195" s="4"/>
      <c r="W195" s="19"/>
      <c r="X195" s="19"/>
      <c r="Y195" s="19"/>
      <c r="Z195" s="19"/>
      <c r="AA195" s="19"/>
      <c r="AB195" s="19"/>
      <c r="AC195" s="19"/>
      <c r="AD195" s="19"/>
    </row>
    <row r="196" spans="1:30" s="9" customFormat="1" x14ac:dyDescent="0.2">
      <c r="A196" s="8" t="s">
        <v>5</v>
      </c>
      <c r="B196" s="61"/>
      <c r="C196" s="4"/>
      <c r="D196" s="4"/>
      <c r="E196" s="4"/>
      <c r="F196" s="64"/>
      <c r="G196" s="4"/>
      <c r="H196" s="4"/>
      <c r="I196" s="4"/>
      <c r="J196" s="4"/>
      <c r="K196" s="4"/>
      <c r="L196" s="4"/>
      <c r="M196" s="4"/>
      <c r="N196" s="4"/>
      <c r="W196" s="19"/>
      <c r="X196" s="19"/>
      <c r="Y196" s="19"/>
      <c r="Z196" s="19"/>
      <c r="AA196" s="19"/>
      <c r="AB196" s="19"/>
      <c r="AC196" s="19"/>
      <c r="AD196" s="19"/>
    </row>
    <row r="197" spans="1:30" s="9" customFormat="1" x14ac:dyDescent="0.2">
      <c r="A197" s="13" t="s">
        <v>438</v>
      </c>
      <c r="B197" s="61"/>
      <c r="C197" s="4"/>
      <c r="D197" s="4"/>
      <c r="E197" s="4"/>
      <c r="F197" s="64"/>
      <c r="G197" s="4"/>
      <c r="H197" s="4"/>
      <c r="I197" s="4"/>
      <c r="J197" s="4"/>
      <c r="K197" s="4"/>
      <c r="L197" s="4"/>
      <c r="M197" s="4"/>
      <c r="N197" s="4"/>
      <c r="W197" s="19"/>
      <c r="X197" s="19"/>
      <c r="Y197" s="19"/>
      <c r="Z197" s="19"/>
      <c r="AA197" s="19"/>
      <c r="AB197" s="19"/>
      <c r="AC197" s="19"/>
      <c r="AD197" s="19"/>
    </row>
    <row r="198" spans="1:30" s="9" customFormat="1" x14ac:dyDescent="0.2">
      <c r="A198" s="13">
        <v>870</v>
      </c>
      <c r="B198" s="61" t="s">
        <v>418</v>
      </c>
      <c r="C198" s="4" t="s">
        <v>507</v>
      </c>
      <c r="D198" s="4" t="s">
        <v>640</v>
      </c>
      <c r="E198" s="4"/>
      <c r="F198" s="59">
        <v>0</v>
      </c>
      <c r="G198" s="14">
        <f>IF(VLOOKUP($D198,$C$5:$AH$1004,4,)=0,0,(VLOOKUP($D198,$C$5:$AH$1004,5,)/VLOOKUP($D198,$C$5:$AH$1004,4,))*$F198)</f>
        <v>0</v>
      </c>
      <c r="H198" s="14">
        <f>IF(VLOOKUP($D198,$C$5:$AH$1004,4,)=0,0,(VLOOKUP($D198,$C$5:$AH$1004,6,)/VLOOKUP($D198,$C$5:$AH$1004,4,))*$F198)</f>
        <v>0</v>
      </c>
      <c r="I198" s="14">
        <f>IF(VLOOKUP($D198,$C$5:$AH$1004,4,)=0,0,(VLOOKUP($D198,$C$5:$AH$1004,7,)/VLOOKUP($D198,$C$5:$AH$1004,4,))*$F198)</f>
        <v>0</v>
      </c>
      <c r="J198" s="14">
        <f>IF(VLOOKUP($D198,$C$5:$AH$1004,4,)=0,0,(VLOOKUP($D198,$C$5:$AH$1004,8,)/VLOOKUP($D198,$C$5:$AH$1004,4,))*$F198)</f>
        <v>0</v>
      </c>
      <c r="K198" s="14">
        <f>IF(VLOOKUP($D198,$C$5:$AH$1004,4,)=0,0,(VLOOKUP($D198,$C$5:$AH$1004,9,)/VLOOKUP($D198,$C$5:$AH$1004,4,))*$F198)</f>
        <v>0</v>
      </c>
      <c r="L198" s="14">
        <f>IF(VLOOKUP($D198,$C$5:$AH$1004,4,)=0,0,(VLOOKUP($D198,$C$5:$AH$1004,10,)/VLOOKUP($D198,$C$5:$AH$1004,4,))*$F198)</f>
        <v>0</v>
      </c>
      <c r="M198" s="14">
        <f>IF(VLOOKUP($D198,$C$5:$AH$1004,4,)=0,0,(VLOOKUP($D198,$C$5:$AH$1004,11,)/VLOOKUP($D198,$C$5:$AH$1004,4,))*$F198)</f>
        <v>0</v>
      </c>
      <c r="N198" s="14">
        <f>IF(VLOOKUP($D198,$C$5:$AH$1004,4,)=0,0,(VLOOKUP($D198,$C$5:$AH$1004,12,)/VLOOKUP($D198,$C$5:$AH$1004,4,))*$F198)</f>
        <v>0</v>
      </c>
      <c r="O198" s="14">
        <f>IF(VLOOKUP($D198,$C$5:$AH$1004,4,)=0,0,(VLOOKUP($D198,$C$5:$AH$1004,13,)/VLOOKUP($D198,$C$5:$AH$1004,4,))*$F198)</f>
        <v>0</v>
      </c>
      <c r="P198" s="14">
        <f>IF(VLOOKUP($D198,$C$5:$AH$1004,4,)=0,0,(VLOOKUP($D198,$C$5:$AH$1004,14,)/VLOOKUP($D198,$C$5:$AH$1004,4,))*$F198)</f>
        <v>0</v>
      </c>
      <c r="Q198" s="14">
        <f>IF(VLOOKUP($D198,$C$5:$AH$1004,4,)=0,0,(VLOOKUP($D198,$C$5:$AH$1004,15,)/VLOOKUP($D198,$C$5:$AH$1004,4,))*$F198)</f>
        <v>0</v>
      </c>
      <c r="R198" s="14">
        <f>IF(VLOOKUP($D198,$C$5:$AH$1004,4,)=0,0,(VLOOKUP($D198,$C$5:$AH$1004,16,)/VLOOKUP($D198,$C$5:$AH$1004,4,))*$F198)</f>
        <v>0</v>
      </c>
      <c r="S198" s="14">
        <f>IF(VLOOKUP($D198,$C$5:$AH$1004,4,)=0,0,(VLOOKUP($D198,$C$5:$AH$1004,17,)/VLOOKUP($D198,$C$5:$AH$1004,4,))*$F198)</f>
        <v>0</v>
      </c>
      <c r="T198" s="14">
        <f>IF(VLOOKUP($D198,$C$5:$AH$1004,4,)=0,0,(VLOOKUP($D198,$C$5:$AH$1004,18,)/VLOOKUP($D198,$C$5:$AH$1004,4,))*$F198)</f>
        <v>0</v>
      </c>
      <c r="U198" s="14">
        <f t="shared" ref="U198:U220" si="65">SUM(G198:T198)</f>
        <v>0</v>
      </c>
      <c r="V198" s="39" t="str">
        <f>IF(ABS(U198-F198)&lt;1,"ok","err")</f>
        <v>ok</v>
      </c>
      <c r="W198" s="19"/>
      <c r="X198" s="200"/>
      <c r="Y198" s="19"/>
      <c r="Z198" s="19"/>
      <c r="AA198" s="19"/>
      <c r="AB198" s="19"/>
      <c r="AC198" s="19"/>
      <c r="AD198" s="19"/>
    </row>
    <row r="199" spans="1:30" s="9" customFormat="1" x14ac:dyDescent="0.2">
      <c r="A199" s="13">
        <v>871</v>
      </c>
      <c r="B199" s="61" t="s">
        <v>419</v>
      </c>
      <c r="C199" s="4" t="s">
        <v>508</v>
      </c>
      <c r="D199" s="4" t="s">
        <v>35</v>
      </c>
      <c r="E199" s="4"/>
      <c r="F199" s="64">
        <v>0</v>
      </c>
      <c r="G199" s="14">
        <f t="shared" ref="G199:G218" si="66">(VLOOKUP($D199,$C$5:$AH$1004,5,)/VLOOKUP($D199,$C$5:$AH$1004,4,))*$F199</f>
        <v>0</v>
      </c>
      <c r="H199" s="14">
        <f t="shared" ref="H199:H218" si="67">(VLOOKUP($D199,$C$5:$AH$1004,6,)/VLOOKUP($D199,$C$5:$AH$1004,4,))*$F199</f>
        <v>0</v>
      </c>
      <c r="I199" s="14">
        <f t="shared" ref="I199:I218" si="68">(VLOOKUP($D199,$C$5:$AH$1004,7,)/VLOOKUP($D199,$C$5:$AH$1004,4,))*$F199</f>
        <v>0</v>
      </c>
      <c r="J199" s="14">
        <f t="shared" ref="J199:J218" si="69">(VLOOKUP($D199,$C$5:$AH$1004,8,)/VLOOKUP($D199,$C$5:$AH$1004,4,))*$F199</f>
        <v>0</v>
      </c>
      <c r="K199" s="14">
        <f t="shared" ref="K199:K218" si="70">(VLOOKUP($D199,$C$5:$AH$1004,9,)/VLOOKUP($D199,$C$5:$AH$1004,4,))*$F199</f>
        <v>0</v>
      </c>
      <c r="L199" s="14">
        <f t="shared" ref="L199:L218" si="71">(VLOOKUP($D199,$C$5:$AH$1004,10,)/VLOOKUP($D199,$C$5:$AH$1004,4,))*$F199</f>
        <v>0</v>
      </c>
      <c r="M199" s="14">
        <f t="shared" ref="M199:M218" si="72">(VLOOKUP($D199,$C$5:$AH$1004,11,)/VLOOKUP($D199,$C$5:$AH$1004,4,))*$F199</f>
        <v>0</v>
      </c>
      <c r="N199" s="14">
        <f t="shared" ref="N199:N218" si="73">(VLOOKUP($D199,$C$5:$AH$1004,12,)/VLOOKUP($D199,$C$5:$AH$1004,4,))*$F199</f>
        <v>0</v>
      </c>
      <c r="O199" s="14">
        <f t="shared" ref="O199:O218" si="74">(VLOOKUP($D199,$C$5:$AH$1004,13,)/VLOOKUP($D199,$C$5:$AH$1004,4,))*$F199</f>
        <v>0</v>
      </c>
      <c r="P199" s="14">
        <f t="shared" ref="P199:P218" si="75">(VLOOKUP($D199,$C$5:$AH$1004,14,)/VLOOKUP($D199,$C$5:$AH$1004,4,))*$F199</f>
        <v>0</v>
      </c>
      <c r="Q199" s="14">
        <f t="shared" ref="Q199:Q218" si="76">(VLOOKUP($D199,$C$5:$AH$1004,15,)/VLOOKUP($D199,$C$5:$AH$1004,4,))*$F199</f>
        <v>0</v>
      </c>
      <c r="R199" s="14">
        <f t="shared" ref="R199:R218" si="77">(VLOOKUP($D199,$C$5:$AH$1004,16,)/VLOOKUP($D199,$C$5:$AH$1004,4,))*$F199</f>
        <v>0</v>
      </c>
      <c r="S199" s="14">
        <f t="shared" ref="S199:S218" si="78">(VLOOKUP($D199,$C$5:$AH$1004,17,)/VLOOKUP($D199,$C$5:$AH$1004,4,))*$F199</f>
        <v>0</v>
      </c>
      <c r="T199" s="14">
        <f t="shared" ref="T199:T218" si="79">(VLOOKUP($D199,$C$5:$AH$1004,18,)/VLOOKUP($D199,$C$5:$AH$1004,4,))*$F199</f>
        <v>0</v>
      </c>
      <c r="U199" s="14">
        <f t="shared" si="65"/>
        <v>0</v>
      </c>
      <c r="V199" s="39" t="str">
        <f t="shared" ref="V199:V220" si="80">IF(ABS(U199-F199)&lt;1,"ok","err")</f>
        <v>ok</v>
      </c>
      <c r="W199" s="19"/>
      <c r="X199" s="200"/>
      <c r="Y199" s="19"/>
      <c r="Z199" s="19"/>
      <c r="AA199" s="19"/>
      <c r="AB199" s="19"/>
      <c r="AC199" s="19"/>
      <c r="AD199" s="19"/>
    </row>
    <row r="200" spans="1:30" s="9" customFormat="1" x14ac:dyDescent="0.2">
      <c r="A200" s="13">
        <v>872</v>
      </c>
      <c r="B200" s="61" t="s">
        <v>421</v>
      </c>
      <c r="C200" s="4" t="s">
        <v>509</v>
      </c>
      <c r="D200" s="4" t="s">
        <v>35</v>
      </c>
      <c r="E200" s="4"/>
      <c r="F200" s="64">
        <v>304380.46785715164</v>
      </c>
      <c r="G200" s="14">
        <f t="shared" si="66"/>
        <v>0</v>
      </c>
      <c r="H200" s="14">
        <f t="shared" si="67"/>
        <v>0</v>
      </c>
      <c r="I200" s="14">
        <f t="shared" si="68"/>
        <v>0</v>
      </c>
      <c r="J200" s="14">
        <f t="shared" si="69"/>
        <v>0</v>
      </c>
      <c r="K200" s="14">
        <f t="shared" si="70"/>
        <v>0</v>
      </c>
      <c r="L200" s="14">
        <f t="shared" si="71"/>
        <v>0</v>
      </c>
      <c r="M200" s="14">
        <f t="shared" si="72"/>
        <v>304380.46785715164</v>
      </c>
      <c r="N200" s="14">
        <f t="shared" si="73"/>
        <v>0</v>
      </c>
      <c r="O200" s="14">
        <f t="shared" si="74"/>
        <v>0</v>
      </c>
      <c r="P200" s="14">
        <f t="shared" si="75"/>
        <v>0</v>
      </c>
      <c r="Q200" s="14">
        <f t="shared" si="76"/>
        <v>0</v>
      </c>
      <c r="R200" s="14">
        <f t="shared" si="77"/>
        <v>0</v>
      </c>
      <c r="S200" s="14">
        <f t="shared" si="78"/>
        <v>0</v>
      </c>
      <c r="T200" s="14">
        <f t="shared" si="79"/>
        <v>0</v>
      </c>
      <c r="U200" s="14">
        <f t="shared" si="65"/>
        <v>304380.46785715164</v>
      </c>
      <c r="V200" s="39" t="str">
        <f t="shared" si="80"/>
        <v>ok</v>
      </c>
      <c r="W200" s="19"/>
      <c r="X200" s="200"/>
      <c r="Y200" s="19"/>
      <c r="Z200" s="19"/>
      <c r="AA200" s="19"/>
      <c r="AB200" s="19"/>
      <c r="AC200" s="19"/>
      <c r="AD200" s="19"/>
    </row>
    <row r="201" spans="1:30" s="9" customFormat="1" x14ac:dyDescent="0.2">
      <c r="A201" s="13">
        <v>873</v>
      </c>
      <c r="B201" s="61" t="s">
        <v>420</v>
      </c>
      <c r="C201" s="4" t="s">
        <v>510</v>
      </c>
      <c r="D201" s="4" t="s">
        <v>35</v>
      </c>
      <c r="E201" s="4"/>
      <c r="F201" s="64">
        <v>0</v>
      </c>
      <c r="G201" s="14">
        <f t="shared" si="66"/>
        <v>0</v>
      </c>
      <c r="H201" s="14">
        <f t="shared" si="67"/>
        <v>0</v>
      </c>
      <c r="I201" s="14">
        <f t="shared" si="68"/>
        <v>0</v>
      </c>
      <c r="J201" s="14">
        <f t="shared" si="69"/>
        <v>0</v>
      </c>
      <c r="K201" s="14">
        <f t="shared" si="70"/>
        <v>0</v>
      </c>
      <c r="L201" s="14">
        <f t="shared" si="71"/>
        <v>0</v>
      </c>
      <c r="M201" s="14">
        <f t="shared" si="72"/>
        <v>0</v>
      </c>
      <c r="N201" s="14">
        <f t="shared" si="73"/>
        <v>0</v>
      </c>
      <c r="O201" s="14">
        <f t="shared" si="74"/>
        <v>0</v>
      </c>
      <c r="P201" s="14">
        <f t="shared" si="75"/>
        <v>0</v>
      </c>
      <c r="Q201" s="14">
        <f t="shared" si="76"/>
        <v>0</v>
      </c>
      <c r="R201" s="14">
        <f t="shared" si="77"/>
        <v>0</v>
      </c>
      <c r="S201" s="14">
        <f t="shared" si="78"/>
        <v>0</v>
      </c>
      <c r="T201" s="14">
        <f t="shared" si="79"/>
        <v>0</v>
      </c>
      <c r="U201" s="14">
        <f t="shared" si="65"/>
        <v>0</v>
      </c>
      <c r="V201" s="39" t="str">
        <f t="shared" si="80"/>
        <v>ok</v>
      </c>
      <c r="W201" s="19"/>
      <c r="X201" s="200"/>
      <c r="Y201" s="19"/>
      <c r="Z201" s="19"/>
      <c r="AA201" s="19"/>
      <c r="AB201" s="19"/>
      <c r="AC201" s="19"/>
      <c r="AD201" s="19"/>
    </row>
    <row r="202" spans="1:30" s="9" customFormat="1" x14ac:dyDescent="0.2">
      <c r="A202" s="13">
        <v>874.01</v>
      </c>
      <c r="B202" s="61" t="s">
        <v>422</v>
      </c>
      <c r="C202" s="4" t="s">
        <v>511</v>
      </c>
      <c r="D202" s="4" t="s">
        <v>635</v>
      </c>
      <c r="E202" s="4"/>
      <c r="F202" s="64">
        <v>769478.04143384669</v>
      </c>
      <c r="G202" s="14">
        <f t="shared" si="66"/>
        <v>0</v>
      </c>
      <c r="H202" s="14">
        <f t="shared" si="67"/>
        <v>0</v>
      </c>
      <c r="I202" s="14">
        <f t="shared" si="68"/>
        <v>0</v>
      </c>
      <c r="J202" s="14">
        <f t="shared" si="69"/>
        <v>0</v>
      </c>
      <c r="K202" s="14">
        <f t="shared" si="70"/>
        <v>0</v>
      </c>
      <c r="L202" s="14">
        <f t="shared" si="71"/>
        <v>0</v>
      </c>
      <c r="M202" s="14">
        <f t="shared" si="72"/>
        <v>0</v>
      </c>
      <c r="N202" s="14">
        <f t="shared" si="73"/>
        <v>0</v>
      </c>
      <c r="O202" s="14">
        <f t="shared" si="74"/>
        <v>180042.78697154601</v>
      </c>
      <c r="P202" s="14">
        <f t="shared" si="75"/>
        <v>442511.80145012069</v>
      </c>
      <c r="Q202" s="14">
        <f t="shared" si="76"/>
        <v>146923.4530121799</v>
      </c>
      <c r="R202" s="14">
        <f t="shared" si="77"/>
        <v>0</v>
      </c>
      <c r="S202" s="14">
        <f t="shared" si="78"/>
        <v>0</v>
      </c>
      <c r="T202" s="14">
        <f t="shared" si="79"/>
        <v>0</v>
      </c>
      <c r="U202" s="14">
        <f t="shared" si="65"/>
        <v>769478.04143384669</v>
      </c>
      <c r="V202" s="39" t="str">
        <f t="shared" si="80"/>
        <v>ok</v>
      </c>
      <c r="W202" s="19"/>
      <c r="X202" s="200"/>
      <c r="Y202" s="19"/>
      <c r="Z202" s="19"/>
      <c r="AA202" s="19"/>
      <c r="AB202" s="19"/>
      <c r="AC202" s="19"/>
      <c r="AD202" s="19"/>
    </row>
    <row r="203" spans="1:30" s="9" customFormat="1" x14ac:dyDescent="0.2">
      <c r="A203" s="13">
        <v>874.02</v>
      </c>
      <c r="B203" s="61" t="s">
        <v>423</v>
      </c>
      <c r="C203" s="4" t="s">
        <v>512</v>
      </c>
      <c r="D203" s="4" t="s">
        <v>40</v>
      </c>
      <c r="E203" s="4"/>
      <c r="F203" s="64">
        <v>0</v>
      </c>
      <c r="G203" s="14">
        <f t="shared" si="66"/>
        <v>0</v>
      </c>
      <c r="H203" s="14">
        <f t="shared" si="67"/>
        <v>0</v>
      </c>
      <c r="I203" s="14">
        <f t="shared" si="68"/>
        <v>0</v>
      </c>
      <c r="J203" s="14">
        <f t="shared" si="69"/>
        <v>0</v>
      </c>
      <c r="K203" s="14">
        <f t="shared" si="70"/>
        <v>0</v>
      </c>
      <c r="L203" s="14">
        <f t="shared" si="71"/>
        <v>0</v>
      </c>
      <c r="M203" s="14">
        <f t="shared" si="72"/>
        <v>0</v>
      </c>
      <c r="N203" s="14">
        <f t="shared" si="73"/>
        <v>0</v>
      </c>
      <c r="O203" s="14">
        <f t="shared" si="74"/>
        <v>0</v>
      </c>
      <c r="P203" s="14">
        <f t="shared" si="75"/>
        <v>0</v>
      </c>
      <c r="Q203" s="14">
        <f t="shared" si="76"/>
        <v>0</v>
      </c>
      <c r="R203" s="14">
        <f t="shared" si="77"/>
        <v>0</v>
      </c>
      <c r="S203" s="14">
        <f t="shared" si="78"/>
        <v>0</v>
      </c>
      <c r="T203" s="14">
        <f t="shared" si="79"/>
        <v>0</v>
      </c>
      <c r="U203" s="14">
        <f t="shared" si="65"/>
        <v>0</v>
      </c>
      <c r="V203" s="39" t="str">
        <f t="shared" si="80"/>
        <v>ok</v>
      </c>
      <c r="W203" s="19"/>
      <c r="X203" s="200"/>
      <c r="Y203" s="19"/>
      <c r="Z203" s="19"/>
      <c r="AA203" s="19"/>
      <c r="AB203" s="19"/>
      <c r="AC203" s="19"/>
      <c r="AD203" s="19"/>
    </row>
    <row r="204" spans="1:30" s="9" customFormat="1" x14ac:dyDescent="0.2">
      <c r="A204" s="13">
        <v>874.03</v>
      </c>
      <c r="B204" s="61" t="s">
        <v>424</v>
      </c>
      <c r="C204" s="4" t="s">
        <v>513</v>
      </c>
      <c r="D204" s="4" t="s">
        <v>42</v>
      </c>
      <c r="E204" s="4"/>
      <c r="F204" s="64">
        <v>0</v>
      </c>
      <c r="G204" s="14">
        <f t="shared" si="66"/>
        <v>0</v>
      </c>
      <c r="H204" s="14">
        <f t="shared" si="67"/>
        <v>0</v>
      </c>
      <c r="I204" s="14">
        <f t="shared" si="68"/>
        <v>0</v>
      </c>
      <c r="J204" s="14">
        <f t="shared" si="69"/>
        <v>0</v>
      </c>
      <c r="K204" s="14">
        <f t="shared" si="70"/>
        <v>0</v>
      </c>
      <c r="L204" s="14">
        <f t="shared" si="71"/>
        <v>0</v>
      </c>
      <c r="M204" s="14">
        <f t="shared" si="72"/>
        <v>0</v>
      </c>
      <c r="N204" s="14">
        <f t="shared" si="73"/>
        <v>0</v>
      </c>
      <c r="O204" s="14">
        <f t="shared" si="74"/>
        <v>0</v>
      </c>
      <c r="P204" s="14">
        <f t="shared" si="75"/>
        <v>0</v>
      </c>
      <c r="Q204" s="14">
        <f t="shared" si="76"/>
        <v>0</v>
      </c>
      <c r="R204" s="14">
        <f t="shared" si="77"/>
        <v>0</v>
      </c>
      <c r="S204" s="14">
        <f t="shared" si="78"/>
        <v>0</v>
      </c>
      <c r="T204" s="14">
        <f t="shared" si="79"/>
        <v>0</v>
      </c>
      <c r="U204" s="14">
        <f t="shared" si="65"/>
        <v>0</v>
      </c>
      <c r="V204" s="39" t="str">
        <f t="shared" si="80"/>
        <v>ok</v>
      </c>
      <c r="W204" s="19"/>
      <c r="X204" s="200"/>
      <c r="Y204" s="19"/>
      <c r="Z204" s="19"/>
      <c r="AA204" s="19"/>
      <c r="AB204" s="19"/>
      <c r="AC204" s="19"/>
      <c r="AD204" s="19"/>
    </row>
    <row r="205" spans="1:30" s="9" customFormat="1" x14ac:dyDescent="0.2">
      <c r="A205" s="13">
        <v>874.04</v>
      </c>
      <c r="B205" s="61" t="s">
        <v>425</v>
      </c>
      <c r="C205" s="4" t="s">
        <v>514</v>
      </c>
      <c r="D205" s="4" t="s">
        <v>635</v>
      </c>
      <c r="E205" s="4"/>
      <c r="F205" s="64">
        <v>0</v>
      </c>
      <c r="G205" s="14">
        <f t="shared" si="66"/>
        <v>0</v>
      </c>
      <c r="H205" s="14">
        <f t="shared" si="67"/>
        <v>0</v>
      </c>
      <c r="I205" s="14">
        <f t="shared" si="68"/>
        <v>0</v>
      </c>
      <c r="J205" s="14">
        <f t="shared" si="69"/>
        <v>0</v>
      </c>
      <c r="K205" s="14">
        <f t="shared" si="70"/>
        <v>0</v>
      </c>
      <c r="L205" s="14">
        <f t="shared" si="71"/>
        <v>0</v>
      </c>
      <c r="M205" s="14">
        <f t="shared" si="72"/>
        <v>0</v>
      </c>
      <c r="N205" s="14">
        <f t="shared" si="73"/>
        <v>0</v>
      </c>
      <c r="O205" s="14">
        <f t="shared" si="74"/>
        <v>0</v>
      </c>
      <c r="P205" s="14">
        <f t="shared" si="75"/>
        <v>0</v>
      </c>
      <c r="Q205" s="14">
        <f t="shared" si="76"/>
        <v>0</v>
      </c>
      <c r="R205" s="14">
        <f t="shared" si="77"/>
        <v>0</v>
      </c>
      <c r="S205" s="14">
        <f t="shared" si="78"/>
        <v>0</v>
      </c>
      <c r="T205" s="14">
        <f t="shared" si="79"/>
        <v>0</v>
      </c>
      <c r="U205" s="14">
        <f t="shared" si="65"/>
        <v>0</v>
      </c>
      <c r="V205" s="39" t="str">
        <f t="shared" si="80"/>
        <v>ok</v>
      </c>
      <c r="W205" s="19"/>
      <c r="X205" s="200"/>
      <c r="Y205" s="19"/>
      <c r="Z205" s="19"/>
      <c r="AA205" s="19"/>
      <c r="AB205" s="19"/>
      <c r="AC205" s="19"/>
      <c r="AD205" s="19"/>
    </row>
    <row r="206" spans="1:30" s="9" customFormat="1" x14ac:dyDescent="0.2">
      <c r="A206" s="13">
        <v>874.05</v>
      </c>
      <c r="B206" s="61" t="s">
        <v>426</v>
      </c>
      <c r="C206" s="4" t="s">
        <v>515</v>
      </c>
      <c r="D206" s="4" t="s">
        <v>42</v>
      </c>
      <c r="E206" s="4"/>
      <c r="F206" s="64">
        <v>0</v>
      </c>
      <c r="G206" s="14">
        <f t="shared" si="66"/>
        <v>0</v>
      </c>
      <c r="H206" s="14">
        <f t="shared" si="67"/>
        <v>0</v>
      </c>
      <c r="I206" s="14">
        <f t="shared" si="68"/>
        <v>0</v>
      </c>
      <c r="J206" s="14">
        <f t="shared" si="69"/>
        <v>0</v>
      </c>
      <c r="K206" s="14">
        <f t="shared" si="70"/>
        <v>0</v>
      </c>
      <c r="L206" s="14">
        <f t="shared" si="71"/>
        <v>0</v>
      </c>
      <c r="M206" s="14">
        <f t="shared" si="72"/>
        <v>0</v>
      </c>
      <c r="N206" s="14">
        <f t="shared" si="73"/>
        <v>0</v>
      </c>
      <c r="O206" s="14">
        <f t="shared" si="74"/>
        <v>0</v>
      </c>
      <c r="P206" s="14">
        <f t="shared" si="75"/>
        <v>0</v>
      </c>
      <c r="Q206" s="14">
        <f t="shared" si="76"/>
        <v>0</v>
      </c>
      <c r="R206" s="14">
        <f t="shared" si="77"/>
        <v>0</v>
      </c>
      <c r="S206" s="14">
        <f t="shared" si="78"/>
        <v>0</v>
      </c>
      <c r="T206" s="14">
        <f t="shared" si="79"/>
        <v>0</v>
      </c>
      <c r="U206" s="14">
        <f t="shared" si="65"/>
        <v>0</v>
      </c>
      <c r="V206" s="39" t="str">
        <f t="shared" si="80"/>
        <v>ok</v>
      </c>
      <c r="W206" s="19"/>
      <c r="X206" s="200"/>
      <c r="Y206" s="19"/>
      <c r="Z206" s="19"/>
      <c r="AA206" s="19"/>
      <c r="AB206" s="19"/>
      <c r="AC206" s="19"/>
      <c r="AD206" s="19"/>
    </row>
    <row r="207" spans="1:30" s="9" customFormat="1" x14ac:dyDescent="0.2">
      <c r="A207" s="13">
        <v>874.06</v>
      </c>
      <c r="B207" s="61" t="s">
        <v>427</v>
      </c>
      <c r="C207" s="4" t="s">
        <v>516</v>
      </c>
      <c r="D207" s="4" t="s">
        <v>40</v>
      </c>
      <c r="E207" s="4"/>
      <c r="F207" s="64">
        <v>0</v>
      </c>
      <c r="G207" s="14">
        <f t="shared" si="66"/>
        <v>0</v>
      </c>
      <c r="H207" s="14">
        <f t="shared" si="67"/>
        <v>0</v>
      </c>
      <c r="I207" s="14">
        <f t="shared" si="68"/>
        <v>0</v>
      </c>
      <c r="J207" s="14">
        <f t="shared" si="69"/>
        <v>0</v>
      </c>
      <c r="K207" s="14">
        <f t="shared" si="70"/>
        <v>0</v>
      </c>
      <c r="L207" s="14">
        <f t="shared" si="71"/>
        <v>0</v>
      </c>
      <c r="M207" s="14">
        <f t="shared" si="72"/>
        <v>0</v>
      </c>
      <c r="N207" s="14">
        <f t="shared" si="73"/>
        <v>0</v>
      </c>
      <c r="O207" s="14">
        <f t="shared" si="74"/>
        <v>0</v>
      </c>
      <c r="P207" s="14">
        <f t="shared" si="75"/>
        <v>0</v>
      </c>
      <c r="Q207" s="14">
        <f t="shared" si="76"/>
        <v>0</v>
      </c>
      <c r="R207" s="14">
        <f t="shared" si="77"/>
        <v>0</v>
      </c>
      <c r="S207" s="14">
        <f t="shared" si="78"/>
        <v>0</v>
      </c>
      <c r="T207" s="14">
        <f t="shared" si="79"/>
        <v>0</v>
      </c>
      <c r="U207" s="14">
        <f t="shared" si="65"/>
        <v>0</v>
      </c>
      <c r="V207" s="39" t="str">
        <f t="shared" si="80"/>
        <v>ok</v>
      </c>
      <c r="W207" s="19"/>
      <c r="X207" s="200"/>
      <c r="Y207" s="19"/>
      <c r="Z207" s="19"/>
      <c r="AA207" s="19"/>
      <c r="AB207" s="19"/>
      <c r="AC207" s="19"/>
      <c r="AD207" s="19"/>
    </row>
    <row r="208" spans="1:30" s="9" customFormat="1" x14ac:dyDescent="0.2">
      <c r="A208" s="13">
        <v>874.07</v>
      </c>
      <c r="B208" s="61" t="s">
        <v>428</v>
      </c>
      <c r="C208" s="4" t="s">
        <v>517</v>
      </c>
      <c r="D208" s="4" t="s">
        <v>40</v>
      </c>
      <c r="E208" s="4"/>
      <c r="F208" s="64">
        <v>0</v>
      </c>
      <c r="G208" s="14">
        <f t="shared" si="66"/>
        <v>0</v>
      </c>
      <c r="H208" s="14">
        <f t="shared" si="67"/>
        <v>0</v>
      </c>
      <c r="I208" s="14">
        <f t="shared" si="68"/>
        <v>0</v>
      </c>
      <c r="J208" s="14">
        <f t="shared" si="69"/>
        <v>0</v>
      </c>
      <c r="K208" s="14">
        <f t="shared" si="70"/>
        <v>0</v>
      </c>
      <c r="L208" s="14">
        <f t="shared" si="71"/>
        <v>0</v>
      </c>
      <c r="M208" s="14">
        <f t="shared" si="72"/>
        <v>0</v>
      </c>
      <c r="N208" s="14">
        <f t="shared" si="73"/>
        <v>0</v>
      </c>
      <c r="O208" s="14">
        <f t="shared" si="74"/>
        <v>0</v>
      </c>
      <c r="P208" s="14">
        <f t="shared" si="75"/>
        <v>0</v>
      </c>
      <c r="Q208" s="14">
        <f t="shared" si="76"/>
        <v>0</v>
      </c>
      <c r="R208" s="14">
        <f t="shared" si="77"/>
        <v>0</v>
      </c>
      <c r="S208" s="14">
        <f t="shared" si="78"/>
        <v>0</v>
      </c>
      <c r="T208" s="14">
        <f t="shared" si="79"/>
        <v>0</v>
      </c>
      <c r="U208" s="14">
        <f t="shared" si="65"/>
        <v>0</v>
      </c>
      <c r="V208" s="39" t="str">
        <f t="shared" si="80"/>
        <v>ok</v>
      </c>
      <c r="W208" s="19"/>
      <c r="X208" s="200"/>
      <c r="Y208" s="19"/>
      <c r="Z208" s="19"/>
      <c r="AA208" s="19"/>
      <c r="AB208" s="19"/>
      <c r="AC208" s="19"/>
      <c r="AD208" s="19"/>
    </row>
    <row r="209" spans="1:30" s="9" customFormat="1" x14ac:dyDescent="0.2">
      <c r="A209" s="13">
        <v>874.08</v>
      </c>
      <c r="B209" s="61" t="s">
        <v>429</v>
      </c>
      <c r="C209" s="4" t="s">
        <v>518</v>
      </c>
      <c r="D209" s="4" t="s">
        <v>35</v>
      </c>
      <c r="E209" s="4"/>
      <c r="F209" s="64">
        <v>0</v>
      </c>
      <c r="G209" s="14">
        <f t="shared" si="66"/>
        <v>0</v>
      </c>
      <c r="H209" s="14">
        <f t="shared" si="67"/>
        <v>0</v>
      </c>
      <c r="I209" s="14">
        <f t="shared" si="68"/>
        <v>0</v>
      </c>
      <c r="J209" s="14">
        <f t="shared" si="69"/>
        <v>0</v>
      </c>
      <c r="K209" s="14">
        <f t="shared" si="70"/>
        <v>0</v>
      </c>
      <c r="L209" s="14">
        <f t="shared" si="71"/>
        <v>0</v>
      </c>
      <c r="M209" s="14">
        <f t="shared" si="72"/>
        <v>0</v>
      </c>
      <c r="N209" s="14">
        <f t="shared" si="73"/>
        <v>0</v>
      </c>
      <c r="O209" s="14">
        <f t="shared" si="74"/>
        <v>0</v>
      </c>
      <c r="P209" s="14">
        <f t="shared" si="75"/>
        <v>0</v>
      </c>
      <c r="Q209" s="14">
        <f t="shared" si="76"/>
        <v>0</v>
      </c>
      <c r="R209" s="14">
        <f t="shared" si="77"/>
        <v>0</v>
      </c>
      <c r="S209" s="14">
        <f t="shared" si="78"/>
        <v>0</v>
      </c>
      <c r="T209" s="14">
        <f t="shared" si="79"/>
        <v>0</v>
      </c>
      <c r="U209" s="14">
        <f t="shared" si="65"/>
        <v>0</v>
      </c>
      <c r="V209" s="39" t="str">
        <f t="shared" si="80"/>
        <v>ok</v>
      </c>
      <c r="W209" s="19"/>
      <c r="X209" s="200"/>
      <c r="Y209" s="19"/>
      <c r="Z209" s="19"/>
      <c r="AA209" s="19"/>
      <c r="AB209" s="19"/>
      <c r="AC209" s="19"/>
      <c r="AD209" s="19"/>
    </row>
    <row r="210" spans="1:30" s="9" customFormat="1" x14ac:dyDescent="0.2">
      <c r="A210" s="13">
        <v>874.09</v>
      </c>
      <c r="B210" s="61" t="s">
        <v>430</v>
      </c>
      <c r="C210" s="4" t="s">
        <v>519</v>
      </c>
      <c r="D210" s="4" t="s">
        <v>40</v>
      </c>
      <c r="E210" s="4"/>
      <c r="F210" s="64">
        <v>0</v>
      </c>
      <c r="G210" s="14">
        <f t="shared" si="66"/>
        <v>0</v>
      </c>
      <c r="H210" s="14">
        <f t="shared" si="67"/>
        <v>0</v>
      </c>
      <c r="I210" s="14">
        <f t="shared" si="68"/>
        <v>0</v>
      </c>
      <c r="J210" s="14">
        <f t="shared" si="69"/>
        <v>0</v>
      </c>
      <c r="K210" s="14">
        <f t="shared" si="70"/>
        <v>0</v>
      </c>
      <c r="L210" s="14">
        <f t="shared" si="71"/>
        <v>0</v>
      </c>
      <c r="M210" s="14">
        <f t="shared" si="72"/>
        <v>0</v>
      </c>
      <c r="N210" s="14">
        <f t="shared" si="73"/>
        <v>0</v>
      </c>
      <c r="O210" s="14">
        <f t="shared" si="74"/>
        <v>0</v>
      </c>
      <c r="P210" s="14">
        <f t="shared" si="75"/>
        <v>0</v>
      </c>
      <c r="Q210" s="14">
        <f t="shared" si="76"/>
        <v>0</v>
      </c>
      <c r="R210" s="14">
        <f t="shared" si="77"/>
        <v>0</v>
      </c>
      <c r="S210" s="14">
        <f t="shared" si="78"/>
        <v>0</v>
      </c>
      <c r="T210" s="14">
        <f t="shared" si="79"/>
        <v>0</v>
      </c>
      <c r="U210" s="14">
        <f t="shared" si="65"/>
        <v>0</v>
      </c>
      <c r="V210" s="39" t="str">
        <f t="shared" si="80"/>
        <v>ok</v>
      </c>
      <c r="X210" s="200"/>
    </row>
    <row r="211" spans="1:30" s="9" customFormat="1" x14ac:dyDescent="0.2">
      <c r="A211" s="13">
        <v>874.1</v>
      </c>
      <c r="B211" s="61" t="s">
        <v>431</v>
      </c>
      <c r="C211" s="4" t="s">
        <v>520</v>
      </c>
      <c r="D211" s="4" t="s">
        <v>40</v>
      </c>
      <c r="E211" s="4"/>
      <c r="F211" s="64">
        <v>0</v>
      </c>
      <c r="G211" s="14">
        <f t="shared" si="66"/>
        <v>0</v>
      </c>
      <c r="H211" s="14">
        <f t="shared" si="67"/>
        <v>0</v>
      </c>
      <c r="I211" s="14">
        <f t="shared" si="68"/>
        <v>0</v>
      </c>
      <c r="J211" s="14">
        <f t="shared" si="69"/>
        <v>0</v>
      </c>
      <c r="K211" s="14">
        <f t="shared" si="70"/>
        <v>0</v>
      </c>
      <c r="L211" s="14">
        <f t="shared" si="71"/>
        <v>0</v>
      </c>
      <c r="M211" s="14">
        <f t="shared" si="72"/>
        <v>0</v>
      </c>
      <c r="N211" s="14">
        <f t="shared" si="73"/>
        <v>0</v>
      </c>
      <c r="O211" s="14">
        <f t="shared" si="74"/>
        <v>0</v>
      </c>
      <c r="P211" s="14">
        <f t="shared" si="75"/>
        <v>0</v>
      </c>
      <c r="Q211" s="14">
        <f t="shared" si="76"/>
        <v>0</v>
      </c>
      <c r="R211" s="14">
        <f t="shared" si="77"/>
        <v>0</v>
      </c>
      <c r="S211" s="14">
        <f t="shared" si="78"/>
        <v>0</v>
      </c>
      <c r="T211" s="14">
        <f t="shared" si="79"/>
        <v>0</v>
      </c>
      <c r="U211" s="14">
        <f t="shared" si="65"/>
        <v>0</v>
      </c>
      <c r="V211" s="39" t="str">
        <f t="shared" si="80"/>
        <v>ok</v>
      </c>
      <c r="X211" s="200"/>
    </row>
    <row r="212" spans="1:30" s="9" customFormat="1" x14ac:dyDescent="0.2">
      <c r="A212" s="13">
        <v>875</v>
      </c>
      <c r="B212" s="61" t="s">
        <v>432</v>
      </c>
      <c r="C212" s="4" t="s">
        <v>521</v>
      </c>
      <c r="D212" s="4" t="s">
        <v>38</v>
      </c>
      <c r="E212" s="4"/>
      <c r="F212" s="64">
        <v>0</v>
      </c>
      <c r="G212" s="14">
        <f t="shared" si="66"/>
        <v>0</v>
      </c>
      <c r="H212" s="14">
        <f t="shared" si="67"/>
        <v>0</v>
      </c>
      <c r="I212" s="14">
        <f t="shared" si="68"/>
        <v>0</v>
      </c>
      <c r="J212" s="14">
        <f t="shared" si="69"/>
        <v>0</v>
      </c>
      <c r="K212" s="14">
        <f t="shared" si="70"/>
        <v>0</v>
      </c>
      <c r="L212" s="14">
        <f t="shared" si="71"/>
        <v>0</v>
      </c>
      <c r="M212" s="14">
        <f t="shared" si="72"/>
        <v>0</v>
      </c>
      <c r="N212" s="14">
        <f t="shared" si="73"/>
        <v>0</v>
      </c>
      <c r="O212" s="14">
        <f t="shared" si="74"/>
        <v>0</v>
      </c>
      <c r="P212" s="14">
        <f t="shared" si="75"/>
        <v>0</v>
      </c>
      <c r="Q212" s="14">
        <f t="shared" si="76"/>
        <v>0</v>
      </c>
      <c r="R212" s="14">
        <f t="shared" si="77"/>
        <v>0</v>
      </c>
      <c r="S212" s="14">
        <f t="shared" si="78"/>
        <v>0</v>
      </c>
      <c r="T212" s="14">
        <f t="shared" si="79"/>
        <v>0</v>
      </c>
      <c r="U212" s="14">
        <f t="shared" si="65"/>
        <v>0</v>
      </c>
      <c r="V212" s="39" t="str">
        <f t="shared" si="80"/>
        <v>ok</v>
      </c>
      <c r="X212" s="200"/>
    </row>
    <row r="213" spans="1:30" s="9" customFormat="1" x14ac:dyDescent="0.2">
      <c r="A213" s="13">
        <v>876</v>
      </c>
      <c r="B213" s="61" t="s">
        <v>433</v>
      </c>
      <c r="C213" s="4" t="s">
        <v>522</v>
      </c>
      <c r="D213" s="4" t="s">
        <v>45</v>
      </c>
      <c r="E213" s="4"/>
      <c r="F213" s="64">
        <v>0</v>
      </c>
      <c r="G213" s="14">
        <f t="shared" si="66"/>
        <v>0</v>
      </c>
      <c r="H213" s="14">
        <f t="shared" si="67"/>
        <v>0</v>
      </c>
      <c r="I213" s="14">
        <f t="shared" si="68"/>
        <v>0</v>
      </c>
      <c r="J213" s="14">
        <f t="shared" si="69"/>
        <v>0</v>
      </c>
      <c r="K213" s="14">
        <f t="shared" si="70"/>
        <v>0</v>
      </c>
      <c r="L213" s="14">
        <f t="shared" si="71"/>
        <v>0</v>
      </c>
      <c r="M213" s="14">
        <f t="shared" si="72"/>
        <v>0</v>
      </c>
      <c r="N213" s="14">
        <f t="shared" si="73"/>
        <v>0</v>
      </c>
      <c r="O213" s="14">
        <f t="shared" si="74"/>
        <v>0</v>
      </c>
      <c r="P213" s="14">
        <f t="shared" si="75"/>
        <v>0</v>
      </c>
      <c r="Q213" s="14">
        <f t="shared" si="76"/>
        <v>0</v>
      </c>
      <c r="R213" s="14">
        <f t="shared" si="77"/>
        <v>0</v>
      </c>
      <c r="S213" s="14">
        <f t="shared" si="78"/>
        <v>0</v>
      </c>
      <c r="T213" s="14">
        <f t="shared" si="79"/>
        <v>0</v>
      </c>
      <c r="U213" s="14">
        <f t="shared" si="65"/>
        <v>0</v>
      </c>
      <c r="V213" s="39" t="str">
        <f t="shared" si="80"/>
        <v>ok</v>
      </c>
      <c r="X213" s="200"/>
    </row>
    <row r="214" spans="1:30" s="9" customFormat="1" x14ac:dyDescent="0.2">
      <c r="A214" s="13">
        <v>877</v>
      </c>
      <c r="B214" s="61" t="s">
        <v>434</v>
      </c>
      <c r="C214" s="4" t="s">
        <v>523</v>
      </c>
      <c r="D214" s="4" t="s">
        <v>38</v>
      </c>
      <c r="E214" s="4"/>
      <c r="F214" s="64">
        <v>0</v>
      </c>
      <c r="G214" s="14">
        <f t="shared" si="66"/>
        <v>0</v>
      </c>
      <c r="H214" s="14">
        <f t="shared" si="67"/>
        <v>0</v>
      </c>
      <c r="I214" s="14">
        <f t="shared" si="68"/>
        <v>0</v>
      </c>
      <c r="J214" s="14">
        <f t="shared" si="69"/>
        <v>0</v>
      </c>
      <c r="K214" s="14">
        <f t="shared" si="70"/>
        <v>0</v>
      </c>
      <c r="L214" s="14">
        <f t="shared" si="71"/>
        <v>0</v>
      </c>
      <c r="M214" s="14">
        <f t="shared" si="72"/>
        <v>0</v>
      </c>
      <c r="N214" s="14">
        <f t="shared" si="73"/>
        <v>0</v>
      </c>
      <c r="O214" s="14">
        <f t="shared" si="74"/>
        <v>0</v>
      </c>
      <c r="P214" s="14">
        <f t="shared" si="75"/>
        <v>0</v>
      </c>
      <c r="Q214" s="14">
        <f t="shared" si="76"/>
        <v>0</v>
      </c>
      <c r="R214" s="14">
        <f t="shared" si="77"/>
        <v>0</v>
      </c>
      <c r="S214" s="14">
        <f t="shared" si="78"/>
        <v>0</v>
      </c>
      <c r="T214" s="14">
        <f t="shared" si="79"/>
        <v>0</v>
      </c>
      <c r="U214" s="14">
        <f t="shared" si="65"/>
        <v>0</v>
      </c>
      <c r="V214" s="39" t="str">
        <f t="shared" si="80"/>
        <v>ok</v>
      </c>
      <c r="X214" s="200"/>
    </row>
    <row r="215" spans="1:30" s="9" customFormat="1" x14ac:dyDescent="0.2">
      <c r="A215" s="13">
        <v>878</v>
      </c>
      <c r="B215" s="61" t="s">
        <v>435</v>
      </c>
      <c r="C215" s="4" t="s">
        <v>524</v>
      </c>
      <c r="D215" s="4" t="s">
        <v>45</v>
      </c>
      <c r="E215" s="4"/>
      <c r="F215" s="64">
        <v>127873.98040513547</v>
      </c>
      <c r="G215" s="14">
        <f t="shared" si="66"/>
        <v>0</v>
      </c>
      <c r="H215" s="14">
        <f t="shared" si="67"/>
        <v>0</v>
      </c>
      <c r="I215" s="14">
        <f t="shared" si="68"/>
        <v>0</v>
      </c>
      <c r="J215" s="14">
        <f t="shared" si="69"/>
        <v>0</v>
      </c>
      <c r="K215" s="14">
        <f t="shared" si="70"/>
        <v>0</v>
      </c>
      <c r="L215" s="14">
        <f t="shared" si="71"/>
        <v>0</v>
      </c>
      <c r="M215" s="14">
        <f t="shared" si="72"/>
        <v>0</v>
      </c>
      <c r="N215" s="14">
        <f t="shared" si="73"/>
        <v>0</v>
      </c>
      <c r="O215" s="14">
        <f t="shared" si="74"/>
        <v>0</v>
      </c>
      <c r="P215" s="14">
        <f t="shared" si="75"/>
        <v>0</v>
      </c>
      <c r="Q215" s="14">
        <f t="shared" si="76"/>
        <v>0</v>
      </c>
      <c r="R215" s="14">
        <f t="shared" si="77"/>
        <v>127873.98040513547</v>
      </c>
      <c r="S215" s="14">
        <f t="shared" si="78"/>
        <v>0</v>
      </c>
      <c r="T215" s="14">
        <f t="shared" si="79"/>
        <v>0</v>
      </c>
      <c r="U215" s="14">
        <f t="shared" si="65"/>
        <v>127873.98040513547</v>
      </c>
      <c r="V215" s="39" t="str">
        <f t="shared" si="80"/>
        <v>ok</v>
      </c>
      <c r="X215" s="200"/>
    </row>
    <row r="216" spans="1:30" s="9" customFormat="1" x14ac:dyDescent="0.2">
      <c r="A216" s="13">
        <v>879</v>
      </c>
      <c r="B216" s="61" t="s">
        <v>436</v>
      </c>
      <c r="C216" s="4" t="s">
        <v>525</v>
      </c>
      <c r="D216" s="4" t="s">
        <v>45</v>
      </c>
      <c r="E216" s="4"/>
      <c r="F216" s="64">
        <v>94621.311665843125</v>
      </c>
      <c r="G216" s="14">
        <f t="shared" si="66"/>
        <v>0</v>
      </c>
      <c r="H216" s="14">
        <f t="shared" si="67"/>
        <v>0</v>
      </c>
      <c r="I216" s="14">
        <f t="shared" si="68"/>
        <v>0</v>
      </c>
      <c r="J216" s="14">
        <f t="shared" si="69"/>
        <v>0</v>
      </c>
      <c r="K216" s="14">
        <f t="shared" si="70"/>
        <v>0</v>
      </c>
      <c r="L216" s="14">
        <f t="shared" si="71"/>
        <v>0</v>
      </c>
      <c r="M216" s="14">
        <f t="shared" si="72"/>
        <v>0</v>
      </c>
      <c r="N216" s="14">
        <f t="shared" si="73"/>
        <v>0</v>
      </c>
      <c r="O216" s="14">
        <f t="shared" si="74"/>
        <v>0</v>
      </c>
      <c r="P216" s="14">
        <f t="shared" si="75"/>
        <v>0</v>
      </c>
      <c r="Q216" s="14">
        <f t="shared" si="76"/>
        <v>0</v>
      </c>
      <c r="R216" s="14">
        <f t="shared" si="77"/>
        <v>94621.311665843125</v>
      </c>
      <c r="S216" s="14">
        <f t="shared" si="78"/>
        <v>0</v>
      </c>
      <c r="T216" s="14">
        <f t="shared" si="79"/>
        <v>0</v>
      </c>
      <c r="U216" s="14">
        <f t="shared" si="65"/>
        <v>94621.311665843125</v>
      </c>
      <c r="V216" s="39" t="str">
        <f t="shared" si="80"/>
        <v>ok</v>
      </c>
      <c r="X216" s="200"/>
    </row>
    <row r="217" spans="1:30" s="9" customFormat="1" x14ac:dyDescent="0.2">
      <c r="A217" s="13">
        <v>880</v>
      </c>
      <c r="B217" s="61" t="s">
        <v>109</v>
      </c>
      <c r="C217" s="4" t="s">
        <v>526</v>
      </c>
      <c r="D217" s="4" t="s">
        <v>203</v>
      </c>
      <c r="E217" s="4"/>
      <c r="F217" s="64">
        <v>309736.76863802318</v>
      </c>
      <c r="G217" s="14">
        <f t="shared" si="66"/>
        <v>0</v>
      </c>
      <c r="H217" s="14">
        <f t="shared" si="67"/>
        <v>0</v>
      </c>
      <c r="I217" s="14">
        <f t="shared" si="68"/>
        <v>0</v>
      </c>
      <c r="J217" s="14">
        <f t="shared" si="69"/>
        <v>0</v>
      </c>
      <c r="K217" s="14">
        <f t="shared" si="70"/>
        <v>0</v>
      </c>
      <c r="L217" s="14">
        <f t="shared" si="71"/>
        <v>0</v>
      </c>
      <c r="M217" s="14">
        <f t="shared" si="72"/>
        <v>0</v>
      </c>
      <c r="N217" s="14">
        <f t="shared" si="73"/>
        <v>7348.8076841219918</v>
      </c>
      <c r="O217" s="14">
        <f t="shared" si="74"/>
        <v>59936.400050259734</v>
      </c>
      <c r="P217" s="14">
        <f t="shared" si="75"/>
        <v>147312.56277913076</v>
      </c>
      <c r="Q217" s="14">
        <f t="shared" si="76"/>
        <v>48910.945029390503</v>
      </c>
      <c r="R217" s="14">
        <f t="shared" si="77"/>
        <v>46228.053095120165</v>
      </c>
      <c r="S217" s="14">
        <f t="shared" si="78"/>
        <v>0</v>
      </c>
      <c r="T217" s="14">
        <f t="shared" si="79"/>
        <v>0</v>
      </c>
      <c r="U217" s="14">
        <f t="shared" si="65"/>
        <v>309736.76863802318</v>
      </c>
      <c r="V217" s="39" t="str">
        <f t="shared" si="80"/>
        <v>ok</v>
      </c>
      <c r="X217" s="200"/>
    </row>
    <row r="218" spans="1:30" s="9" customFormat="1" x14ac:dyDescent="0.2">
      <c r="A218" s="13">
        <v>881</v>
      </c>
      <c r="B218" s="61" t="s">
        <v>112</v>
      </c>
      <c r="C218" s="4" t="s">
        <v>527</v>
      </c>
      <c r="D218" s="4" t="s">
        <v>203</v>
      </c>
      <c r="E218" s="4"/>
      <c r="F218" s="64">
        <v>0</v>
      </c>
      <c r="G218" s="14">
        <f t="shared" si="66"/>
        <v>0</v>
      </c>
      <c r="H218" s="14">
        <f t="shared" si="67"/>
        <v>0</v>
      </c>
      <c r="I218" s="14">
        <f t="shared" si="68"/>
        <v>0</v>
      </c>
      <c r="J218" s="14">
        <f t="shared" si="69"/>
        <v>0</v>
      </c>
      <c r="K218" s="14">
        <f t="shared" si="70"/>
        <v>0</v>
      </c>
      <c r="L218" s="14">
        <f t="shared" si="71"/>
        <v>0</v>
      </c>
      <c r="M218" s="14">
        <f t="shared" si="72"/>
        <v>0</v>
      </c>
      <c r="N218" s="14">
        <f t="shared" si="73"/>
        <v>0</v>
      </c>
      <c r="O218" s="14">
        <f t="shared" si="74"/>
        <v>0</v>
      </c>
      <c r="P218" s="14">
        <f t="shared" si="75"/>
        <v>0</v>
      </c>
      <c r="Q218" s="14">
        <f t="shared" si="76"/>
        <v>0</v>
      </c>
      <c r="R218" s="14">
        <f t="shared" si="77"/>
        <v>0</v>
      </c>
      <c r="S218" s="14">
        <f t="shared" si="78"/>
        <v>0</v>
      </c>
      <c r="T218" s="14">
        <f t="shared" si="79"/>
        <v>0</v>
      </c>
      <c r="U218" s="14">
        <f t="shared" si="65"/>
        <v>0</v>
      </c>
      <c r="V218" s="39" t="str">
        <f t="shared" si="80"/>
        <v>ok</v>
      </c>
      <c r="X218" s="200"/>
    </row>
    <row r="219" spans="1:30" s="9" customFormat="1" x14ac:dyDescent="0.2">
      <c r="A219" s="13"/>
      <c r="B219" s="61"/>
      <c r="C219" s="4"/>
      <c r="D219" s="4"/>
      <c r="E219" s="4"/>
      <c r="F219" s="64"/>
      <c r="G219" s="4"/>
      <c r="H219" s="4"/>
      <c r="I219" s="4"/>
      <c r="J219" s="4"/>
      <c r="K219" s="4"/>
      <c r="L219" s="4"/>
      <c r="M219" s="4"/>
      <c r="N219" s="4"/>
      <c r="X219" s="72"/>
    </row>
    <row r="220" spans="1:30" s="9" customFormat="1" x14ac:dyDescent="0.2">
      <c r="A220" s="13" t="s">
        <v>481</v>
      </c>
      <c r="B220" s="61"/>
      <c r="C220" s="4" t="s">
        <v>539</v>
      </c>
      <c r="D220" s="4"/>
      <c r="E220" s="4"/>
      <c r="F220" s="59">
        <f>+SUM(F198:F218)</f>
        <v>1606090.5700000003</v>
      </c>
      <c r="G220" s="15">
        <f t="shared" ref="G220:T220" si="81">+SUM(G198:G218)</f>
        <v>0</v>
      </c>
      <c r="H220" s="15">
        <f t="shared" si="81"/>
        <v>0</v>
      </c>
      <c r="I220" s="15">
        <f t="shared" si="81"/>
        <v>0</v>
      </c>
      <c r="J220" s="15">
        <f t="shared" si="81"/>
        <v>0</v>
      </c>
      <c r="K220" s="15">
        <f t="shared" si="81"/>
        <v>0</v>
      </c>
      <c r="L220" s="15">
        <f t="shared" si="81"/>
        <v>0</v>
      </c>
      <c r="M220" s="15">
        <f t="shared" si="81"/>
        <v>304380.46785715164</v>
      </c>
      <c r="N220" s="15">
        <f t="shared" si="81"/>
        <v>7348.8076841219918</v>
      </c>
      <c r="O220" s="15">
        <f t="shared" si="81"/>
        <v>239979.18702180573</v>
      </c>
      <c r="P220" s="15">
        <f t="shared" si="81"/>
        <v>589824.3642292514</v>
      </c>
      <c r="Q220" s="15">
        <f t="shared" si="81"/>
        <v>195834.39804157041</v>
      </c>
      <c r="R220" s="15">
        <f t="shared" si="81"/>
        <v>268723.34516609879</v>
      </c>
      <c r="S220" s="15">
        <f t="shared" si="81"/>
        <v>0</v>
      </c>
      <c r="T220" s="15">
        <f t="shared" si="81"/>
        <v>0</v>
      </c>
      <c r="U220" s="14">
        <f t="shared" si="65"/>
        <v>1606090.5699999998</v>
      </c>
      <c r="V220" s="39" t="str">
        <f t="shared" si="80"/>
        <v>ok</v>
      </c>
    </row>
    <row r="221" spans="1:30" s="9" customFormat="1" x14ac:dyDescent="0.2">
      <c r="A221" s="13"/>
      <c r="B221" s="61"/>
      <c r="C221" s="4"/>
      <c r="D221" s="4"/>
      <c r="E221" s="4"/>
      <c r="F221" s="64"/>
      <c r="G221" s="4"/>
      <c r="H221" s="4"/>
      <c r="I221" s="4"/>
      <c r="J221" s="4"/>
      <c r="K221" s="4"/>
      <c r="L221" s="4"/>
      <c r="M221" s="4"/>
      <c r="N221" s="4"/>
      <c r="X221" s="195"/>
    </row>
    <row r="222" spans="1:30" s="9" customFormat="1" x14ac:dyDescent="0.2">
      <c r="A222" s="13" t="s">
        <v>482</v>
      </c>
      <c r="B222" s="61"/>
      <c r="C222" s="4" t="s">
        <v>540</v>
      </c>
      <c r="D222" s="4"/>
      <c r="E222" s="4"/>
      <c r="F222" s="59">
        <f>F142+F143+F194+F220</f>
        <v>5766564</v>
      </c>
      <c r="G222" s="15">
        <f t="shared" ref="G222:U222" si="82">G142+G143+G194+G220</f>
        <v>0</v>
      </c>
      <c r="H222" s="15">
        <f t="shared" si="82"/>
        <v>0</v>
      </c>
      <c r="I222" s="15">
        <f t="shared" si="82"/>
        <v>0</v>
      </c>
      <c r="J222" s="15">
        <f t="shared" si="82"/>
        <v>0</v>
      </c>
      <c r="K222" s="15">
        <f t="shared" si="82"/>
        <v>4021758.39</v>
      </c>
      <c r="L222" s="15">
        <f t="shared" si="82"/>
        <v>138715.04</v>
      </c>
      <c r="M222" s="15">
        <f t="shared" si="82"/>
        <v>304380.46785715164</v>
      </c>
      <c r="N222" s="15">
        <f t="shared" si="82"/>
        <v>7348.8076841219918</v>
      </c>
      <c r="O222" s="15">
        <f t="shared" si="82"/>
        <v>239979.18702180573</v>
      </c>
      <c r="P222" s="15">
        <f t="shared" si="82"/>
        <v>589824.3642292514</v>
      </c>
      <c r="Q222" s="15">
        <f t="shared" si="82"/>
        <v>195834.39804157041</v>
      </c>
      <c r="R222" s="15">
        <f t="shared" si="82"/>
        <v>268723.34516609879</v>
      </c>
      <c r="S222" s="15">
        <f t="shared" si="82"/>
        <v>0</v>
      </c>
      <c r="T222" s="15">
        <f t="shared" si="82"/>
        <v>0</v>
      </c>
      <c r="U222" s="15">
        <f t="shared" si="82"/>
        <v>5766564</v>
      </c>
      <c r="V222" s="39" t="str">
        <f>IF(ABS(U222-F222)&lt;1,"ok","err")</f>
        <v>ok</v>
      </c>
    </row>
    <row r="223" spans="1:30" s="9" customFormat="1" x14ac:dyDescent="0.2">
      <c r="A223" s="13"/>
      <c r="B223" s="61"/>
      <c r="C223" s="4"/>
      <c r="D223" s="4"/>
      <c r="E223" s="4"/>
      <c r="F223" s="59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4"/>
      <c r="V223" s="39"/>
    </row>
    <row r="224" spans="1:30" s="9" customFormat="1" x14ac:dyDescent="0.2">
      <c r="A224" s="13"/>
      <c r="B224" s="61"/>
      <c r="C224" s="4"/>
      <c r="D224" s="4"/>
      <c r="E224" s="4"/>
      <c r="F224" s="59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4"/>
      <c r="V224" s="39"/>
    </row>
    <row r="225" spans="1:22" s="9" customFormat="1" x14ac:dyDescent="0.2">
      <c r="A225" s="13"/>
      <c r="B225" s="61"/>
      <c r="C225" s="4"/>
      <c r="D225" s="4"/>
      <c r="E225" s="4"/>
      <c r="F225" s="59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4"/>
      <c r="V225" s="39"/>
    </row>
    <row r="226" spans="1:22" s="9" customFormat="1" x14ac:dyDescent="0.2">
      <c r="A226" s="13"/>
      <c r="B226" s="61"/>
      <c r="C226" s="4"/>
      <c r="D226" s="4"/>
      <c r="E226" s="4"/>
      <c r="F226" s="59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4"/>
      <c r="V226" s="39"/>
    </row>
    <row r="227" spans="1:22" s="9" customFormat="1" x14ac:dyDescent="0.2">
      <c r="A227" s="13"/>
      <c r="B227" s="61"/>
      <c r="C227" s="4"/>
      <c r="D227" s="4"/>
      <c r="E227" s="4"/>
      <c r="F227" s="59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4"/>
      <c r="V227" s="39"/>
    </row>
    <row r="228" spans="1:22" s="9" customFormat="1" x14ac:dyDescent="0.2">
      <c r="A228" s="13"/>
      <c r="B228" s="61"/>
      <c r="C228" s="4"/>
      <c r="D228" s="4"/>
      <c r="E228" s="4"/>
      <c r="F228" s="59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4"/>
      <c r="V228" s="39"/>
    </row>
    <row r="229" spans="1:22" s="9" customFormat="1" x14ac:dyDescent="0.2">
      <c r="A229" s="13"/>
      <c r="B229" s="61"/>
      <c r="C229" s="4"/>
      <c r="D229" s="4"/>
      <c r="E229" s="4"/>
      <c r="F229" s="59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4"/>
      <c r="V229" s="39"/>
    </row>
    <row r="230" spans="1:22" s="9" customFormat="1" x14ac:dyDescent="0.2">
      <c r="A230" s="13"/>
      <c r="B230" s="61"/>
      <c r="C230" s="4"/>
      <c r="D230" s="4"/>
      <c r="E230" s="4"/>
      <c r="F230" s="59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4"/>
      <c r="V230" s="39"/>
    </row>
    <row r="231" spans="1:22" s="9" customFormat="1" x14ac:dyDescent="0.2">
      <c r="A231" s="13"/>
      <c r="B231" s="61"/>
      <c r="C231" s="4"/>
      <c r="D231" s="4"/>
      <c r="E231" s="4"/>
      <c r="F231" s="59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4"/>
      <c r="V231" s="39"/>
    </row>
    <row r="232" spans="1:22" s="9" customFormat="1" x14ac:dyDescent="0.2">
      <c r="A232" s="13"/>
      <c r="B232" s="61"/>
      <c r="C232" s="4"/>
      <c r="D232" s="4"/>
      <c r="E232" s="4"/>
      <c r="F232" s="59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4"/>
      <c r="V232" s="39"/>
    </row>
    <row r="233" spans="1:22" s="9" customFormat="1" x14ac:dyDescent="0.2">
      <c r="A233" s="11" t="s">
        <v>468</v>
      </c>
      <c r="B233" s="61"/>
      <c r="C233" s="4"/>
      <c r="D233" s="4"/>
      <c r="E233" s="4"/>
      <c r="F233" s="59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4"/>
      <c r="V233" s="39"/>
    </row>
    <row r="234" spans="1:22" s="9" customFormat="1" x14ac:dyDescent="0.2">
      <c r="A234" s="13"/>
      <c r="B234" s="61"/>
      <c r="C234" s="4"/>
      <c r="D234" s="4"/>
      <c r="E234" s="4"/>
      <c r="F234" s="59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4"/>
      <c r="V234" s="39"/>
    </row>
    <row r="235" spans="1:22" s="9" customFormat="1" x14ac:dyDescent="0.2">
      <c r="A235" s="13"/>
      <c r="B235" s="61"/>
      <c r="C235" s="4"/>
      <c r="D235" s="4"/>
      <c r="E235" s="4"/>
      <c r="F235" s="59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4"/>
      <c r="V235" s="39"/>
    </row>
    <row r="236" spans="1:22" x14ac:dyDescent="0.2">
      <c r="A236" s="8" t="s">
        <v>190</v>
      </c>
      <c r="B236" s="61"/>
      <c r="C236" s="4"/>
      <c r="D236" s="4"/>
      <c r="E236" s="4"/>
      <c r="F236" s="65"/>
      <c r="G236" s="9"/>
      <c r="H236" s="9"/>
      <c r="I236" s="9"/>
      <c r="J236" s="9"/>
      <c r="K236" s="9"/>
      <c r="L236" s="9"/>
      <c r="M236" s="9"/>
      <c r="N236" s="9"/>
    </row>
    <row r="237" spans="1:22" x14ac:dyDescent="0.2">
      <c r="A237" s="13"/>
      <c r="B237" s="61"/>
      <c r="C237" s="4"/>
      <c r="D237" s="4"/>
      <c r="E237" s="4"/>
      <c r="F237" s="65"/>
      <c r="G237" s="9"/>
      <c r="H237" s="9"/>
      <c r="I237" s="9"/>
      <c r="J237" s="9"/>
      <c r="K237" s="9"/>
      <c r="L237" s="9"/>
      <c r="M237" s="9"/>
      <c r="N237" s="9"/>
    </row>
    <row r="238" spans="1:22" x14ac:dyDescent="0.2">
      <c r="A238" s="13">
        <v>885</v>
      </c>
      <c r="B238" s="61" t="s">
        <v>449</v>
      </c>
      <c r="C238" s="4" t="s">
        <v>528</v>
      </c>
      <c r="D238" s="4" t="s">
        <v>641</v>
      </c>
      <c r="E238" s="4"/>
      <c r="F238" s="65">
        <v>16433.132846500368</v>
      </c>
      <c r="G238" s="14">
        <f t="shared" ref="G238:G249" si="83">(VLOOKUP($D238,$C$5:$AH$1004,5,)/VLOOKUP($D238,$C$5:$AH$1004,4,))*$F238</f>
        <v>0</v>
      </c>
      <c r="H238" s="14">
        <f t="shared" ref="H238:H249" si="84">(VLOOKUP($D238,$C$5:$AH$1004,6,)/VLOOKUP($D238,$C$5:$AH$1004,4,))*$F238</f>
        <v>0</v>
      </c>
      <c r="I238" s="14">
        <f t="shared" ref="I238:I249" si="85">(VLOOKUP($D238,$C$5:$AH$1004,7,)/VLOOKUP($D238,$C$5:$AH$1004,4,))*$F238</f>
        <v>0</v>
      </c>
      <c r="J238" s="14">
        <f t="shared" ref="J238:J249" si="86">(VLOOKUP($D238,$C$5:$AH$1004,8,)/VLOOKUP($D238,$C$5:$AH$1004,4,))*$F238</f>
        <v>0</v>
      </c>
      <c r="K238" s="14">
        <f t="shared" ref="K238:K249" si="87">(VLOOKUP($D238,$C$5:$AH$1004,9,)/VLOOKUP($D238,$C$5:$AH$1004,4,))*$F238</f>
        <v>0</v>
      </c>
      <c r="L238" s="14">
        <f t="shared" ref="L238:L249" si="88">(VLOOKUP($D238,$C$5:$AH$1004,10,)/VLOOKUP($D238,$C$5:$AH$1004,4,))*$F238</f>
        <v>0</v>
      </c>
      <c r="M238" s="14">
        <f t="shared" ref="M238:M249" si="89">(VLOOKUP($D238,$C$5:$AH$1004,11,)/VLOOKUP($D238,$C$5:$AH$1004,4,))*$F238</f>
        <v>0</v>
      </c>
      <c r="N238" s="14">
        <f t="shared" ref="N238:N249" si="90">(VLOOKUP($D238,$C$5:$AH$1004,12,)/VLOOKUP($D238,$C$5:$AH$1004,4,))*$F238</f>
        <v>1373.5716463993292</v>
      </c>
      <c r="O238" s="14">
        <f t="shared" ref="O238:O249" si="91">(VLOOKUP($D238,$C$5:$AH$1004,13,)/VLOOKUP($D238,$C$5:$AH$1004,4,))*$F238</f>
        <v>1331.1888049146348</v>
      </c>
      <c r="P238" s="14">
        <f t="shared" ref="P238:P249" si="92">(VLOOKUP($D238,$C$5:$AH$1004,14,)/VLOOKUP($D238,$C$5:$AH$1004,4,))*$F238</f>
        <v>3271.815361456855</v>
      </c>
      <c r="Q238" s="14">
        <f t="shared" ref="Q238:Q249" si="93">(VLOOKUP($D238,$C$5:$AH$1004,15,)/VLOOKUP($D238,$C$5:$AH$1004,4,))*$F238</f>
        <v>2932.1924713739472</v>
      </c>
      <c r="R238" s="14">
        <f t="shared" ref="R238:R249" si="94">(VLOOKUP($D238,$C$5:$AH$1004,16,)/VLOOKUP($D238,$C$5:$AH$1004,4,))*$F238</f>
        <v>7524.3645623556022</v>
      </c>
      <c r="S238" s="14">
        <f t="shared" ref="S238:S249" si="95">(VLOOKUP($D238,$C$5:$AH$1004,17,)/VLOOKUP($D238,$C$5:$AH$1004,4,))*$F238</f>
        <v>0</v>
      </c>
      <c r="T238" s="14">
        <f t="shared" ref="T238:T249" si="96">(VLOOKUP($D238,$C$5:$AH$1004,18,)/VLOOKUP($D238,$C$5:$AH$1004,4,))*$F238</f>
        <v>0</v>
      </c>
      <c r="U238" s="14">
        <f>SUM(G238:T238)</f>
        <v>16433.132846500368</v>
      </c>
      <c r="V238" s="39" t="str">
        <f>IF(ABS(U238-F238)&lt;1,"ok","err")</f>
        <v>ok</v>
      </c>
    </row>
    <row r="239" spans="1:22" x14ac:dyDescent="0.2">
      <c r="A239" s="13">
        <v>886</v>
      </c>
      <c r="B239" s="61" t="s">
        <v>450</v>
      </c>
      <c r="C239" s="4" t="s">
        <v>529</v>
      </c>
      <c r="D239" s="4" t="s">
        <v>38</v>
      </c>
      <c r="E239" s="4"/>
      <c r="F239" s="64">
        <v>5053.1523170265746</v>
      </c>
      <c r="G239" s="14">
        <f t="shared" si="83"/>
        <v>0</v>
      </c>
      <c r="H239" s="14">
        <f t="shared" si="84"/>
        <v>0</v>
      </c>
      <c r="I239" s="14">
        <f t="shared" si="85"/>
        <v>0</v>
      </c>
      <c r="J239" s="14">
        <f t="shared" si="86"/>
        <v>0</v>
      </c>
      <c r="K239" s="14">
        <f t="shared" si="87"/>
        <v>0</v>
      </c>
      <c r="L239" s="14">
        <f t="shared" si="88"/>
        <v>0</v>
      </c>
      <c r="M239" s="14">
        <f t="shared" si="89"/>
        <v>0</v>
      </c>
      <c r="N239" s="14">
        <f t="shared" si="90"/>
        <v>5053.1523170265746</v>
      </c>
      <c r="O239" s="14">
        <f t="shared" si="91"/>
        <v>0</v>
      </c>
      <c r="P239" s="14">
        <f t="shared" si="92"/>
        <v>0</v>
      </c>
      <c r="Q239" s="14">
        <f t="shared" si="93"/>
        <v>0</v>
      </c>
      <c r="R239" s="14">
        <f t="shared" si="94"/>
        <v>0</v>
      </c>
      <c r="S239" s="14">
        <f t="shared" si="95"/>
        <v>0</v>
      </c>
      <c r="T239" s="14">
        <f t="shared" si="96"/>
        <v>0</v>
      </c>
      <c r="U239" s="14">
        <f t="shared" ref="U239:U247" si="97">SUM(G239:T239)</f>
        <v>5053.1523170265746</v>
      </c>
      <c r="V239" s="39" t="str">
        <f t="shared" ref="V239:V253" si="98">IF(ABS(U239-F239)&lt;1,"ok","err")</f>
        <v>ok</v>
      </c>
    </row>
    <row r="240" spans="1:22" x14ac:dyDescent="0.2">
      <c r="A240" s="13">
        <v>887</v>
      </c>
      <c r="B240" s="61" t="s">
        <v>451</v>
      </c>
      <c r="C240" s="4" t="s">
        <v>530</v>
      </c>
      <c r="D240" s="4" t="s">
        <v>40</v>
      </c>
      <c r="E240" s="4"/>
      <c r="F240" s="64">
        <v>0</v>
      </c>
      <c r="G240" s="14">
        <f t="shared" si="83"/>
        <v>0</v>
      </c>
      <c r="H240" s="14">
        <f t="shared" si="84"/>
        <v>0</v>
      </c>
      <c r="I240" s="14">
        <f t="shared" si="85"/>
        <v>0</v>
      </c>
      <c r="J240" s="14">
        <f t="shared" si="86"/>
        <v>0</v>
      </c>
      <c r="K240" s="14">
        <f t="shared" si="87"/>
        <v>0</v>
      </c>
      <c r="L240" s="14">
        <f t="shared" si="88"/>
        <v>0</v>
      </c>
      <c r="M240" s="14">
        <f t="shared" si="89"/>
        <v>0</v>
      </c>
      <c r="N240" s="14">
        <f t="shared" si="90"/>
        <v>0</v>
      </c>
      <c r="O240" s="14">
        <f t="shared" si="91"/>
        <v>0</v>
      </c>
      <c r="P240" s="14">
        <f t="shared" si="92"/>
        <v>0</v>
      </c>
      <c r="Q240" s="14">
        <f t="shared" si="93"/>
        <v>0</v>
      </c>
      <c r="R240" s="14">
        <f t="shared" si="94"/>
        <v>0</v>
      </c>
      <c r="S240" s="14">
        <f t="shared" si="95"/>
        <v>0</v>
      </c>
      <c r="T240" s="14">
        <f t="shared" si="96"/>
        <v>0</v>
      </c>
      <c r="U240" s="14">
        <f t="shared" si="97"/>
        <v>0</v>
      </c>
      <c r="V240" s="39" t="str">
        <f t="shared" si="98"/>
        <v>ok</v>
      </c>
    </row>
    <row r="241" spans="1:24" x14ac:dyDescent="0.2">
      <c r="A241" s="13">
        <v>888</v>
      </c>
      <c r="B241" s="61" t="s">
        <v>452</v>
      </c>
      <c r="C241" s="4" t="s">
        <v>531</v>
      </c>
      <c r="D241" s="4" t="s">
        <v>35</v>
      </c>
      <c r="E241" s="4"/>
      <c r="F241" s="64">
        <v>0</v>
      </c>
      <c r="G241" s="14">
        <f t="shared" si="83"/>
        <v>0</v>
      </c>
      <c r="H241" s="14">
        <f t="shared" si="84"/>
        <v>0</v>
      </c>
      <c r="I241" s="14">
        <f t="shared" si="85"/>
        <v>0</v>
      </c>
      <c r="J241" s="14">
        <f t="shared" si="86"/>
        <v>0</v>
      </c>
      <c r="K241" s="14">
        <f t="shared" si="87"/>
        <v>0</v>
      </c>
      <c r="L241" s="14">
        <f t="shared" si="88"/>
        <v>0</v>
      </c>
      <c r="M241" s="14">
        <f t="shared" si="89"/>
        <v>0</v>
      </c>
      <c r="N241" s="14">
        <f t="shared" si="90"/>
        <v>0</v>
      </c>
      <c r="O241" s="14">
        <f t="shared" si="91"/>
        <v>0</v>
      </c>
      <c r="P241" s="14">
        <f t="shared" si="92"/>
        <v>0</v>
      </c>
      <c r="Q241" s="14">
        <f t="shared" si="93"/>
        <v>0</v>
      </c>
      <c r="R241" s="14">
        <f t="shared" si="94"/>
        <v>0</v>
      </c>
      <c r="S241" s="14">
        <f t="shared" si="95"/>
        <v>0</v>
      </c>
      <c r="T241" s="14">
        <f t="shared" si="96"/>
        <v>0</v>
      </c>
      <c r="U241" s="14">
        <f t="shared" si="97"/>
        <v>0</v>
      </c>
      <c r="V241" s="39" t="str">
        <f t="shared" si="98"/>
        <v>ok</v>
      </c>
    </row>
    <row r="242" spans="1:24" x14ac:dyDescent="0.2">
      <c r="A242" s="13">
        <v>889</v>
      </c>
      <c r="B242" s="61" t="s">
        <v>453</v>
      </c>
      <c r="C242" s="4" t="s">
        <v>532</v>
      </c>
      <c r="D242" s="4" t="s">
        <v>38</v>
      </c>
      <c r="E242" s="4"/>
      <c r="F242" s="64">
        <v>0.76382373738233489</v>
      </c>
      <c r="G242" s="14">
        <f t="shared" si="83"/>
        <v>0</v>
      </c>
      <c r="H242" s="14">
        <f t="shared" si="84"/>
        <v>0</v>
      </c>
      <c r="I242" s="14">
        <f t="shared" si="85"/>
        <v>0</v>
      </c>
      <c r="J242" s="14">
        <f t="shared" si="86"/>
        <v>0</v>
      </c>
      <c r="K242" s="14">
        <f t="shared" si="87"/>
        <v>0</v>
      </c>
      <c r="L242" s="14">
        <f t="shared" si="88"/>
        <v>0</v>
      </c>
      <c r="M242" s="14">
        <f t="shared" si="89"/>
        <v>0</v>
      </c>
      <c r="N242" s="14">
        <f t="shared" si="90"/>
        <v>0.76382373738233489</v>
      </c>
      <c r="O242" s="14">
        <f t="shared" si="91"/>
        <v>0</v>
      </c>
      <c r="P242" s="14">
        <f t="shared" si="92"/>
        <v>0</v>
      </c>
      <c r="Q242" s="14">
        <f t="shared" si="93"/>
        <v>0</v>
      </c>
      <c r="R242" s="14">
        <f t="shared" si="94"/>
        <v>0</v>
      </c>
      <c r="S242" s="14">
        <f t="shared" si="95"/>
        <v>0</v>
      </c>
      <c r="T242" s="14">
        <f t="shared" si="96"/>
        <v>0</v>
      </c>
      <c r="U242" s="14">
        <f t="shared" si="97"/>
        <v>0.76382373738233489</v>
      </c>
      <c r="V242" s="39" t="str">
        <f t="shared" si="98"/>
        <v>ok</v>
      </c>
    </row>
    <row r="243" spans="1:24" x14ac:dyDescent="0.2">
      <c r="A243" s="13">
        <v>890</v>
      </c>
      <c r="B243" s="61" t="s">
        <v>454</v>
      </c>
      <c r="C243" s="4" t="s">
        <v>533</v>
      </c>
      <c r="D243" s="4" t="s">
        <v>45</v>
      </c>
      <c r="E243" s="4"/>
      <c r="F243" s="64">
        <v>0</v>
      </c>
      <c r="G243" s="14">
        <f t="shared" si="83"/>
        <v>0</v>
      </c>
      <c r="H243" s="14">
        <f t="shared" si="84"/>
        <v>0</v>
      </c>
      <c r="I243" s="14">
        <f t="shared" si="85"/>
        <v>0</v>
      </c>
      <c r="J243" s="14">
        <f t="shared" si="86"/>
        <v>0</v>
      </c>
      <c r="K243" s="14">
        <f t="shared" si="87"/>
        <v>0</v>
      </c>
      <c r="L243" s="14">
        <f t="shared" si="88"/>
        <v>0</v>
      </c>
      <c r="M243" s="14">
        <f t="shared" si="89"/>
        <v>0</v>
      </c>
      <c r="N243" s="14">
        <f t="shared" si="90"/>
        <v>0</v>
      </c>
      <c r="O243" s="14">
        <f t="shared" si="91"/>
        <v>0</v>
      </c>
      <c r="P243" s="14">
        <f t="shared" si="92"/>
        <v>0</v>
      </c>
      <c r="Q243" s="14">
        <f t="shared" si="93"/>
        <v>0</v>
      </c>
      <c r="R243" s="14">
        <f t="shared" si="94"/>
        <v>0</v>
      </c>
      <c r="S243" s="14">
        <f t="shared" si="95"/>
        <v>0</v>
      </c>
      <c r="T243" s="14">
        <f t="shared" si="96"/>
        <v>0</v>
      </c>
      <c r="U243" s="14">
        <f t="shared" si="97"/>
        <v>0</v>
      </c>
      <c r="V243" s="39" t="str">
        <f t="shared" si="98"/>
        <v>ok</v>
      </c>
    </row>
    <row r="244" spans="1:24" x14ac:dyDescent="0.2">
      <c r="A244" s="13">
        <v>891</v>
      </c>
      <c r="B244" s="61" t="s">
        <v>455</v>
      </c>
      <c r="C244" s="4" t="s">
        <v>534</v>
      </c>
      <c r="D244" s="4" t="s">
        <v>38</v>
      </c>
      <c r="E244" s="4"/>
      <c r="F244" s="64">
        <v>0</v>
      </c>
      <c r="G244" s="14">
        <f t="shared" si="83"/>
        <v>0</v>
      </c>
      <c r="H244" s="14">
        <f t="shared" si="84"/>
        <v>0</v>
      </c>
      <c r="I244" s="14">
        <f t="shared" si="85"/>
        <v>0</v>
      </c>
      <c r="J244" s="14">
        <f t="shared" si="86"/>
        <v>0</v>
      </c>
      <c r="K244" s="14">
        <f t="shared" si="87"/>
        <v>0</v>
      </c>
      <c r="L244" s="14">
        <f t="shared" si="88"/>
        <v>0</v>
      </c>
      <c r="M244" s="14">
        <f t="shared" si="89"/>
        <v>0</v>
      </c>
      <c r="N244" s="14">
        <f t="shared" si="90"/>
        <v>0</v>
      </c>
      <c r="O244" s="14">
        <f t="shared" si="91"/>
        <v>0</v>
      </c>
      <c r="P244" s="14">
        <f t="shared" si="92"/>
        <v>0</v>
      </c>
      <c r="Q244" s="14">
        <f t="shared" si="93"/>
        <v>0</v>
      </c>
      <c r="R244" s="14">
        <f t="shared" si="94"/>
        <v>0</v>
      </c>
      <c r="S244" s="14">
        <f t="shared" si="95"/>
        <v>0</v>
      </c>
      <c r="T244" s="14">
        <f t="shared" si="96"/>
        <v>0</v>
      </c>
      <c r="U244" s="14">
        <f t="shared" si="97"/>
        <v>0</v>
      </c>
      <c r="V244" s="39" t="str">
        <f t="shared" si="98"/>
        <v>ok</v>
      </c>
    </row>
    <row r="245" spans="1:24" x14ac:dyDescent="0.2">
      <c r="A245" s="13">
        <v>892</v>
      </c>
      <c r="B245" s="61" t="s">
        <v>456</v>
      </c>
      <c r="C245" s="4" t="s">
        <v>535</v>
      </c>
      <c r="D245" s="4" t="s">
        <v>42</v>
      </c>
      <c r="E245" s="4"/>
      <c r="F245" s="64">
        <v>7707.5925691776656</v>
      </c>
      <c r="G245" s="14">
        <f t="shared" si="83"/>
        <v>0</v>
      </c>
      <c r="H245" s="14">
        <f t="shared" si="84"/>
        <v>0</v>
      </c>
      <c r="I245" s="14">
        <f t="shared" si="85"/>
        <v>0</v>
      </c>
      <c r="J245" s="14">
        <f t="shared" si="86"/>
        <v>0</v>
      </c>
      <c r="K245" s="14">
        <f t="shared" si="87"/>
        <v>0</v>
      </c>
      <c r="L245" s="14">
        <f t="shared" si="88"/>
        <v>0</v>
      </c>
      <c r="M245" s="14">
        <f t="shared" si="89"/>
        <v>0</v>
      </c>
      <c r="N245" s="14">
        <f t="shared" si="90"/>
        <v>0</v>
      </c>
      <c r="O245" s="14">
        <f t="shared" si="91"/>
        <v>0</v>
      </c>
      <c r="P245" s="14">
        <f t="shared" si="92"/>
        <v>0</v>
      </c>
      <c r="Q245" s="14">
        <f t="shared" si="93"/>
        <v>7707.5925691776656</v>
      </c>
      <c r="R245" s="14">
        <f t="shared" si="94"/>
        <v>0</v>
      </c>
      <c r="S245" s="14">
        <f t="shared" si="95"/>
        <v>0</v>
      </c>
      <c r="T245" s="14">
        <f t="shared" si="96"/>
        <v>0</v>
      </c>
      <c r="U245" s="14">
        <f t="shared" si="97"/>
        <v>7707.5925691776656</v>
      </c>
      <c r="V245" s="39" t="str">
        <f t="shared" si="98"/>
        <v>ok</v>
      </c>
    </row>
    <row r="246" spans="1:24" x14ac:dyDescent="0.2">
      <c r="A246" s="13">
        <v>893</v>
      </c>
      <c r="B246" s="61" t="s">
        <v>457</v>
      </c>
      <c r="C246" s="4" t="s">
        <v>536</v>
      </c>
      <c r="D246" s="4" t="s">
        <v>45</v>
      </c>
      <c r="E246" s="4"/>
      <c r="F246" s="64">
        <v>27131.324681315487</v>
      </c>
      <c r="G246" s="14">
        <f t="shared" si="83"/>
        <v>0</v>
      </c>
      <c r="H246" s="14">
        <f t="shared" si="84"/>
        <v>0</v>
      </c>
      <c r="I246" s="14">
        <f t="shared" si="85"/>
        <v>0</v>
      </c>
      <c r="J246" s="14">
        <f t="shared" si="86"/>
        <v>0</v>
      </c>
      <c r="K246" s="14">
        <f t="shared" si="87"/>
        <v>0</v>
      </c>
      <c r="L246" s="14">
        <f t="shared" si="88"/>
        <v>0</v>
      </c>
      <c r="M246" s="14">
        <f t="shared" si="89"/>
        <v>0</v>
      </c>
      <c r="N246" s="14">
        <f t="shared" si="90"/>
        <v>0</v>
      </c>
      <c r="O246" s="14">
        <f t="shared" si="91"/>
        <v>0</v>
      </c>
      <c r="P246" s="14">
        <f t="shared" si="92"/>
        <v>0</v>
      </c>
      <c r="Q246" s="14">
        <f t="shared" si="93"/>
        <v>0</v>
      </c>
      <c r="R246" s="14">
        <f t="shared" si="94"/>
        <v>27131.324681315487</v>
      </c>
      <c r="S246" s="14">
        <f t="shared" si="95"/>
        <v>0</v>
      </c>
      <c r="T246" s="14">
        <f t="shared" si="96"/>
        <v>0</v>
      </c>
      <c r="U246" s="14">
        <f t="shared" si="97"/>
        <v>27131.324681315487</v>
      </c>
      <c r="V246" s="39" t="str">
        <f t="shared" si="98"/>
        <v>ok</v>
      </c>
    </row>
    <row r="247" spans="1:24" x14ac:dyDescent="0.2">
      <c r="A247" s="13">
        <v>894</v>
      </c>
      <c r="B247" s="61" t="s">
        <v>458</v>
      </c>
      <c r="C247" s="4" t="s">
        <v>537</v>
      </c>
      <c r="D247" s="4" t="s">
        <v>203</v>
      </c>
      <c r="E247" s="4"/>
      <c r="F247" s="64">
        <v>28724.813762242517</v>
      </c>
      <c r="G247" s="14">
        <f t="shared" si="83"/>
        <v>0</v>
      </c>
      <c r="H247" s="14">
        <f t="shared" si="84"/>
        <v>0</v>
      </c>
      <c r="I247" s="14">
        <f t="shared" si="85"/>
        <v>0</v>
      </c>
      <c r="J247" s="14">
        <f t="shared" si="86"/>
        <v>0</v>
      </c>
      <c r="K247" s="14">
        <f t="shared" si="87"/>
        <v>0</v>
      </c>
      <c r="L247" s="14">
        <f t="shared" si="88"/>
        <v>0</v>
      </c>
      <c r="M247" s="14">
        <f t="shared" si="89"/>
        <v>0</v>
      </c>
      <c r="N247" s="14">
        <f t="shared" si="90"/>
        <v>681.52429247958275</v>
      </c>
      <c r="O247" s="14">
        <f t="shared" si="91"/>
        <v>5558.4680391465254</v>
      </c>
      <c r="P247" s="14">
        <f t="shared" si="92"/>
        <v>13661.684240059994</v>
      </c>
      <c r="Q247" s="14">
        <f t="shared" si="93"/>
        <v>4535.9735399914398</v>
      </c>
      <c r="R247" s="14">
        <f t="shared" si="94"/>
        <v>4287.1636505649712</v>
      </c>
      <c r="S247" s="14">
        <f t="shared" si="95"/>
        <v>0</v>
      </c>
      <c r="T247" s="14">
        <f t="shared" si="96"/>
        <v>0</v>
      </c>
      <c r="U247" s="14">
        <f t="shared" si="97"/>
        <v>28724.813762242513</v>
      </c>
      <c r="V247" s="39" t="str">
        <f t="shared" si="98"/>
        <v>ok</v>
      </c>
    </row>
    <row r="248" spans="1:24" s="9" customFormat="1" x14ac:dyDescent="0.2">
      <c r="A248" s="13">
        <v>898</v>
      </c>
      <c r="B248" s="9" t="s">
        <v>689</v>
      </c>
      <c r="C248" s="4" t="s">
        <v>708</v>
      </c>
      <c r="D248" s="4" t="s">
        <v>203</v>
      </c>
      <c r="E248" s="4"/>
      <c r="F248" s="64">
        <v>0</v>
      </c>
      <c r="G248" s="14">
        <f t="shared" si="83"/>
        <v>0</v>
      </c>
      <c r="H248" s="14">
        <f t="shared" si="84"/>
        <v>0</v>
      </c>
      <c r="I248" s="14">
        <f t="shared" si="85"/>
        <v>0</v>
      </c>
      <c r="J248" s="14">
        <f t="shared" si="86"/>
        <v>0</v>
      </c>
      <c r="K248" s="14">
        <f t="shared" si="87"/>
        <v>0</v>
      </c>
      <c r="L248" s="14">
        <f t="shared" si="88"/>
        <v>0</v>
      </c>
      <c r="M248" s="14">
        <f t="shared" si="89"/>
        <v>0</v>
      </c>
      <c r="N248" s="14">
        <f t="shared" si="90"/>
        <v>0</v>
      </c>
      <c r="O248" s="14">
        <f t="shared" si="91"/>
        <v>0</v>
      </c>
      <c r="P248" s="14">
        <f t="shared" si="92"/>
        <v>0</v>
      </c>
      <c r="Q248" s="14">
        <f t="shared" si="93"/>
        <v>0</v>
      </c>
      <c r="R248" s="14">
        <f t="shared" si="94"/>
        <v>0</v>
      </c>
      <c r="S248" s="14">
        <f t="shared" si="95"/>
        <v>0</v>
      </c>
      <c r="T248" s="14">
        <f t="shared" si="96"/>
        <v>0</v>
      </c>
      <c r="U248" s="14">
        <f>SUM(G248:T248)</f>
        <v>0</v>
      </c>
      <c r="V248" s="39" t="str">
        <f>IF(ABS(U248-F248)&lt;1,"ok","err")</f>
        <v>ok</v>
      </c>
      <c r="X248" s="19"/>
    </row>
    <row r="249" spans="1:24" s="9" customFormat="1" x14ac:dyDescent="0.2">
      <c r="A249" s="13">
        <v>900</v>
      </c>
      <c r="B249" s="9" t="s">
        <v>691</v>
      </c>
      <c r="C249" s="4" t="s">
        <v>709</v>
      </c>
      <c r="D249" s="31" t="s">
        <v>694</v>
      </c>
      <c r="E249" s="4"/>
      <c r="F249" s="64">
        <v>0</v>
      </c>
      <c r="G249" s="14">
        <f t="shared" si="83"/>
        <v>0</v>
      </c>
      <c r="H249" s="14">
        <f t="shared" si="84"/>
        <v>0</v>
      </c>
      <c r="I249" s="14">
        <f t="shared" si="85"/>
        <v>0</v>
      </c>
      <c r="J249" s="14">
        <f t="shared" si="86"/>
        <v>0</v>
      </c>
      <c r="K249" s="14">
        <f t="shared" si="87"/>
        <v>0</v>
      </c>
      <c r="L249" s="14">
        <f t="shared" si="88"/>
        <v>0</v>
      </c>
      <c r="M249" s="14">
        <f t="shared" si="89"/>
        <v>0</v>
      </c>
      <c r="N249" s="14">
        <f t="shared" si="90"/>
        <v>0</v>
      </c>
      <c r="O249" s="14">
        <f t="shared" si="91"/>
        <v>0</v>
      </c>
      <c r="P249" s="14">
        <f t="shared" si="92"/>
        <v>0</v>
      </c>
      <c r="Q249" s="14">
        <f t="shared" si="93"/>
        <v>0</v>
      </c>
      <c r="R249" s="14">
        <f t="shared" si="94"/>
        <v>0</v>
      </c>
      <c r="S249" s="14">
        <f t="shared" si="95"/>
        <v>0</v>
      </c>
      <c r="T249" s="14">
        <f t="shared" si="96"/>
        <v>0</v>
      </c>
      <c r="U249" s="14">
        <f>SUM(G249:T249)</f>
        <v>0</v>
      </c>
      <c r="V249" s="39" t="str">
        <f>IF(ABS(U249-F249)&lt;1,"ok","err")</f>
        <v>ok</v>
      </c>
      <c r="X249" s="19"/>
    </row>
    <row r="250" spans="1:24" x14ac:dyDescent="0.2">
      <c r="B250" s="61"/>
      <c r="C250" s="4"/>
      <c r="D250" s="4"/>
      <c r="E250" s="4"/>
      <c r="F250" s="65"/>
      <c r="G250" s="9"/>
      <c r="H250" s="9"/>
      <c r="I250" s="9"/>
      <c r="J250" s="9"/>
      <c r="K250" s="9"/>
      <c r="L250" s="9"/>
      <c r="M250" s="9"/>
      <c r="N250" s="9"/>
      <c r="X250" s="17"/>
    </row>
    <row r="251" spans="1:24" x14ac:dyDescent="0.2">
      <c r="A251" s="13" t="s">
        <v>189</v>
      </c>
      <c r="B251" s="61"/>
      <c r="C251" s="4" t="s">
        <v>538</v>
      </c>
      <c r="D251" s="4"/>
      <c r="E251" s="4"/>
      <c r="F251" s="65">
        <f>SUM(F238:F249)</f>
        <v>85050.78</v>
      </c>
      <c r="G251" s="12">
        <f t="shared" ref="G251:U251" si="99">SUM(G238:G249)</f>
        <v>0</v>
      </c>
      <c r="H251" s="12">
        <f t="shared" si="99"/>
        <v>0</v>
      </c>
      <c r="I251" s="12">
        <f t="shared" si="99"/>
        <v>0</v>
      </c>
      <c r="J251" s="12">
        <f t="shared" si="99"/>
        <v>0</v>
      </c>
      <c r="K251" s="12">
        <f t="shared" si="99"/>
        <v>0</v>
      </c>
      <c r="L251" s="12">
        <f t="shared" si="99"/>
        <v>0</v>
      </c>
      <c r="M251" s="12">
        <f t="shared" si="99"/>
        <v>0</v>
      </c>
      <c r="N251" s="12">
        <f t="shared" si="99"/>
        <v>7109.0120796428691</v>
      </c>
      <c r="O251" s="12">
        <f t="shared" si="99"/>
        <v>6889.65684406116</v>
      </c>
      <c r="P251" s="12">
        <f t="shared" si="99"/>
        <v>16933.499601516851</v>
      </c>
      <c r="Q251" s="12">
        <f t="shared" si="99"/>
        <v>15175.758580543054</v>
      </c>
      <c r="R251" s="12">
        <f t="shared" si="99"/>
        <v>38942.852894236064</v>
      </c>
      <c r="S251" s="12">
        <f t="shared" si="99"/>
        <v>0</v>
      </c>
      <c r="T251" s="12">
        <f t="shared" si="99"/>
        <v>0</v>
      </c>
      <c r="U251" s="12">
        <f t="shared" si="99"/>
        <v>85050.78</v>
      </c>
      <c r="V251" s="39" t="str">
        <f t="shared" si="98"/>
        <v>ok</v>
      </c>
    </row>
    <row r="252" spans="1:24" x14ac:dyDescent="0.2">
      <c r="A252" s="13"/>
      <c r="B252" s="61"/>
      <c r="C252" s="4"/>
      <c r="D252" s="4"/>
      <c r="E252" s="4"/>
      <c r="F252" s="65"/>
    </row>
    <row r="253" spans="1:24" x14ac:dyDescent="0.2">
      <c r="A253" s="13" t="s">
        <v>593</v>
      </c>
      <c r="B253" s="61"/>
      <c r="C253" s="4" t="s">
        <v>352</v>
      </c>
      <c r="D253" s="4"/>
      <c r="E253" s="4"/>
      <c r="F253" s="59">
        <f>F147+F194+F220+F251</f>
        <v>5884009.8600000003</v>
      </c>
      <c r="G253" s="15">
        <f t="shared" ref="G253:U253" si="100">G147+G194+G220+G251</f>
        <v>0</v>
      </c>
      <c r="H253" s="15">
        <f t="shared" si="100"/>
        <v>0</v>
      </c>
      <c r="I253" s="15">
        <f t="shared" si="100"/>
        <v>0</v>
      </c>
      <c r="J253" s="15">
        <f t="shared" si="100"/>
        <v>0</v>
      </c>
      <c r="K253" s="15">
        <f t="shared" si="100"/>
        <v>4021758.39</v>
      </c>
      <c r="L253" s="15">
        <f t="shared" si="100"/>
        <v>171110.12</v>
      </c>
      <c r="M253" s="15">
        <f t="shared" si="100"/>
        <v>304380.46785715164</v>
      </c>
      <c r="N253" s="15">
        <f t="shared" si="100"/>
        <v>14457.819763764861</v>
      </c>
      <c r="O253" s="15">
        <f t="shared" si="100"/>
        <v>246868.84386586689</v>
      </c>
      <c r="P253" s="15">
        <f t="shared" si="100"/>
        <v>606757.86383076827</v>
      </c>
      <c r="Q253" s="15">
        <f t="shared" si="100"/>
        <v>211010.15662211346</v>
      </c>
      <c r="R253" s="15">
        <f t="shared" si="100"/>
        <v>307666.19806033483</v>
      </c>
      <c r="S253" s="15">
        <f t="shared" si="100"/>
        <v>0</v>
      </c>
      <c r="T253" s="15">
        <f t="shared" si="100"/>
        <v>0</v>
      </c>
      <c r="U253" s="15">
        <f t="shared" si="100"/>
        <v>5884009.8600000003</v>
      </c>
      <c r="V253" s="39" t="str">
        <f t="shared" si="98"/>
        <v>ok</v>
      </c>
    </row>
    <row r="254" spans="1:24" s="9" customFormat="1" x14ac:dyDescent="0.2">
      <c r="A254" s="13"/>
      <c r="B254" s="61"/>
      <c r="C254" s="4"/>
      <c r="D254" s="4"/>
      <c r="E254" s="4"/>
      <c r="F254" s="59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4"/>
      <c r="V254" s="39"/>
    </row>
    <row r="255" spans="1:24" s="9" customFormat="1" x14ac:dyDescent="0.2">
      <c r="A255" s="10"/>
      <c r="B255" s="61"/>
      <c r="C255" s="4"/>
      <c r="D255" s="4"/>
      <c r="E255" s="4"/>
      <c r="F255" s="64"/>
      <c r="G255" s="4"/>
      <c r="H255" s="4"/>
      <c r="I255" s="4"/>
      <c r="J255" s="4"/>
      <c r="K255" s="4"/>
      <c r="L255" s="4"/>
      <c r="M255" s="4"/>
      <c r="N255" s="4"/>
    </row>
    <row r="256" spans="1:24" s="9" customFormat="1" x14ac:dyDescent="0.2">
      <c r="A256" s="10" t="s">
        <v>470</v>
      </c>
      <c r="B256" s="61"/>
      <c r="C256" s="4"/>
      <c r="D256" s="4"/>
      <c r="E256" s="4"/>
      <c r="F256" s="64"/>
      <c r="G256" s="4"/>
      <c r="H256" s="4"/>
      <c r="I256" s="4"/>
      <c r="J256" s="4"/>
      <c r="K256" s="4"/>
      <c r="L256" s="4"/>
      <c r="M256" s="4"/>
      <c r="N256" s="4"/>
    </row>
    <row r="257" spans="1:22" s="9" customFormat="1" x14ac:dyDescent="0.2">
      <c r="A257" s="13">
        <v>901</v>
      </c>
      <c r="B257" s="61" t="s">
        <v>141</v>
      </c>
      <c r="C257" s="4" t="s">
        <v>543</v>
      </c>
      <c r="D257" s="4" t="s">
        <v>48</v>
      </c>
      <c r="E257" s="4"/>
      <c r="F257" s="59">
        <v>0</v>
      </c>
      <c r="G257" s="14">
        <f>(VLOOKUP($D257,$C$5:$AH$1004,5,)/VLOOKUP($D257,$C$5:$AH$1004,4,))*$F257</f>
        <v>0</v>
      </c>
      <c r="H257" s="14">
        <f>(VLOOKUP($D257,$C$5:$AH$1004,6,)/VLOOKUP($D257,$C$5:$AH$1004,4,))*$F257</f>
        <v>0</v>
      </c>
      <c r="I257" s="14">
        <f>(VLOOKUP($D257,$C$5:$AH$1004,7,)/VLOOKUP($D257,$C$5:$AH$1004,4,))*$F257</f>
        <v>0</v>
      </c>
      <c r="J257" s="14">
        <f>(VLOOKUP($D257,$C$5:$AH$1004,8,)/VLOOKUP($D257,$C$5:$AH$1004,4,))*$F257</f>
        <v>0</v>
      </c>
      <c r="K257" s="14">
        <f>(VLOOKUP($D257,$C$5:$AH$1004,9,)/VLOOKUP($D257,$C$5:$AH$1004,4,))*$F257</f>
        <v>0</v>
      </c>
      <c r="L257" s="14">
        <f>(VLOOKUP($D257,$C$5:$AH$1004,10,)/VLOOKUP($D257,$C$5:$AH$1004,4,))*$F257</f>
        <v>0</v>
      </c>
      <c r="M257" s="14">
        <f>(VLOOKUP($D257,$C$5:$AH$1004,11,)/VLOOKUP($D257,$C$5:$AH$1004,4,))*$F257</f>
        <v>0</v>
      </c>
      <c r="N257" s="14">
        <f>(VLOOKUP($D257,$C$5:$AH$1004,12,)/VLOOKUP($D257,$C$5:$AH$1004,4,))*$F257</f>
        <v>0</v>
      </c>
      <c r="O257" s="14">
        <f>(VLOOKUP($D257,$C$5:$AH$1004,13,)/VLOOKUP($D257,$C$5:$AH$1004,4,))*$F257</f>
        <v>0</v>
      </c>
      <c r="P257" s="14">
        <f>(VLOOKUP($D257,$C$5:$AH$1004,14,)/VLOOKUP($D257,$C$5:$AH$1004,4,))*$F257</f>
        <v>0</v>
      </c>
      <c r="Q257" s="14">
        <f>(VLOOKUP($D257,$C$5:$AH$1004,15,)/VLOOKUP($D257,$C$5:$AH$1004,4,))*$F257</f>
        <v>0</v>
      </c>
      <c r="R257" s="14">
        <f>(VLOOKUP($D257,$C$5:$AH$1004,16,)/VLOOKUP($D257,$C$5:$AH$1004,4,))*$F257</f>
        <v>0</v>
      </c>
      <c r="S257" s="14">
        <f>(VLOOKUP($D257,$C$5:$AH$1004,17,)/VLOOKUP($D257,$C$5:$AH$1004,4,))*$F257</f>
        <v>0</v>
      </c>
      <c r="T257" s="14">
        <f>(VLOOKUP($D257,$C$5:$AH$1004,18,)/VLOOKUP($D257,$C$5:$AH$1004,4,))*$F257</f>
        <v>0</v>
      </c>
      <c r="U257" s="14">
        <f>SUM(G257:T257)</f>
        <v>0</v>
      </c>
      <c r="V257" s="39" t="str">
        <f>IF(ABS(U257-F257)&lt;1,"ok","err")</f>
        <v>ok</v>
      </c>
    </row>
    <row r="258" spans="1:22" s="9" customFormat="1" x14ac:dyDescent="0.2">
      <c r="A258" s="13">
        <v>902</v>
      </c>
      <c r="B258" s="61" t="s">
        <v>143</v>
      </c>
      <c r="C258" s="4" t="s">
        <v>544</v>
      </c>
      <c r="D258" s="4" t="s">
        <v>48</v>
      </c>
      <c r="E258" s="4"/>
      <c r="F258" s="64">
        <v>0</v>
      </c>
      <c r="G258" s="14">
        <f>(VLOOKUP($D258,$C$5:$AH$1004,5,)/VLOOKUP($D258,$C$5:$AH$1004,4,))*$F258</f>
        <v>0</v>
      </c>
      <c r="H258" s="14">
        <f>(VLOOKUP($D258,$C$5:$AH$1004,6,)/VLOOKUP($D258,$C$5:$AH$1004,4,))*$F258</f>
        <v>0</v>
      </c>
      <c r="I258" s="14">
        <f>(VLOOKUP($D258,$C$5:$AH$1004,7,)/VLOOKUP($D258,$C$5:$AH$1004,4,))*$F258</f>
        <v>0</v>
      </c>
      <c r="J258" s="14">
        <f>(VLOOKUP($D258,$C$5:$AH$1004,8,)/VLOOKUP($D258,$C$5:$AH$1004,4,))*$F258</f>
        <v>0</v>
      </c>
      <c r="K258" s="14">
        <f>(VLOOKUP($D258,$C$5:$AH$1004,9,)/VLOOKUP($D258,$C$5:$AH$1004,4,))*$F258</f>
        <v>0</v>
      </c>
      <c r="L258" s="14">
        <f>(VLOOKUP($D258,$C$5:$AH$1004,10,)/VLOOKUP($D258,$C$5:$AH$1004,4,))*$F258</f>
        <v>0</v>
      </c>
      <c r="M258" s="14">
        <f>(VLOOKUP($D258,$C$5:$AH$1004,11,)/VLOOKUP($D258,$C$5:$AH$1004,4,))*$F258</f>
        <v>0</v>
      </c>
      <c r="N258" s="14">
        <f>(VLOOKUP($D258,$C$5:$AH$1004,12,)/VLOOKUP($D258,$C$5:$AH$1004,4,))*$F258</f>
        <v>0</v>
      </c>
      <c r="O258" s="14">
        <f>(VLOOKUP($D258,$C$5:$AH$1004,13,)/VLOOKUP($D258,$C$5:$AH$1004,4,))*$F258</f>
        <v>0</v>
      </c>
      <c r="P258" s="14">
        <f>(VLOOKUP($D258,$C$5:$AH$1004,14,)/VLOOKUP($D258,$C$5:$AH$1004,4,))*$F258</f>
        <v>0</v>
      </c>
      <c r="Q258" s="14">
        <f>(VLOOKUP($D258,$C$5:$AH$1004,15,)/VLOOKUP($D258,$C$5:$AH$1004,4,))*$F258</f>
        <v>0</v>
      </c>
      <c r="R258" s="14">
        <f>(VLOOKUP($D258,$C$5:$AH$1004,16,)/VLOOKUP($D258,$C$5:$AH$1004,4,))*$F258</f>
        <v>0</v>
      </c>
      <c r="S258" s="14">
        <f>(VLOOKUP($D258,$C$5:$AH$1004,17,)/VLOOKUP($D258,$C$5:$AH$1004,4,))*$F258</f>
        <v>0</v>
      </c>
      <c r="T258" s="14">
        <f>(VLOOKUP($D258,$C$5:$AH$1004,18,)/VLOOKUP($D258,$C$5:$AH$1004,4,))*$F258</f>
        <v>0</v>
      </c>
      <c r="U258" s="14">
        <f>SUM(G258:T258)</f>
        <v>0</v>
      </c>
      <c r="V258" s="39" t="str">
        <f>IF(ABS(U258-F258)&lt;1,"ok","err")</f>
        <v>ok</v>
      </c>
    </row>
    <row r="259" spans="1:22" s="9" customFormat="1" x14ac:dyDescent="0.2">
      <c r="A259" s="13">
        <v>903</v>
      </c>
      <c r="B259" s="61" t="s">
        <v>439</v>
      </c>
      <c r="C259" s="4" t="s">
        <v>545</v>
      </c>
      <c r="D259" s="4" t="s">
        <v>48</v>
      </c>
      <c r="E259" s="4"/>
      <c r="F259" s="59">
        <v>531669.43999999994</v>
      </c>
      <c r="G259" s="14">
        <f>(VLOOKUP($D259,$C$5:$AH$1004,5,)/VLOOKUP($D259,$C$5:$AH$1004,4,))*$F259</f>
        <v>0</v>
      </c>
      <c r="H259" s="14">
        <f>(VLOOKUP($D259,$C$5:$AH$1004,6,)/VLOOKUP($D259,$C$5:$AH$1004,4,))*$F259</f>
        <v>0</v>
      </c>
      <c r="I259" s="14">
        <f>(VLOOKUP($D259,$C$5:$AH$1004,7,)/VLOOKUP($D259,$C$5:$AH$1004,4,))*$F259</f>
        <v>0</v>
      </c>
      <c r="J259" s="14">
        <f>(VLOOKUP($D259,$C$5:$AH$1004,8,)/VLOOKUP($D259,$C$5:$AH$1004,4,))*$F259</f>
        <v>0</v>
      </c>
      <c r="K259" s="14">
        <f>(VLOOKUP($D259,$C$5:$AH$1004,9,)/VLOOKUP($D259,$C$5:$AH$1004,4,))*$F259</f>
        <v>0</v>
      </c>
      <c r="L259" s="14">
        <f>(VLOOKUP($D259,$C$5:$AH$1004,10,)/VLOOKUP($D259,$C$5:$AH$1004,4,))*$F259</f>
        <v>0</v>
      </c>
      <c r="M259" s="14">
        <f>(VLOOKUP($D259,$C$5:$AH$1004,11,)/VLOOKUP($D259,$C$5:$AH$1004,4,))*$F259</f>
        <v>0</v>
      </c>
      <c r="N259" s="14">
        <f>(VLOOKUP($D259,$C$5:$AH$1004,12,)/VLOOKUP($D259,$C$5:$AH$1004,4,))*$F259</f>
        <v>0</v>
      </c>
      <c r="O259" s="14">
        <f>(VLOOKUP($D259,$C$5:$AH$1004,13,)/VLOOKUP($D259,$C$5:$AH$1004,4,))*$F259</f>
        <v>0</v>
      </c>
      <c r="P259" s="14">
        <f>(VLOOKUP($D259,$C$5:$AH$1004,14,)/VLOOKUP($D259,$C$5:$AH$1004,4,))*$F259</f>
        <v>0</v>
      </c>
      <c r="Q259" s="14">
        <f>(VLOOKUP($D259,$C$5:$AH$1004,15,)/VLOOKUP($D259,$C$5:$AH$1004,4,))*$F259</f>
        <v>0</v>
      </c>
      <c r="R259" s="14">
        <f>(VLOOKUP($D259,$C$5:$AH$1004,16,)/VLOOKUP($D259,$C$5:$AH$1004,4,))*$F259</f>
        <v>0</v>
      </c>
      <c r="S259" s="14">
        <f>(VLOOKUP($D259,$C$5:$AH$1004,17,)/VLOOKUP($D259,$C$5:$AH$1004,4,))*$F259</f>
        <v>531669.43999999994</v>
      </c>
      <c r="T259" s="14">
        <f>(VLOOKUP($D259,$C$5:$AH$1004,18,)/VLOOKUP($D259,$C$5:$AH$1004,4,))*$F259</f>
        <v>0</v>
      </c>
      <c r="U259" s="14">
        <f>SUM(G259:T259)</f>
        <v>531669.43999999994</v>
      </c>
      <c r="V259" s="39" t="str">
        <f>IF(ABS(U259-F259)&lt;1,"ok","err")</f>
        <v>ok</v>
      </c>
    </row>
    <row r="260" spans="1:22" s="9" customFormat="1" x14ac:dyDescent="0.2">
      <c r="A260" s="13">
        <v>904</v>
      </c>
      <c r="B260" s="61" t="s">
        <v>146</v>
      </c>
      <c r="C260" s="4" t="s">
        <v>546</v>
      </c>
      <c r="D260" s="4" t="s">
        <v>48</v>
      </c>
      <c r="E260" s="4"/>
      <c r="F260" s="64">
        <v>0</v>
      </c>
      <c r="G260" s="14">
        <f>(VLOOKUP($D260,$C$5:$AH$1004,5,)/VLOOKUP($D260,$C$5:$AH$1004,4,))*$F260</f>
        <v>0</v>
      </c>
      <c r="H260" s="14">
        <f>(VLOOKUP($D260,$C$5:$AH$1004,6,)/VLOOKUP($D260,$C$5:$AH$1004,4,))*$F260</f>
        <v>0</v>
      </c>
      <c r="I260" s="14">
        <f>(VLOOKUP($D260,$C$5:$AH$1004,7,)/VLOOKUP($D260,$C$5:$AH$1004,4,))*$F260</f>
        <v>0</v>
      </c>
      <c r="J260" s="14">
        <f>(VLOOKUP($D260,$C$5:$AH$1004,8,)/VLOOKUP($D260,$C$5:$AH$1004,4,))*$F260</f>
        <v>0</v>
      </c>
      <c r="K260" s="14">
        <f>(VLOOKUP($D260,$C$5:$AH$1004,9,)/VLOOKUP($D260,$C$5:$AH$1004,4,))*$F260</f>
        <v>0</v>
      </c>
      <c r="L260" s="14">
        <f>(VLOOKUP($D260,$C$5:$AH$1004,10,)/VLOOKUP($D260,$C$5:$AH$1004,4,))*$F260</f>
        <v>0</v>
      </c>
      <c r="M260" s="14">
        <f>(VLOOKUP($D260,$C$5:$AH$1004,11,)/VLOOKUP($D260,$C$5:$AH$1004,4,))*$F260</f>
        <v>0</v>
      </c>
      <c r="N260" s="14">
        <f>(VLOOKUP($D260,$C$5:$AH$1004,12,)/VLOOKUP($D260,$C$5:$AH$1004,4,))*$F260</f>
        <v>0</v>
      </c>
      <c r="O260" s="14">
        <f>(VLOOKUP($D260,$C$5:$AH$1004,13,)/VLOOKUP($D260,$C$5:$AH$1004,4,))*$F260</f>
        <v>0</v>
      </c>
      <c r="P260" s="14">
        <f>(VLOOKUP($D260,$C$5:$AH$1004,14,)/VLOOKUP($D260,$C$5:$AH$1004,4,))*$F260</f>
        <v>0</v>
      </c>
      <c r="Q260" s="14">
        <f>(VLOOKUP($D260,$C$5:$AH$1004,15,)/VLOOKUP($D260,$C$5:$AH$1004,4,))*$F260</f>
        <v>0</v>
      </c>
      <c r="R260" s="14">
        <f>(VLOOKUP($D260,$C$5:$AH$1004,16,)/VLOOKUP($D260,$C$5:$AH$1004,4,))*$F260</f>
        <v>0</v>
      </c>
      <c r="S260" s="14">
        <f>(VLOOKUP($D260,$C$5:$AH$1004,17,)/VLOOKUP($D260,$C$5:$AH$1004,4,))*$F260</f>
        <v>0</v>
      </c>
      <c r="T260" s="14">
        <f>(VLOOKUP($D260,$C$5:$AH$1004,18,)/VLOOKUP($D260,$C$5:$AH$1004,4,))*$F260</f>
        <v>0</v>
      </c>
      <c r="U260" s="14">
        <f>SUM(G260:T260)</f>
        <v>0</v>
      </c>
      <c r="V260" s="39" t="str">
        <f>IF(ABS(U260-F260)&lt;1,"ok","err")</f>
        <v>ok</v>
      </c>
    </row>
    <row r="261" spans="1:22" s="9" customFormat="1" x14ac:dyDescent="0.2">
      <c r="A261" s="13">
        <v>905</v>
      </c>
      <c r="B261" s="61" t="s">
        <v>440</v>
      </c>
      <c r="C261" s="4" t="s">
        <v>547</v>
      </c>
      <c r="D261" s="4" t="s">
        <v>48</v>
      </c>
      <c r="E261" s="4"/>
      <c r="F261" s="64">
        <v>0</v>
      </c>
      <c r="G261" s="14">
        <f>(VLOOKUP($D261,$C$5:$AH$1004,5,)/VLOOKUP($D261,$C$5:$AH$1004,4,))*$F261</f>
        <v>0</v>
      </c>
      <c r="H261" s="14">
        <f>(VLOOKUP($D261,$C$5:$AH$1004,6,)/VLOOKUP($D261,$C$5:$AH$1004,4,))*$F261</f>
        <v>0</v>
      </c>
      <c r="I261" s="14">
        <f>(VLOOKUP($D261,$C$5:$AH$1004,7,)/VLOOKUP($D261,$C$5:$AH$1004,4,))*$F261</f>
        <v>0</v>
      </c>
      <c r="J261" s="14">
        <f>(VLOOKUP($D261,$C$5:$AH$1004,8,)/VLOOKUP($D261,$C$5:$AH$1004,4,))*$F261</f>
        <v>0</v>
      </c>
      <c r="K261" s="14">
        <f>(VLOOKUP($D261,$C$5:$AH$1004,9,)/VLOOKUP($D261,$C$5:$AH$1004,4,))*$F261</f>
        <v>0</v>
      </c>
      <c r="L261" s="14">
        <f>(VLOOKUP($D261,$C$5:$AH$1004,10,)/VLOOKUP($D261,$C$5:$AH$1004,4,))*$F261</f>
        <v>0</v>
      </c>
      <c r="M261" s="14">
        <f>(VLOOKUP($D261,$C$5:$AH$1004,11,)/VLOOKUP($D261,$C$5:$AH$1004,4,))*$F261</f>
        <v>0</v>
      </c>
      <c r="N261" s="14">
        <f>(VLOOKUP($D261,$C$5:$AH$1004,12,)/VLOOKUP($D261,$C$5:$AH$1004,4,))*$F261</f>
        <v>0</v>
      </c>
      <c r="O261" s="14">
        <f>(VLOOKUP($D261,$C$5:$AH$1004,13,)/VLOOKUP($D261,$C$5:$AH$1004,4,))*$F261</f>
        <v>0</v>
      </c>
      <c r="P261" s="14">
        <f>(VLOOKUP($D261,$C$5:$AH$1004,14,)/VLOOKUP($D261,$C$5:$AH$1004,4,))*$F261</f>
        <v>0</v>
      </c>
      <c r="Q261" s="14">
        <f>(VLOOKUP($D261,$C$5:$AH$1004,15,)/VLOOKUP($D261,$C$5:$AH$1004,4,))*$F261</f>
        <v>0</v>
      </c>
      <c r="R261" s="14">
        <f>(VLOOKUP($D261,$C$5:$AH$1004,16,)/VLOOKUP($D261,$C$5:$AH$1004,4,))*$F261</f>
        <v>0</v>
      </c>
      <c r="S261" s="14">
        <f>(VLOOKUP($D261,$C$5:$AH$1004,17,)/VLOOKUP($D261,$C$5:$AH$1004,4,))*$F261</f>
        <v>0</v>
      </c>
      <c r="T261" s="14">
        <f>(VLOOKUP($D261,$C$5:$AH$1004,18,)/VLOOKUP($D261,$C$5:$AH$1004,4,))*$F261</f>
        <v>0</v>
      </c>
      <c r="U261" s="14">
        <f>SUM(G261:T261)</f>
        <v>0</v>
      </c>
      <c r="V261" s="39" t="str">
        <f>IF(ABS(U261-F261)&lt;1,"ok","err")</f>
        <v>ok</v>
      </c>
    </row>
    <row r="262" spans="1:22" s="9" customFormat="1" x14ac:dyDescent="0.2">
      <c r="A262" s="13"/>
      <c r="B262" s="61"/>
      <c r="C262" s="4"/>
      <c r="D262" s="4"/>
      <c r="E262" s="4"/>
      <c r="F262" s="64"/>
      <c r="G262" s="4"/>
      <c r="H262" s="4"/>
      <c r="I262" s="4"/>
      <c r="J262" s="4"/>
      <c r="K262" s="4"/>
      <c r="L262" s="4"/>
      <c r="M262" s="4"/>
      <c r="N262" s="4"/>
    </row>
    <row r="263" spans="1:22" s="9" customFormat="1" x14ac:dyDescent="0.2">
      <c r="A263" s="13" t="s">
        <v>480</v>
      </c>
      <c r="B263" s="61"/>
      <c r="C263" s="4" t="s">
        <v>548</v>
      </c>
      <c r="D263" s="4"/>
      <c r="E263" s="4"/>
      <c r="F263" s="59">
        <f>SUM(F257:F261)</f>
        <v>531669.43999999994</v>
      </c>
      <c r="G263" s="15">
        <f t="shared" ref="G263:T263" si="101">SUM(G257:G261)</f>
        <v>0</v>
      </c>
      <c r="H263" s="15">
        <f t="shared" si="101"/>
        <v>0</v>
      </c>
      <c r="I263" s="15">
        <f t="shared" si="101"/>
        <v>0</v>
      </c>
      <c r="J263" s="15">
        <f t="shared" si="101"/>
        <v>0</v>
      </c>
      <c r="K263" s="15">
        <f t="shared" si="101"/>
        <v>0</v>
      </c>
      <c r="L263" s="15">
        <f t="shared" si="101"/>
        <v>0</v>
      </c>
      <c r="M263" s="15">
        <f t="shared" si="101"/>
        <v>0</v>
      </c>
      <c r="N263" s="15">
        <f t="shared" si="101"/>
        <v>0</v>
      </c>
      <c r="O263" s="15">
        <f t="shared" si="101"/>
        <v>0</v>
      </c>
      <c r="P263" s="15">
        <f t="shared" si="101"/>
        <v>0</v>
      </c>
      <c r="Q263" s="15">
        <f t="shared" si="101"/>
        <v>0</v>
      </c>
      <c r="R263" s="15">
        <f t="shared" si="101"/>
        <v>0</v>
      </c>
      <c r="S263" s="15">
        <f t="shared" si="101"/>
        <v>531669.43999999994</v>
      </c>
      <c r="T263" s="15">
        <f t="shared" si="101"/>
        <v>0</v>
      </c>
      <c r="U263" s="14">
        <f>SUM(G263:T263)</f>
        <v>531669.43999999994</v>
      </c>
      <c r="V263" s="39" t="str">
        <f>IF(ABS(U263-F263)&lt;1,"ok","err")</f>
        <v>ok</v>
      </c>
    </row>
    <row r="264" spans="1:22" s="9" customFormat="1" x14ac:dyDescent="0.2">
      <c r="A264" s="13"/>
      <c r="B264" s="61"/>
      <c r="C264" s="4"/>
      <c r="D264" s="4"/>
      <c r="E264" s="4"/>
      <c r="F264" s="59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4"/>
      <c r="V264" s="39"/>
    </row>
    <row r="265" spans="1:22" s="9" customFormat="1" x14ac:dyDescent="0.2">
      <c r="A265" s="8" t="s">
        <v>151</v>
      </c>
      <c r="B265" s="61"/>
      <c r="C265" s="4"/>
      <c r="D265" s="4"/>
      <c r="E265" s="4"/>
      <c r="F265" s="59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4"/>
      <c r="V265" s="39"/>
    </row>
    <row r="266" spans="1:22" s="9" customFormat="1" x14ac:dyDescent="0.2">
      <c r="A266" s="13" t="s">
        <v>150</v>
      </c>
      <c r="B266" s="61" t="s">
        <v>12</v>
      </c>
      <c r="C266" s="4" t="s">
        <v>549</v>
      </c>
      <c r="D266" s="4" t="s">
        <v>51</v>
      </c>
      <c r="E266" s="4"/>
      <c r="F266" s="59">
        <v>0</v>
      </c>
      <c r="G266" s="14">
        <f>(VLOOKUP($D266,$C$5:$AH$1004,5,)/VLOOKUP($D266,$C$5:$AH$1004,4,))*$F266</f>
        <v>0</v>
      </c>
      <c r="H266" s="14">
        <f>(VLOOKUP($D266,$C$5:$AH$1004,6,)/VLOOKUP($D266,$C$5:$AH$1004,4,))*$F266</f>
        <v>0</v>
      </c>
      <c r="I266" s="14">
        <f>(VLOOKUP($D266,$C$5:$AH$1004,7,)/VLOOKUP($D266,$C$5:$AH$1004,4,))*$F266</f>
        <v>0</v>
      </c>
      <c r="J266" s="14">
        <f>(VLOOKUP($D266,$C$5:$AH$1004,8,)/VLOOKUP($D266,$C$5:$AH$1004,4,))*$F266</f>
        <v>0</v>
      </c>
      <c r="K266" s="14">
        <f>(VLOOKUP($D266,$C$5:$AH$1004,9,)/VLOOKUP($D266,$C$5:$AH$1004,4,))*$F266</f>
        <v>0</v>
      </c>
      <c r="L266" s="14">
        <f>(VLOOKUP($D266,$C$5:$AH$1004,10,)/VLOOKUP($D266,$C$5:$AH$1004,4,))*$F266</f>
        <v>0</v>
      </c>
      <c r="M266" s="14">
        <f>(VLOOKUP($D266,$C$5:$AH$1004,11,)/VLOOKUP($D266,$C$5:$AH$1004,4,))*$F266</f>
        <v>0</v>
      </c>
      <c r="N266" s="14">
        <f>(VLOOKUP($D266,$C$5:$AH$1004,12,)/VLOOKUP($D266,$C$5:$AH$1004,4,))*$F266</f>
        <v>0</v>
      </c>
      <c r="O266" s="14">
        <f>(VLOOKUP($D266,$C$5:$AH$1004,13,)/VLOOKUP($D266,$C$5:$AH$1004,4,))*$F266</f>
        <v>0</v>
      </c>
      <c r="P266" s="14">
        <f>(VLOOKUP($D266,$C$5:$AH$1004,14,)/VLOOKUP($D266,$C$5:$AH$1004,4,))*$F266</f>
        <v>0</v>
      </c>
      <c r="Q266" s="14">
        <f>(VLOOKUP($D266,$C$5:$AH$1004,15,)/VLOOKUP($D266,$C$5:$AH$1004,4,))*$F266</f>
        <v>0</v>
      </c>
      <c r="R266" s="14">
        <f>(VLOOKUP($D266,$C$5:$AH$1004,16,)/VLOOKUP($D266,$C$5:$AH$1004,4,))*$F266</f>
        <v>0</v>
      </c>
      <c r="S266" s="14">
        <f>(VLOOKUP($D266,$C$5:$AH$1004,17,)/VLOOKUP($D266,$C$5:$AH$1004,4,))*$F266</f>
        <v>0</v>
      </c>
      <c r="T266" s="14">
        <f>(VLOOKUP($D266,$C$5:$AH$1004,18,)/VLOOKUP($D266,$C$5:$AH$1004,4,))*$F266</f>
        <v>0</v>
      </c>
      <c r="U266" s="14">
        <f>SUM(G266:T266)</f>
        <v>0</v>
      </c>
      <c r="V266" s="39" t="str">
        <f>IF(ABS(U266-F266)&lt;1,"ok","err")</f>
        <v>ok</v>
      </c>
    </row>
    <row r="267" spans="1:22" s="9" customFormat="1" x14ac:dyDescent="0.2">
      <c r="A267" s="13"/>
      <c r="B267" s="61"/>
      <c r="C267" s="4"/>
      <c r="D267" s="4"/>
      <c r="E267" s="4"/>
      <c r="F267" s="59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4"/>
      <c r="V267" s="39"/>
    </row>
    <row r="268" spans="1:22" s="9" customFormat="1" x14ac:dyDescent="0.2">
      <c r="A268" s="8" t="s">
        <v>154</v>
      </c>
      <c r="B268" s="61"/>
      <c r="C268" s="4"/>
      <c r="D268" s="4"/>
      <c r="E268" s="4"/>
      <c r="F268" s="59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4"/>
      <c r="V268" s="39"/>
    </row>
    <row r="269" spans="1:22" s="9" customFormat="1" x14ac:dyDescent="0.2">
      <c r="A269" s="13" t="s">
        <v>153</v>
      </c>
      <c r="B269" s="61" t="s">
        <v>154</v>
      </c>
      <c r="C269" s="4" t="s">
        <v>550</v>
      </c>
      <c r="D269" s="4" t="s">
        <v>51</v>
      </c>
      <c r="E269" s="4"/>
      <c r="F269" s="59">
        <v>0</v>
      </c>
      <c r="G269" s="14">
        <f>(VLOOKUP($D269,$C$5:$AH$1004,5,)/VLOOKUP($D269,$C$5:$AH$1004,4,))*$F269</f>
        <v>0</v>
      </c>
      <c r="H269" s="14">
        <f>(VLOOKUP($D269,$C$5:$AH$1004,6,)/VLOOKUP($D269,$C$5:$AH$1004,4,))*$F269</f>
        <v>0</v>
      </c>
      <c r="I269" s="14">
        <f>(VLOOKUP($D269,$C$5:$AH$1004,7,)/VLOOKUP($D269,$C$5:$AH$1004,4,))*$F269</f>
        <v>0</v>
      </c>
      <c r="J269" s="14">
        <f>(VLOOKUP($D269,$C$5:$AH$1004,8,)/VLOOKUP($D269,$C$5:$AH$1004,4,))*$F269</f>
        <v>0</v>
      </c>
      <c r="K269" s="14">
        <f>(VLOOKUP($D269,$C$5:$AH$1004,9,)/VLOOKUP($D269,$C$5:$AH$1004,4,))*$F269</f>
        <v>0</v>
      </c>
      <c r="L269" s="14">
        <f>(VLOOKUP($D269,$C$5:$AH$1004,10,)/VLOOKUP($D269,$C$5:$AH$1004,4,))*$F269</f>
        <v>0</v>
      </c>
      <c r="M269" s="14">
        <f>(VLOOKUP($D269,$C$5:$AH$1004,11,)/VLOOKUP($D269,$C$5:$AH$1004,4,))*$F269</f>
        <v>0</v>
      </c>
      <c r="N269" s="14">
        <f>(VLOOKUP($D269,$C$5:$AH$1004,12,)/VLOOKUP($D269,$C$5:$AH$1004,4,))*$F269</f>
        <v>0</v>
      </c>
      <c r="O269" s="14">
        <f>(VLOOKUP($D269,$C$5:$AH$1004,13,)/VLOOKUP($D269,$C$5:$AH$1004,4,))*$F269</f>
        <v>0</v>
      </c>
      <c r="P269" s="14">
        <f>(VLOOKUP($D269,$C$5:$AH$1004,14,)/VLOOKUP($D269,$C$5:$AH$1004,4,))*$F269</f>
        <v>0</v>
      </c>
      <c r="Q269" s="14">
        <f>(VLOOKUP($D269,$C$5:$AH$1004,15,)/VLOOKUP($D269,$C$5:$AH$1004,4,))*$F269</f>
        <v>0</v>
      </c>
      <c r="R269" s="14">
        <f>(VLOOKUP($D269,$C$5:$AH$1004,16,)/VLOOKUP($D269,$C$5:$AH$1004,4,))*$F269</f>
        <v>0</v>
      </c>
      <c r="S269" s="14">
        <f>(VLOOKUP($D269,$C$5:$AH$1004,17,)/VLOOKUP($D269,$C$5:$AH$1004,4,))*$F269</f>
        <v>0</v>
      </c>
      <c r="T269" s="14">
        <f>(VLOOKUP($D269,$C$5:$AH$1004,18,)/VLOOKUP($D269,$C$5:$AH$1004,4,))*$F269</f>
        <v>0</v>
      </c>
      <c r="U269" s="14">
        <f>SUM(G269:T269)</f>
        <v>0</v>
      </c>
      <c r="V269" s="39" t="str">
        <f>IF(ABS(U269-F269)&lt;1,"ok","err")</f>
        <v>ok</v>
      </c>
    </row>
    <row r="270" spans="1:22" s="9" customFormat="1" x14ac:dyDescent="0.2">
      <c r="A270" s="13"/>
      <c r="B270" s="61"/>
      <c r="C270" s="4"/>
      <c r="D270" s="4"/>
      <c r="E270" s="4"/>
      <c r="F270" s="64"/>
      <c r="G270" s="4"/>
      <c r="H270" s="4"/>
      <c r="I270" s="4"/>
      <c r="J270" s="4"/>
      <c r="K270" s="4"/>
      <c r="L270" s="4"/>
      <c r="M270" s="4"/>
      <c r="N270" s="4"/>
    </row>
    <row r="271" spans="1:22" s="9" customFormat="1" x14ac:dyDescent="0.2">
      <c r="A271" s="13"/>
      <c r="B271" s="61"/>
      <c r="C271" s="4"/>
      <c r="D271" s="4"/>
      <c r="E271" s="4"/>
      <c r="F271" s="64"/>
      <c r="G271" s="4"/>
      <c r="H271" s="4"/>
      <c r="I271" s="4"/>
      <c r="J271" s="4"/>
      <c r="K271" s="4"/>
      <c r="L271" s="4"/>
      <c r="M271" s="4"/>
      <c r="N271" s="4"/>
    </row>
    <row r="272" spans="1:22" s="9" customFormat="1" x14ac:dyDescent="0.2">
      <c r="A272" s="13"/>
      <c r="B272" s="61"/>
      <c r="C272" s="4"/>
      <c r="D272" s="4"/>
      <c r="E272" s="4"/>
      <c r="F272" s="64"/>
      <c r="G272" s="4"/>
      <c r="H272" s="4"/>
      <c r="I272" s="4"/>
      <c r="J272" s="4"/>
      <c r="K272" s="4"/>
      <c r="L272" s="4"/>
      <c r="M272" s="4"/>
      <c r="N272" s="4"/>
    </row>
    <row r="273" spans="1:22" s="9" customFormat="1" x14ac:dyDescent="0.2">
      <c r="A273" s="13"/>
      <c r="B273" s="61"/>
      <c r="C273" s="4"/>
      <c r="D273" s="4"/>
      <c r="E273" s="4"/>
      <c r="F273" s="64"/>
      <c r="G273" s="4"/>
      <c r="H273" s="4"/>
      <c r="I273" s="4"/>
      <c r="J273" s="4"/>
      <c r="K273" s="4"/>
      <c r="L273" s="4"/>
      <c r="M273" s="4"/>
      <c r="N273" s="4"/>
    </row>
    <row r="274" spans="1:22" s="9" customFormat="1" x14ac:dyDescent="0.2">
      <c r="A274" s="13"/>
      <c r="B274" s="61"/>
      <c r="C274" s="4"/>
      <c r="D274" s="4"/>
      <c r="E274" s="4"/>
      <c r="F274" s="64"/>
      <c r="G274" s="4"/>
      <c r="H274" s="4"/>
      <c r="I274" s="4"/>
      <c r="J274" s="4"/>
      <c r="K274" s="4"/>
      <c r="L274" s="4"/>
      <c r="M274" s="4"/>
      <c r="N274" s="4"/>
    </row>
    <row r="275" spans="1:22" s="9" customFormat="1" x14ac:dyDescent="0.2">
      <c r="A275" s="13"/>
      <c r="B275" s="61"/>
      <c r="C275" s="4"/>
      <c r="D275" s="4"/>
      <c r="E275" s="4"/>
      <c r="F275" s="64"/>
      <c r="G275" s="4"/>
      <c r="H275" s="4"/>
      <c r="I275" s="4"/>
      <c r="J275" s="4"/>
      <c r="K275" s="4"/>
      <c r="L275" s="4"/>
      <c r="M275" s="4"/>
      <c r="N275" s="4"/>
    </row>
    <row r="276" spans="1:22" s="9" customFormat="1" x14ac:dyDescent="0.2">
      <c r="A276" s="13"/>
      <c r="B276" s="61"/>
      <c r="C276" s="4"/>
      <c r="D276" s="4"/>
      <c r="E276" s="4"/>
      <c r="F276" s="64"/>
      <c r="G276" s="4"/>
      <c r="H276" s="4"/>
      <c r="I276" s="4"/>
      <c r="J276" s="4"/>
      <c r="K276" s="4"/>
      <c r="L276" s="4"/>
      <c r="M276" s="4"/>
      <c r="N276" s="4"/>
    </row>
    <row r="277" spans="1:22" s="9" customFormat="1" x14ac:dyDescent="0.2">
      <c r="A277" s="13"/>
      <c r="B277" s="61"/>
      <c r="C277" s="4"/>
      <c r="D277" s="4"/>
      <c r="E277" s="4"/>
      <c r="F277" s="64"/>
      <c r="G277" s="4"/>
      <c r="H277" s="4"/>
      <c r="I277" s="4"/>
      <c r="J277" s="4"/>
      <c r="K277" s="4"/>
      <c r="L277" s="4"/>
      <c r="M277" s="4"/>
      <c r="N277" s="4"/>
    </row>
    <row r="278" spans="1:22" s="9" customFormat="1" x14ac:dyDescent="0.2">
      <c r="A278" s="11" t="s">
        <v>468</v>
      </c>
      <c r="B278" s="61"/>
      <c r="C278" s="4"/>
      <c r="D278" s="4"/>
      <c r="E278" s="4"/>
      <c r="F278" s="64"/>
      <c r="G278" s="4"/>
      <c r="H278" s="4"/>
      <c r="I278" s="4"/>
      <c r="J278" s="4"/>
      <c r="K278" s="4"/>
      <c r="L278" s="4"/>
      <c r="M278" s="4"/>
      <c r="N278" s="4"/>
    </row>
    <row r="279" spans="1:22" s="9" customFormat="1" x14ac:dyDescent="0.2">
      <c r="A279" s="13"/>
      <c r="B279" s="61"/>
      <c r="C279" s="4"/>
      <c r="D279" s="4"/>
      <c r="E279" s="4"/>
      <c r="F279" s="64"/>
      <c r="G279" s="4"/>
      <c r="H279" s="4"/>
      <c r="I279" s="4"/>
      <c r="J279" s="4"/>
      <c r="K279" s="4"/>
      <c r="L279" s="4"/>
      <c r="M279" s="4"/>
      <c r="N279" s="4"/>
    </row>
    <row r="280" spans="1:22" s="9" customFormat="1" x14ac:dyDescent="0.2">
      <c r="A280" s="13"/>
      <c r="B280" s="61"/>
      <c r="C280" s="4"/>
      <c r="D280" s="4"/>
      <c r="E280" s="4"/>
      <c r="F280" s="64"/>
      <c r="G280" s="4"/>
      <c r="H280" s="4"/>
      <c r="I280" s="4"/>
      <c r="J280" s="4"/>
      <c r="K280" s="4"/>
      <c r="L280" s="4"/>
      <c r="M280" s="4"/>
      <c r="N280" s="4"/>
    </row>
    <row r="281" spans="1:22" s="9" customFormat="1" x14ac:dyDescent="0.2">
      <c r="A281" s="8" t="s">
        <v>174</v>
      </c>
      <c r="B281" s="61"/>
      <c r="C281" s="4"/>
      <c r="D281" s="4"/>
      <c r="E281" s="4"/>
      <c r="F281" s="64"/>
      <c r="G281" s="4"/>
      <c r="H281" s="4"/>
      <c r="I281" s="4"/>
      <c r="J281" s="4"/>
      <c r="K281" s="4"/>
      <c r="L281" s="4"/>
      <c r="M281" s="4"/>
      <c r="N281" s="4"/>
    </row>
    <row r="282" spans="1:22" s="9" customFormat="1" x14ac:dyDescent="0.2">
      <c r="A282" s="13">
        <v>920</v>
      </c>
      <c r="B282" s="48" t="s">
        <v>441</v>
      </c>
      <c r="C282" s="4" t="s">
        <v>551</v>
      </c>
      <c r="D282" s="4" t="s">
        <v>157</v>
      </c>
      <c r="E282" s="4"/>
      <c r="F282" s="59">
        <v>429259.38919531484</v>
      </c>
      <c r="G282" s="14">
        <f t="shared" ref="G282:G295" si="102">(VLOOKUP($D282,$C$5:$AH$1004,5,)/VLOOKUP($D282,$C$5:$AH$1004,4,))*$F282</f>
        <v>0</v>
      </c>
      <c r="H282" s="14">
        <f t="shared" ref="H282:H295" si="103">(VLOOKUP($D282,$C$5:$AH$1004,6,)/VLOOKUP($D282,$C$5:$AH$1004,4,))*$F282</f>
        <v>0</v>
      </c>
      <c r="I282" s="14">
        <f t="shared" ref="I282:I295" si="104">(VLOOKUP($D282,$C$5:$AH$1004,7,)/VLOOKUP($D282,$C$5:$AH$1004,4,))*$F282</f>
        <v>5291.696507512489</v>
      </c>
      <c r="J282" s="14">
        <f t="shared" ref="J282:J295" si="105">(VLOOKUP($D282,$C$5:$AH$1004,8,)/VLOOKUP($D282,$C$5:$AH$1004,4,))*$F282</f>
        <v>0</v>
      </c>
      <c r="K282" s="14">
        <f t="shared" ref="K282:K295" si="106">(VLOOKUP($D282,$C$5:$AH$1004,9,)/VLOOKUP($D282,$C$5:$AH$1004,4,))*$F282</f>
        <v>265770.08379395003</v>
      </c>
      <c r="L282" s="14">
        <f t="shared" ref="L282:L295" si="107">(VLOOKUP($D282,$C$5:$AH$1004,10,)/VLOOKUP($D282,$C$5:$AH$1004,4,))*$F282</f>
        <v>11307.479594862696</v>
      </c>
      <c r="M282" s="14">
        <f t="shared" ref="M282:M295" si="108">(VLOOKUP($D282,$C$5:$AH$1004,11,)/VLOOKUP($D282,$C$5:$AH$1004,4,))*$F282</f>
        <v>20114.391418634405</v>
      </c>
      <c r="N282" s="14">
        <f t="shared" ref="N282:N295" si="109">(VLOOKUP($D282,$C$5:$AH$1004,12,)/VLOOKUP($D282,$C$5:$AH$1004,4,))*$F282</f>
        <v>955.41690909324223</v>
      </c>
      <c r="O282" s="14">
        <f t="shared" ref="O282:O295" si="110">(VLOOKUP($D282,$C$5:$AH$1004,13,)/VLOOKUP($D282,$C$5:$AH$1004,4,))*$F282</f>
        <v>16313.847565653245</v>
      </c>
      <c r="P282" s="14">
        <f t="shared" ref="P282:P295" si="111">(VLOOKUP($D282,$C$5:$AH$1004,14,)/VLOOKUP($D282,$C$5:$AH$1004,4,))*$F282</f>
        <v>40096.413726370425</v>
      </c>
      <c r="Q282" s="14">
        <f t="shared" ref="Q282:Q295" si="112">(VLOOKUP($D282,$C$5:$AH$1004,15,)/VLOOKUP($D282,$C$5:$AH$1004,4,))*$F282</f>
        <v>13944.195938342684</v>
      </c>
      <c r="R282" s="14">
        <f t="shared" ref="R282:R295" si="113">(VLOOKUP($D282,$C$5:$AH$1004,16,)/VLOOKUP($D282,$C$5:$AH$1004,4,))*$F282</f>
        <v>20331.522510744664</v>
      </c>
      <c r="S282" s="14">
        <f t="shared" ref="S282:S295" si="114">(VLOOKUP($D282,$C$5:$AH$1004,17,)/VLOOKUP($D282,$C$5:$AH$1004,4,))*$F282</f>
        <v>35134.341230150945</v>
      </c>
      <c r="T282" s="14">
        <f t="shared" ref="T282:T295" si="115">(VLOOKUP($D282,$C$5:$AH$1004,18,)/VLOOKUP($D282,$C$5:$AH$1004,4,))*$F282</f>
        <v>0</v>
      </c>
      <c r="U282" s="14">
        <f>SUM(G282:T282)</f>
        <v>429259.38919531484</v>
      </c>
      <c r="V282" s="39" t="str">
        <f>IF(ABS(U282-F282)&lt;1,"ok","err")</f>
        <v>ok</v>
      </c>
    </row>
    <row r="283" spans="1:22" s="9" customFormat="1" x14ac:dyDescent="0.2">
      <c r="A283" s="13">
        <v>921</v>
      </c>
      <c r="B283" s="61" t="s">
        <v>442</v>
      </c>
      <c r="C283" s="4" t="s">
        <v>552</v>
      </c>
      <c r="D283" s="4" t="s">
        <v>157</v>
      </c>
      <c r="E283" s="4"/>
      <c r="F283" s="64">
        <v>411818.41360713716</v>
      </c>
      <c r="G283" s="14">
        <f t="shared" si="102"/>
        <v>0</v>
      </c>
      <c r="H283" s="14">
        <f t="shared" si="103"/>
        <v>0</v>
      </c>
      <c r="I283" s="14">
        <f t="shared" si="104"/>
        <v>5076.6928245864601</v>
      </c>
      <c r="J283" s="14">
        <f t="shared" si="105"/>
        <v>0</v>
      </c>
      <c r="K283" s="14">
        <f t="shared" si="106"/>
        <v>254971.74213808673</v>
      </c>
      <c r="L283" s="14">
        <f t="shared" si="107"/>
        <v>10848.05231023763</v>
      </c>
      <c r="M283" s="14">
        <f t="shared" si="108"/>
        <v>19297.135888449993</v>
      </c>
      <c r="N283" s="14">
        <f t="shared" si="109"/>
        <v>916.59794925810741</v>
      </c>
      <c r="O283" s="14">
        <f t="shared" si="110"/>
        <v>15651.009607291551</v>
      </c>
      <c r="P283" s="14">
        <f t="shared" si="111"/>
        <v>38467.280874352815</v>
      </c>
      <c r="Q283" s="14">
        <f t="shared" si="112"/>
        <v>13377.637845313428</v>
      </c>
      <c r="R283" s="14">
        <f t="shared" si="113"/>
        <v>19505.444860014381</v>
      </c>
      <c r="S283" s="14">
        <f t="shared" si="114"/>
        <v>33706.819309546081</v>
      </c>
      <c r="T283" s="14">
        <f t="shared" si="115"/>
        <v>0</v>
      </c>
      <c r="U283" s="14">
        <f t="shared" ref="U283:U295" si="116">SUM(G283:T283)</f>
        <v>411818.41360713722</v>
      </c>
      <c r="V283" s="39" t="str">
        <f t="shared" ref="V283:V295" si="117">IF(ABS(U283-F283)&lt;1,"ok","err")</f>
        <v>ok</v>
      </c>
    </row>
    <row r="284" spans="1:22" s="9" customFormat="1" x14ac:dyDescent="0.2">
      <c r="A284" s="13">
        <v>922</v>
      </c>
      <c r="B284" s="61" t="s">
        <v>443</v>
      </c>
      <c r="C284" s="4" t="s">
        <v>553</v>
      </c>
      <c r="D284" s="4" t="s">
        <v>157</v>
      </c>
      <c r="E284" s="4"/>
      <c r="F284" s="64">
        <v>0</v>
      </c>
      <c r="G284" s="14">
        <f t="shared" si="102"/>
        <v>0</v>
      </c>
      <c r="H284" s="14">
        <f t="shared" si="103"/>
        <v>0</v>
      </c>
      <c r="I284" s="14">
        <f t="shared" si="104"/>
        <v>0</v>
      </c>
      <c r="J284" s="14">
        <f t="shared" si="105"/>
        <v>0</v>
      </c>
      <c r="K284" s="14">
        <f t="shared" si="106"/>
        <v>0</v>
      </c>
      <c r="L284" s="14">
        <f t="shared" si="107"/>
        <v>0</v>
      </c>
      <c r="M284" s="14">
        <f t="shared" si="108"/>
        <v>0</v>
      </c>
      <c r="N284" s="14">
        <f t="shared" si="109"/>
        <v>0</v>
      </c>
      <c r="O284" s="14">
        <f t="shared" si="110"/>
        <v>0</v>
      </c>
      <c r="P284" s="14">
        <f t="shared" si="111"/>
        <v>0</v>
      </c>
      <c r="Q284" s="14">
        <f t="shared" si="112"/>
        <v>0</v>
      </c>
      <c r="R284" s="14">
        <f t="shared" si="113"/>
        <v>0</v>
      </c>
      <c r="S284" s="14">
        <f t="shared" si="114"/>
        <v>0</v>
      </c>
      <c r="T284" s="14">
        <f t="shared" si="115"/>
        <v>0</v>
      </c>
      <c r="U284" s="14">
        <f t="shared" si="116"/>
        <v>0</v>
      </c>
      <c r="V284" s="39" t="str">
        <f t="shared" si="117"/>
        <v>ok</v>
      </c>
    </row>
    <row r="285" spans="1:22" s="9" customFormat="1" x14ac:dyDescent="0.2">
      <c r="A285" s="13">
        <v>923</v>
      </c>
      <c r="B285" s="61" t="s">
        <v>160</v>
      </c>
      <c r="C285" s="4" t="s">
        <v>554</v>
      </c>
      <c r="D285" s="4" t="s">
        <v>162</v>
      </c>
      <c r="E285" s="4"/>
      <c r="F285" s="64">
        <v>256382.76305535162</v>
      </c>
      <c r="G285" s="14">
        <f t="shared" si="102"/>
        <v>0</v>
      </c>
      <c r="H285" s="14">
        <f t="shared" si="103"/>
        <v>0</v>
      </c>
      <c r="I285" s="14">
        <f t="shared" si="104"/>
        <v>4544.2786808460733</v>
      </c>
      <c r="J285" s="14">
        <f t="shared" si="105"/>
        <v>6446.1617898750892</v>
      </c>
      <c r="K285" s="14">
        <f t="shared" si="106"/>
        <v>115753.09660489782</v>
      </c>
      <c r="L285" s="14">
        <f t="shared" si="107"/>
        <v>1201.0532527255546</v>
      </c>
      <c r="M285" s="14">
        <f t="shared" si="108"/>
        <v>12430.489463290993</v>
      </c>
      <c r="N285" s="14">
        <f t="shared" si="109"/>
        <v>1771.7509382803582</v>
      </c>
      <c r="O285" s="14">
        <f t="shared" si="110"/>
        <v>10818.756074283374</v>
      </c>
      <c r="P285" s="14">
        <f t="shared" si="111"/>
        <v>26590.497294607958</v>
      </c>
      <c r="Q285" s="14">
        <f t="shared" si="112"/>
        <v>11284.749078032441</v>
      </c>
      <c r="R285" s="14">
        <f t="shared" si="113"/>
        <v>19220.513166553719</v>
      </c>
      <c r="S285" s="14">
        <f t="shared" si="114"/>
        <v>46285.326804473632</v>
      </c>
      <c r="T285" s="14">
        <f t="shared" si="115"/>
        <v>36.089907484643895</v>
      </c>
      <c r="U285" s="14">
        <f t="shared" si="116"/>
        <v>256382.76305535168</v>
      </c>
      <c r="V285" s="39" t="str">
        <f t="shared" si="117"/>
        <v>ok</v>
      </c>
    </row>
    <row r="286" spans="1:22" s="9" customFormat="1" x14ac:dyDescent="0.2">
      <c r="A286" s="13">
        <v>924</v>
      </c>
      <c r="B286" s="61" t="s">
        <v>163</v>
      </c>
      <c r="C286" s="4" t="s">
        <v>555</v>
      </c>
      <c r="D286" s="4" t="s">
        <v>73</v>
      </c>
      <c r="E286" s="4"/>
      <c r="F286" s="64">
        <v>50008.649277536308</v>
      </c>
      <c r="G286" s="14">
        <f t="shared" si="102"/>
        <v>0</v>
      </c>
      <c r="H286" s="14">
        <f t="shared" si="103"/>
        <v>0</v>
      </c>
      <c r="I286" s="14">
        <f t="shared" si="104"/>
        <v>6397.226998799556</v>
      </c>
      <c r="J286" s="14">
        <f t="shared" si="105"/>
        <v>0</v>
      </c>
      <c r="K286" s="14">
        <f t="shared" si="106"/>
        <v>13634.503068159074</v>
      </c>
      <c r="L286" s="14">
        <f t="shared" si="107"/>
        <v>0</v>
      </c>
      <c r="M286" s="14">
        <f t="shared" si="108"/>
        <v>0</v>
      </c>
      <c r="N286" s="14">
        <f t="shared" si="109"/>
        <v>695.09708904662853</v>
      </c>
      <c r="O286" s="14">
        <f t="shared" si="110"/>
        <v>5865.8346472605399</v>
      </c>
      <c r="P286" s="14">
        <f t="shared" si="111"/>
        <v>14417.134395825698</v>
      </c>
      <c r="Q286" s="14">
        <f t="shared" si="112"/>
        <v>4626.3090522705579</v>
      </c>
      <c r="R286" s="14">
        <f t="shared" si="113"/>
        <v>4372.544026174246</v>
      </c>
      <c r="S286" s="14">
        <f t="shared" si="114"/>
        <v>0</v>
      </c>
      <c r="T286" s="14">
        <f t="shared" si="115"/>
        <v>0</v>
      </c>
      <c r="U286" s="14">
        <f t="shared" si="116"/>
        <v>50008.6492775363</v>
      </c>
      <c r="V286" s="39" t="str">
        <f t="shared" si="117"/>
        <v>ok</v>
      </c>
    </row>
    <row r="287" spans="1:22" s="9" customFormat="1" x14ac:dyDescent="0.2">
      <c r="A287" s="13">
        <v>925</v>
      </c>
      <c r="B287" s="61" t="s">
        <v>165</v>
      </c>
      <c r="C287" s="4" t="s">
        <v>556</v>
      </c>
      <c r="D287" s="4" t="s">
        <v>73</v>
      </c>
      <c r="E287" s="4"/>
      <c r="F287" s="64">
        <v>212887.2891645089</v>
      </c>
      <c r="G287" s="14">
        <f t="shared" si="102"/>
        <v>0</v>
      </c>
      <c r="H287" s="14">
        <f t="shared" si="103"/>
        <v>0</v>
      </c>
      <c r="I287" s="14">
        <f t="shared" si="104"/>
        <v>27233.055353810556</v>
      </c>
      <c r="J287" s="14">
        <f t="shared" si="105"/>
        <v>0</v>
      </c>
      <c r="K287" s="14">
        <f t="shared" si="106"/>
        <v>58042.207482484577</v>
      </c>
      <c r="L287" s="14">
        <f t="shared" si="107"/>
        <v>0</v>
      </c>
      <c r="M287" s="14">
        <f t="shared" si="108"/>
        <v>0</v>
      </c>
      <c r="N287" s="14">
        <f t="shared" si="109"/>
        <v>2959.0348295959443</v>
      </c>
      <c r="O287" s="14">
        <f t="shared" si="110"/>
        <v>24970.913127691463</v>
      </c>
      <c r="P287" s="14">
        <f t="shared" si="111"/>
        <v>61373.876387147626</v>
      </c>
      <c r="Q287" s="14">
        <f t="shared" si="112"/>
        <v>19694.241040369645</v>
      </c>
      <c r="R287" s="14">
        <f t="shared" si="113"/>
        <v>18613.960943409063</v>
      </c>
      <c r="S287" s="14">
        <f t="shared" si="114"/>
        <v>0</v>
      </c>
      <c r="T287" s="14">
        <f t="shared" si="115"/>
        <v>0</v>
      </c>
      <c r="U287" s="14">
        <f t="shared" si="116"/>
        <v>212887.2891645089</v>
      </c>
      <c r="V287" s="39" t="str">
        <f t="shared" si="117"/>
        <v>ok</v>
      </c>
    </row>
    <row r="288" spans="1:22" s="9" customFormat="1" x14ac:dyDescent="0.2">
      <c r="A288" s="13">
        <v>926</v>
      </c>
      <c r="B288" s="48" t="s">
        <v>444</v>
      </c>
      <c r="C288" s="4" t="s">
        <v>557</v>
      </c>
      <c r="D288" s="4" t="s">
        <v>157</v>
      </c>
      <c r="E288" s="4"/>
      <c r="F288" s="64">
        <v>452851.6794207546</v>
      </c>
      <c r="G288" s="14">
        <f t="shared" si="102"/>
        <v>0</v>
      </c>
      <c r="H288" s="14">
        <f t="shared" si="103"/>
        <v>0</v>
      </c>
      <c r="I288" s="14">
        <f t="shared" si="104"/>
        <v>5582.5305415081357</v>
      </c>
      <c r="J288" s="14">
        <f t="shared" si="105"/>
        <v>0</v>
      </c>
      <c r="K288" s="14">
        <f t="shared" si="106"/>
        <v>280376.9278326098</v>
      </c>
      <c r="L288" s="14">
        <f t="shared" si="107"/>
        <v>11928.9437888558</v>
      </c>
      <c r="M288" s="14">
        <f t="shared" si="108"/>
        <v>21219.887470674392</v>
      </c>
      <c r="N288" s="14">
        <f t="shared" si="109"/>
        <v>1007.9270546438719</v>
      </c>
      <c r="O288" s="14">
        <f t="shared" si="110"/>
        <v>17210.464008182247</v>
      </c>
      <c r="P288" s="14">
        <f t="shared" si="111"/>
        <v>42300.130764232163</v>
      </c>
      <c r="Q288" s="14">
        <f t="shared" si="112"/>
        <v>14710.575255413589</v>
      </c>
      <c r="R288" s="14">
        <f t="shared" si="113"/>
        <v>21448.95218583629</v>
      </c>
      <c r="S288" s="14">
        <f t="shared" si="114"/>
        <v>37065.340518798308</v>
      </c>
      <c r="T288" s="14">
        <f t="shared" si="115"/>
        <v>0</v>
      </c>
      <c r="U288" s="14">
        <f t="shared" si="116"/>
        <v>452851.6794207546</v>
      </c>
      <c r="V288" s="39" t="str">
        <f t="shared" si="117"/>
        <v>ok</v>
      </c>
    </row>
    <row r="289" spans="1:24" s="9" customFormat="1" x14ac:dyDescent="0.2">
      <c r="A289" s="13">
        <v>927</v>
      </c>
      <c r="B289" s="61" t="s">
        <v>445</v>
      </c>
      <c r="C289" s="4" t="s">
        <v>558</v>
      </c>
      <c r="D289" s="4" t="s">
        <v>73</v>
      </c>
      <c r="E289" s="4"/>
      <c r="F289" s="64">
        <v>0</v>
      </c>
      <c r="G289" s="14">
        <f t="shared" si="102"/>
        <v>0</v>
      </c>
      <c r="H289" s="14">
        <f t="shared" si="103"/>
        <v>0</v>
      </c>
      <c r="I289" s="14">
        <f t="shared" si="104"/>
        <v>0</v>
      </c>
      <c r="J289" s="14">
        <f t="shared" si="105"/>
        <v>0</v>
      </c>
      <c r="K289" s="14">
        <f t="shared" si="106"/>
        <v>0</v>
      </c>
      <c r="L289" s="14">
        <f t="shared" si="107"/>
        <v>0</v>
      </c>
      <c r="M289" s="14">
        <f t="shared" si="108"/>
        <v>0</v>
      </c>
      <c r="N289" s="14">
        <f t="shared" si="109"/>
        <v>0</v>
      </c>
      <c r="O289" s="14">
        <f t="shared" si="110"/>
        <v>0</v>
      </c>
      <c r="P289" s="14">
        <f t="shared" si="111"/>
        <v>0</v>
      </c>
      <c r="Q289" s="14">
        <f t="shared" si="112"/>
        <v>0</v>
      </c>
      <c r="R289" s="14">
        <f t="shared" si="113"/>
        <v>0</v>
      </c>
      <c r="S289" s="14">
        <f t="shared" si="114"/>
        <v>0</v>
      </c>
      <c r="T289" s="14">
        <f t="shared" si="115"/>
        <v>0</v>
      </c>
      <c r="U289" s="14">
        <f t="shared" si="116"/>
        <v>0</v>
      </c>
      <c r="V289" s="39" t="str">
        <f t="shared" si="117"/>
        <v>ok</v>
      </c>
    </row>
    <row r="290" spans="1:24" s="9" customFormat="1" x14ac:dyDescent="0.2">
      <c r="A290" s="13">
        <v>928</v>
      </c>
      <c r="B290" s="61" t="s">
        <v>169</v>
      </c>
      <c r="C290" s="4" t="s">
        <v>559</v>
      </c>
      <c r="D290" s="4" t="s">
        <v>73</v>
      </c>
      <c r="E290" s="4"/>
      <c r="F290" s="64">
        <v>38861.394867394316</v>
      </c>
      <c r="G290" s="14">
        <f t="shared" si="102"/>
        <v>0</v>
      </c>
      <c r="H290" s="14">
        <f t="shared" si="103"/>
        <v>0</v>
      </c>
      <c r="I290" s="14">
        <f t="shared" si="104"/>
        <v>4971.24333586786</v>
      </c>
      <c r="J290" s="14">
        <f t="shared" si="105"/>
        <v>0</v>
      </c>
      <c r="K290" s="14">
        <f t="shared" si="106"/>
        <v>10595.28332012835</v>
      </c>
      <c r="L290" s="14">
        <f t="shared" si="107"/>
        <v>0</v>
      </c>
      <c r="M290" s="14">
        <f t="shared" si="108"/>
        <v>0</v>
      </c>
      <c r="N290" s="14">
        <f t="shared" si="109"/>
        <v>540.15540989128976</v>
      </c>
      <c r="O290" s="14">
        <f t="shared" si="110"/>
        <v>4558.3018087319297</v>
      </c>
      <c r="P290" s="14">
        <f t="shared" si="111"/>
        <v>11203.461015375713</v>
      </c>
      <c r="Q290" s="14">
        <f t="shared" si="112"/>
        <v>3595.0745612248629</v>
      </c>
      <c r="R290" s="14">
        <f t="shared" si="113"/>
        <v>3397.8754161743045</v>
      </c>
      <c r="S290" s="14">
        <f t="shared" si="114"/>
        <v>0</v>
      </c>
      <c r="T290" s="14">
        <f t="shared" si="115"/>
        <v>0</v>
      </c>
      <c r="U290" s="14">
        <f t="shared" si="116"/>
        <v>38861.394867394309</v>
      </c>
      <c r="V290" s="39" t="str">
        <f t="shared" si="117"/>
        <v>ok</v>
      </c>
    </row>
    <row r="291" spans="1:24" s="9" customFormat="1" x14ac:dyDescent="0.2">
      <c r="A291" s="13">
        <v>929</v>
      </c>
      <c r="B291" s="61" t="s">
        <v>446</v>
      </c>
      <c r="C291" s="4" t="s">
        <v>560</v>
      </c>
      <c r="D291" s="4" t="s">
        <v>73</v>
      </c>
      <c r="E291" s="4"/>
      <c r="F291" s="64">
        <v>0</v>
      </c>
      <c r="G291" s="14">
        <f t="shared" si="102"/>
        <v>0</v>
      </c>
      <c r="H291" s="14">
        <f t="shared" si="103"/>
        <v>0</v>
      </c>
      <c r="I291" s="14">
        <f t="shared" si="104"/>
        <v>0</v>
      </c>
      <c r="J291" s="14">
        <f t="shared" si="105"/>
        <v>0</v>
      </c>
      <c r="K291" s="14">
        <f t="shared" si="106"/>
        <v>0</v>
      </c>
      <c r="L291" s="14">
        <f t="shared" si="107"/>
        <v>0</v>
      </c>
      <c r="M291" s="14">
        <f t="shared" si="108"/>
        <v>0</v>
      </c>
      <c r="N291" s="14">
        <f t="shared" si="109"/>
        <v>0</v>
      </c>
      <c r="O291" s="14">
        <f t="shared" si="110"/>
        <v>0</v>
      </c>
      <c r="P291" s="14">
        <f t="shared" si="111"/>
        <v>0</v>
      </c>
      <c r="Q291" s="14">
        <f t="shared" si="112"/>
        <v>0</v>
      </c>
      <c r="R291" s="14">
        <f t="shared" si="113"/>
        <v>0</v>
      </c>
      <c r="S291" s="14">
        <f t="shared" si="114"/>
        <v>0</v>
      </c>
      <c r="T291" s="14">
        <f t="shared" si="115"/>
        <v>0</v>
      </c>
      <c r="U291" s="14">
        <f t="shared" si="116"/>
        <v>0</v>
      </c>
      <c r="V291" s="39" t="str">
        <f t="shared" si="117"/>
        <v>ok</v>
      </c>
    </row>
    <row r="292" spans="1:24" s="9" customFormat="1" x14ac:dyDescent="0.2">
      <c r="A292" s="13">
        <v>930.1</v>
      </c>
      <c r="B292" s="61" t="s">
        <v>447</v>
      </c>
      <c r="C292" s="4" t="s">
        <v>561</v>
      </c>
      <c r="D292" s="4" t="s">
        <v>73</v>
      </c>
      <c r="E292" s="4"/>
      <c r="F292" s="64">
        <v>0</v>
      </c>
      <c r="G292" s="14">
        <f t="shared" si="102"/>
        <v>0</v>
      </c>
      <c r="H292" s="14">
        <f t="shared" si="103"/>
        <v>0</v>
      </c>
      <c r="I292" s="14">
        <f t="shared" si="104"/>
        <v>0</v>
      </c>
      <c r="J292" s="14">
        <f t="shared" si="105"/>
        <v>0</v>
      </c>
      <c r="K292" s="14">
        <f t="shared" si="106"/>
        <v>0</v>
      </c>
      <c r="L292" s="14">
        <f t="shared" si="107"/>
        <v>0</v>
      </c>
      <c r="M292" s="14">
        <f t="shared" si="108"/>
        <v>0</v>
      </c>
      <c r="N292" s="14">
        <f t="shared" si="109"/>
        <v>0</v>
      </c>
      <c r="O292" s="14">
        <f t="shared" si="110"/>
        <v>0</v>
      </c>
      <c r="P292" s="14">
        <f t="shared" si="111"/>
        <v>0</v>
      </c>
      <c r="Q292" s="14">
        <f t="shared" si="112"/>
        <v>0</v>
      </c>
      <c r="R292" s="14">
        <f t="shared" si="113"/>
        <v>0</v>
      </c>
      <c r="S292" s="14">
        <f t="shared" si="114"/>
        <v>0</v>
      </c>
      <c r="T292" s="14">
        <f t="shared" si="115"/>
        <v>0</v>
      </c>
      <c r="U292" s="14">
        <f t="shared" si="116"/>
        <v>0</v>
      </c>
      <c r="V292" s="39" t="str">
        <f t="shared" si="117"/>
        <v>ok</v>
      </c>
    </row>
    <row r="293" spans="1:24" s="9" customFormat="1" x14ac:dyDescent="0.2">
      <c r="A293" s="13">
        <v>930.2</v>
      </c>
      <c r="B293" s="61" t="s">
        <v>448</v>
      </c>
      <c r="C293" s="4" t="s">
        <v>562</v>
      </c>
      <c r="D293" s="4" t="s">
        <v>162</v>
      </c>
      <c r="E293" s="4"/>
      <c r="F293" s="64">
        <v>21703.835554009042</v>
      </c>
      <c r="G293" s="14">
        <f t="shared" si="102"/>
        <v>0</v>
      </c>
      <c r="H293" s="14">
        <f t="shared" si="103"/>
        <v>0</v>
      </c>
      <c r="I293" s="14">
        <f t="shared" si="104"/>
        <v>384.69152927952109</v>
      </c>
      <c r="J293" s="14">
        <f t="shared" si="105"/>
        <v>545.69360972126083</v>
      </c>
      <c r="K293" s="14">
        <f t="shared" si="106"/>
        <v>9798.9667621985791</v>
      </c>
      <c r="L293" s="14">
        <f t="shared" si="107"/>
        <v>101.67400482822349</v>
      </c>
      <c r="M293" s="14">
        <f t="shared" si="108"/>
        <v>1052.291097700916</v>
      </c>
      <c r="N293" s="14">
        <f t="shared" si="109"/>
        <v>149.98586702490667</v>
      </c>
      <c r="O293" s="14">
        <f t="shared" si="110"/>
        <v>915.8513619907003</v>
      </c>
      <c r="P293" s="14">
        <f t="shared" si="111"/>
        <v>2250.9929049204347</v>
      </c>
      <c r="Q293" s="14">
        <f t="shared" si="112"/>
        <v>955.29955032504995</v>
      </c>
      <c r="R293" s="14">
        <f t="shared" si="113"/>
        <v>1627.094006083729</v>
      </c>
      <c r="S293" s="14">
        <f t="shared" si="114"/>
        <v>3918.2397036222815</v>
      </c>
      <c r="T293" s="14">
        <f t="shared" si="115"/>
        <v>3.0551563134414126</v>
      </c>
      <c r="U293" s="14">
        <f t="shared" si="116"/>
        <v>21703.835554009045</v>
      </c>
      <c r="V293" s="39" t="str">
        <f t="shared" si="117"/>
        <v>ok</v>
      </c>
    </row>
    <row r="294" spans="1:24" s="9" customFormat="1" x14ac:dyDescent="0.2">
      <c r="A294" s="13">
        <v>931</v>
      </c>
      <c r="B294" s="61" t="s">
        <v>112</v>
      </c>
      <c r="C294" s="4" t="s">
        <v>563</v>
      </c>
      <c r="D294" s="4" t="s">
        <v>73</v>
      </c>
      <c r="E294" s="4"/>
      <c r="F294" s="64">
        <v>0</v>
      </c>
      <c r="G294" s="14">
        <f t="shared" si="102"/>
        <v>0</v>
      </c>
      <c r="H294" s="14">
        <f t="shared" si="103"/>
        <v>0</v>
      </c>
      <c r="I294" s="14">
        <f t="shared" si="104"/>
        <v>0</v>
      </c>
      <c r="J294" s="14">
        <f t="shared" si="105"/>
        <v>0</v>
      </c>
      <c r="K294" s="14">
        <f t="shared" si="106"/>
        <v>0</v>
      </c>
      <c r="L294" s="14">
        <f t="shared" si="107"/>
        <v>0</v>
      </c>
      <c r="M294" s="14">
        <f t="shared" si="108"/>
        <v>0</v>
      </c>
      <c r="N294" s="14">
        <f t="shared" si="109"/>
        <v>0</v>
      </c>
      <c r="O294" s="14">
        <f t="shared" si="110"/>
        <v>0</v>
      </c>
      <c r="P294" s="14">
        <f t="shared" si="111"/>
        <v>0</v>
      </c>
      <c r="Q294" s="14">
        <f t="shared" si="112"/>
        <v>0</v>
      </c>
      <c r="R294" s="14">
        <f t="shared" si="113"/>
        <v>0</v>
      </c>
      <c r="S294" s="14">
        <f t="shared" si="114"/>
        <v>0</v>
      </c>
      <c r="T294" s="14">
        <f t="shared" si="115"/>
        <v>0</v>
      </c>
      <c r="U294" s="14">
        <f t="shared" si="116"/>
        <v>0</v>
      </c>
      <c r="V294" s="39" t="str">
        <f t="shared" si="117"/>
        <v>ok</v>
      </c>
    </row>
    <row r="295" spans="1:24" s="9" customFormat="1" x14ac:dyDescent="0.2">
      <c r="A295" s="13">
        <v>935</v>
      </c>
      <c r="B295" s="61" t="s">
        <v>191</v>
      </c>
      <c r="C295" s="4" t="s">
        <v>564</v>
      </c>
      <c r="D295" s="4" t="s">
        <v>62</v>
      </c>
      <c r="E295" s="4"/>
      <c r="F295" s="64">
        <v>11090.795857993104</v>
      </c>
      <c r="G295" s="14">
        <f t="shared" si="102"/>
        <v>0</v>
      </c>
      <c r="H295" s="14">
        <f t="shared" si="103"/>
        <v>0</v>
      </c>
      <c r="I295" s="14">
        <f t="shared" si="104"/>
        <v>1299.6681446793789</v>
      </c>
      <c r="J295" s="14">
        <f t="shared" si="105"/>
        <v>0</v>
      </c>
      <c r="K295" s="14">
        <f t="shared" si="106"/>
        <v>3109.5472775021926</v>
      </c>
      <c r="L295" s="14">
        <f t="shared" si="107"/>
        <v>0</v>
      </c>
      <c r="M295" s="14">
        <f t="shared" si="108"/>
        <v>0</v>
      </c>
      <c r="N295" s="14">
        <f t="shared" si="109"/>
        <v>158.52702882089554</v>
      </c>
      <c r="O295" s="14">
        <f t="shared" si="110"/>
        <v>1292.9361913657779</v>
      </c>
      <c r="P295" s="14">
        <f t="shared" si="111"/>
        <v>3177.7975270497741</v>
      </c>
      <c r="Q295" s="14">
        <f t="shared" si="112"/>
        <v>1055.0972519098941</v>
      </c>
      <c r="R295" s="14">
        <f t="shared" si="113"/>
        <v>997.22243666518989</v>
      </c>
      <c r="S295" s="14">
        <f t="shared" si="114"/>
        <v>0</v>
      </c>
      <c r="T295" s="14">
        <f t="shared" si="115"/>
        <v>0</v>
      </c>
      <c r="U295" s="14">
        <f t="shared" si="116"/>
        <v>11090.795857993104</v>
      </c>
      <c r="V295" s="39" t="str">
        <f t="shared" si="117"/>
        <v>ok</v>
      </c>
    </row>
    <row r="296" spans="1:24" s="9" customFormat="1" x14ac:dyDescent="0.2">
      <c r="A296" s="13"/>
      <c r="B296" s="61"/>
      <c r="C296" s="4"/>
      <c r="D296" s="4"/>
      <c r="E296" s="4"/>
      <c r="F296" s="64"/>
      <c r="G296" s="16"/>
      <c r="H296" s="4"/>
      <c r="I296" s="4"/>
      <c r="J296" s="4"/>
      <c r="K296" s="4"/>
      <c r="L296" s="4"/>
      <c r="M296" s="4"/>
      <c r="N296" s="4"/>
      <c r="X296" s="17"/>
    </row>
    <row r="297" spans="1:24" s="9" customFormat="1" x14ac:dyDescent="0.2">
      <c r="A297" s="13" t="s">
        <v>479</v>
      </c>
      <c r="B297" s="61"/>
      <c r="C297" s="4" t="s">
        <v>565</v>
      </c>
      <c r="D297" s="4"/>
      <c r="E297" s="4"/>
      <c r="F297" s="59">
        <f>SUM(F282:F295)</f>
        <v>1884864.21</v>
      </c>
      <c r="G297" s="15">
        <f t="shared" ref="G297:T297" si="118">SUM(G282:G295)</f>
        <v>0</v>
      </c>
      <c r="H297" s="15">
        <f t="shared" si="118"/>
        <v>0</v>
      </c>
      <c r="I297" s="15">
        <f t="shared" si="118"/>
        <v>60781.083916890042</v>
      </c>
      <c r="J297" s="15">
        <f t="shared" si="118"/>
        <v>6991.8553995963503</v>
      </c>
      <c r="K297" s="15">
        <f t="shared" si="118"/>
        <v>1012052.3582800172</v>
      </c>
      <c r="L297" s="15">
        <f t="shared" si="118"/>
        <v>35387.202951509906</v>
      </c>
      <c r="M297" s="15">
        <f t="shared" si="118"/>
        <v>74114.195338750695</v>
      </c>
      <c r="N297" s="15">
        <f t="shared" si="118"/>
        <v>9154.493075655244</v>
      </c>
      <c r="O297" s="15">
        <f t="shared" si="118"/>
        <v>97597.914392450839</v>
      </c>
      <c r="P297" s="15">
        <f t="shared" si="118"/>
        <v>239877.58488988259</v>
      </c>
      <c r="Q297" s="15">
        <f t="shared" si="118"/>
        <v>83243.179573202156</v>
      </c>
      <c r="R297" s="15">
        <f t="shared" si="118"/>
        <v>109515.12955165558</v>
      </c>
      <c r="S297" s="15">
        <f t="shared" si="118"/>
        <v>156110.06756659123</v>
      </c>
      <c r="T297" s="15">
        <f t="shared" si="118"/>
        <v>39.14506379808531</v>
      </c>
      <c r="U297" s="14">
        <f>SUM(G297:T297)</f>
        <v>1884864.2100000002</v>
      </c>
      <c r="V297" s="39" t="str">
        <f>IF(ABS(U297-F297)&lt;1,"ok","err")</f>
        <v>ok</v>
      </c>
    </row>
    <row r="298" spans="1:24" s="9" customFormat="1" x14ac:dyDescent="0.2">
      <c r="A298" s="13"/>
      <c r="B298" s="61"/>
      <c r="C298" s="4"/>
      <c r="D298" s="4"/>
      <c r="E298" s="4"/>
      <c r="F298" s="6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</row>
    <row r="299" spans="1:24" s="9" customFormat="1" x14ac:dyDescent="0.2">
      <c r="A299" s="13" t="s">
        <v>471</v>
      </c>
      <c r="B299" s="61"/>
      <c r="C299" s="4" t="s">
        <v>345</v>
      </c>
      <c r="D299" s="4"/>
      <c r="E299" s="4"/>
      <c r="F299" s="59">
        <f>F149+F184+F253+F263+F266+F269+F297</f>
        <v>8380619.96</v>
      </c>
      <c r="G299" s="15">
        <f t="shared" ref="G299:T299" si="119">G149+G184+G253+G263+G266+G269+G297</f>
        <v>0</v>
      </c>
      <c r="H299" s="15">
        <f t="shared" si="119"/>
        <v>0</v>
      </c>
      <c r="I299" s="15">
        <f t="shared" si="119"/>
        <v>140857.53391689004</v>
      </c>
      <c r="J299" s="15">
        <f t="shared" si="119"/>
        <v>6991.8553995963503</v>
      </c>
      <c r="K299" s="15">
        <f t="shared" si="119"/>
        <v>5033810.7482800176</v>
      </c>
      <c r="L299" s="15">
        <f t="shared" si="119"/>
        <v>206497.32295150991</v>
      </c>
      <c r="M299" s="15">
        <f t="shared" si="119"/>
        <v>378494.66319590237</v>
      </c>
      <c r="N299" s="15">
        <f t="shared" si="119"/>
        <v>23612.312839420105</v>
      </c>
      <c r="O299" s="15">
        <f t="shared" si="119"/>
        <v>344466.75825831771</v>
      </c>
      <c r="P299" s="15">
        <f t="shared" si="119"/>
        <v>846635.44872065086</v>
      </c>
      <c r="Q299" s="15">
        <f t="shared" si="119"/>
        <v>294253.33619531558</v>
      </c>
      <c r="R299" s="15">
        <f t="shared" si="119"/>
        <v>417181.32761199039</v>
      </c>
      <c r="S299" s="15">
        <f t="shared" si="119"/>
        <v>687779.50756659114</v>
      </c>
      <c r="T299" s="15">
        <f t="shared" si="119"/>
        <v>39.14506379808531</v>
      </c>
      <c r="U299" s="14">
        <f>SUM(G299:T299)</f>
        <v>8380619.959999999</v>
      </c>
      <c r="V299" s="39" t="str">
        <f>IF(ABS(U299-F299)&lt;1,"ok","err")</f>
        <v>ok</v>
      </c>
    </row>
    <row r="300" spans="1:24" x14ac:dyDescent="0.2">
      <c r="A300" s="13"/>
      <c r="B300" s="9"/>
      <c r="C300" s="4"/>
      <c r="D300" s="4"/>
      <c r="E300" s="4"/>
      <c r="F300" s="65"/>
      <c r="G300" s="16"/>
    </row>
    <row r="301" spans="1:24" x14ac:dyDescent="0.2">
      <c r="A301" s="13"/>
      <c r="B301" s="9"/>
      <c r="C301" s="4"/>
      <c r="D301" s="4"/>
      <c r="E301" s="4"/>
      <c r="F301" s="65"/>
      <c r="G301" s="16"/>
    </row>
    <row r="302" spans="1:24" x14ac:dyDescent="0.2">
      <c r="A302" s="13"/>
      <c r="B302" s="9"/>
      <c r="C302" s="4"/>
      <c r="D302" s="4"/>
      <c r="E302" s="4"/>
      <c r="F302" s="65"/>
      <c r="G302" s="16"/>
    </row>
    <row r="303" spans="1:24" x14ac:dyDescent="0.2">
      <c r="A303" s="13"/>
      <c r="B303" s="9"/>
      <c r="C303" s="4"/>
      <c r="D303" s="4"/>
      <c r="E303" s="4"/>
      <c r="F303" s="65"/>
      <c r="G303" s="16"/>
    </row>
    <row r="304" spans="1:24" x14ac:dyDescent="0.2">
      <c r="A304" s="13"/>
      <c r="B304" s="9"/>
      <c r="C304" s="4"/>
      <c r="D304" s="4"/>
      <c r="E304" s="4"/>
      <c r="F304" s="65"/>
      <c r="G304" s="16"/>
    </row>
    <row r="305" spans="1:30" x14ac:dyDescent="0.2">
      <c r="A305" s="13"/>
      <c r="B305" s="9"/>
      <c r="C305" s="4"/>
      <c r="D305" s="4"/>
      <c r="E305" s="4"/>
      <c r="F305" s="65"/>
      <c r="G305" s="16"/>
    </row>
    <row r="306" spans="1:30" x14ac:dyDescent="0.2">
      <c r="A306" s="13"/>
      <c r="B306" s="9"/>
      <c r="C306" s="4"/>
      <c r="D306" s="4"/>
      <c r="E306" s="4"/>
      <c r="F306" s="65"/>
      <c r="G306" s="16"/>
    </row>
    <row r="307" spans="1:30" x14ac:dyDescent="0.2">
      <c r="A307" s="13"/>
      <c r="B307" s="9"/>
      <c r="C307" s="4"/>
      <c r="D307" s="4"/>
      <c r="E307" s="4"/>
      <c r="F307" s="65"/>
      <c r="G307" s="16"/>
    </row>
    <row r="308" spans="1:30" x14ac:dyDescent="0.2">
      <c r="A308" s="13"/>
      <c r="B308" s="9"/>
      <c r="C308" s="4"/>
      <c r="D308" s="4"/>
      <c r="E308" s="4"/>
      <c r="F308" s="65"/>
      <c r="G308" s="16"/>
    </row>
    <row r="309" spans="1:30" x14ac:dyDescent="0.2">
      <c r="A309" s="13"/>
      <c r="B309" s="9"/>
      <c r="C309" s="4"/>
      <c r="D309" s="4"/>
      <c r="E309" s="4"/>
      <c r="F309" s="65"/>
      <c r="G309" s="16"/>
    </row>
    <row r="310" spans="1:30" x14ac:dyDescent="0.2">
      <c r="A310" s="13"/>
      <c r="B310" s="9"/>
      <c r="C310" s="4"/>
      <c r="D310" s="4"/>
      <c r="E310" s="4"/>
      <c r="F310" s="65"/>
      <c r="G310" s="16"/>
    </row>
    <row r="311" spans="1:30" x14ac:dyDescent="0.2">
      <c r="A311" s="13"/>
      <c r="B311" s="9"/>
      <c r="C311" s="4"/>
      <c r="D311" s="4"/>
      <c r="E311" s="4"/>
      <c r="F311" s="65"/>
      <c r="G311" s="16"/>
    </row>
    <row r="312" spans="1:30" x14ac:dyDescent="0.2">
      <c r="A312" s="13"/>
      <c r="B312" s="9"/>
      <c r="C312" s="4"/>
      <c r="D312" s="4"/>
      <c r="E312" s="4"/>
      <c r="F312" s="65"/>
      <c r="G312" s="16"/>
    </row>
    <row r="313" spans="1:30" x14ac:dyDescent="0.2">
      <c r="A313" s="13"/>
      <c r="B313" s="9"/>
      <c r="C313" s="4"/>
      <c r="D313" s="4"/>
      <c r="E313" s="4"/>
      <c r="F313" s="65"/>
      <c r="G313" s="16"/>
    </row>
    <row r="314" spans="1:30" x14ac:dyDescent="0.2">
      <c r="A314" s="13"/>
      <c r="B314" s="9"/>
      <c r="C314" s="4"/>
      <c r="D314" s="4"/>
      <c r="E314" s="4"/>
      <c r="F314" s="65"/>
      <c r="G314" s="16"/>
    </row>
    <row r="315" spans="1:30" x14ac:dyDescent="0.2">
      <c r="A315" s="13"/>
      <c r="B315" s="9"/>
      <c r="C315" s="4"/>
      <c r="D315" s="4"/>
      <c r="E315" s="4"/>
      <c r="F315" s="65"/>
      <c r="G315" s="16"/>
    </row>
    <row r="316" spans="1:30" x14ac:dyDescent="0.2">
      <c r="A316" s="13"/>
      <c r="B316" s="9"/>
      <c r="C316" s="4"/>
      <c r="D316" s="4"/>
      <c r="E316" s="4"/>
      <c r="F316" s="65"/>
      <c r="G316" s="16"/>
    </row>
    <row r="317" spans="1:30" x14ac:dyDescent="0.2">
      <c r="A317" s="13"/>
      <c r="B317" s="9"/>
      <c r="C317" s="4"/>
      <c r="D317" s="4"/>
      <c r="E317" s="4"/>
      <c r="F317" s="65"/>
      <c r="G317" s="16"/>
    </row>
    <row r="318" spans="1:30" x14ac:dyDescent="0.2">
      <c r="A318" s="13"/>
      <c r="B318" s="9"/>
      <c r="C318" s="4"/>
      <c r="D318" s="4"/>
      <c r="E318" s="4"/>
      <c r="F318" s="65"/>
      <c r="G318" s="16"/>
    </row>
    <row r="319" spans="1:30" x14ac:dyDescent="0.2">
      <c r="A319" s="13"/>
      <c r="B319" s="9"/>
      <c r="C319" s="4"/>
      <c r="D319" s="4"/>
      <c r="E319" s="4"/>
      <c r="F319" s="65"/>
      <c r="G319" s="16"/>
    </row>
    <row r="320" spans="1:30" s="9" customFormat="1" x14ac:dyDescent="0.2">
      <c r="A320" s="13"/>
      <c r="C320" s="4"/>
      <c r="D320" s="4"/>
      <c r="E320" s="4"/>
      <c r="F320" s="65"/>
      <c r="G320" s="16"/>
      <c r="H320" s="4"/>
      <c r="I320" s="4"/>
      <c r="J320" s="4"/>
      <c r="K320" s="4"/>
      <c r="L320" s="4"/>
      <c r="M320" s="4"/>
      <c r="N320" s="4"/>
      <c r="W320" s="19"/>
      <c r="X320" s="19"/>
      <c r="Y320" s="19"/>
      <c r="Z320" s="19"/>
      <c r="AA320" s="19"/>
      <c r="AB320" s="19"/>
      <c r="AC320" s="19"/>
      <c r="AD320" s="19"/>
    </row>
    <row r="321" spans="1:30" s="9" customFormat="1" x14ac:dyDescent="0.2">
      <c r="A321" s="11" t="s">
        <v>472</v>
      </c>
      <c r="C321" s="4"/>
      <c r="D321" s="4"/>
      <c r="E321" s="4"/>
      <c r="F321" s="65"/>
      <c r="G321" s="4"/>
      <c r="H321" s="4"/>
      <c r="I321" s="4"/>
      <c r="J321" s="4"/>
      <c r="K321" s="4"/>
      <c r="L321" s="4"/>
      <c r="M321" s="4"/>
      <c r="N321" s="4"/>
      <c r="W321" s="19"/>
      <c r="X321" s="19"/>
      <c r="Y321" s="19"/>
      <c r="Z321" s="19"/>
      <c r="AA321" s="19"/>
      <c r="AB321" s="19"/>
      <c r="AC321" s="19"/>
      <c r="AD321" s="19"/>
    </row>
    <row r="322" spans="1:30" s="9" customFormat="1" x14ac:dyDescent="0.2">
      <c r="A322" s="11"/>
      <c r="C322" s="4"/>
      <c r="D322" s="4"/>
      <c r="E322" s="4"/>
      <c r="F322" s="65"/>
      <c r="G322" s="4"/>
      <c r="H322" s="4"/>
      <c r="I322" s="4"/>
      <c r="J322" s="4"/>
      <c r="K322" s="4"/>
      <c r="L322" s="4"/>
      <c r="M322" s="4"/>
      <c r="N322" s="4"/>
      <c r="W322" s="19"/>
      <c r="X322" s="19"/>
      <c r="Y322" s="19"/>
      <c r="Z322" s="19"/>
      <c r="AA322" s="19"/>
      <c r="AB322" s="19"/>
      <c r="AC322" s="19"/>
      <c r="AD322" s="19"/>
    </row>
    <row r="323" spans="1:30" s="9" customFormat="1" x14ac:dyDescent="0.2">
      <c r="A323" s="8" t="s">
        <v>682</v>
      </c>
      <c r="C323" s="4"/>
      <c r="D323" s="4"/>
      <c r="E323" s="4"/>
      <c r="F323" s="65"/>
      <c r="G323" s="4"/>
      <c r="H323" s="4"/>
      <c r="I323" s="4"/>
      <c r="J323" s="4"/>
      <c r="K323" s="4"/>
      <c r="L323" s="4"/>
      <c r="M323" s="4"/>
      <c r="N323" s="4"/>
      <c r="W323" s="19"/>
      <c r="X323" s="19"/>
      <c r="Y323" s="19"/>
      <c r="Z323" s="19"/>
      <c r="AA323" s="19"/>
      <c r="AB323" s="19"/>
      <c r="AC323" s="19"/>
      <c r="AD323" s="19"/>
    </row>
    <row r="324" spans="1:30" s="9" customFormat="1" x14ac:dyDescent="0.2">
      <c r="A324" s="8" t="s">
        <v>683</v>
      </c>
      <c r="C324" s="4"/>
      <c r="D324" s="4"/>
      <c r="E324" s="4"/>
      <c r="F324" s="65"/>
      <c r="G324" s="4"/>
      <c r="H324" s="4"/>
      <c r="I324" s="4"/>
      <c r="J324" s="4"/>
      <c r="K324" s="4"/>
      <c r="L324" s="4"/>
      <c r="M324" s="4"/>
      <c r="N324" s="4"/>
      <c r="W324" s="19"/>
      <c r="X324" s="19"/>
      <c r="Y324" s="19"/>
      <c r="Z324" s="19"/>
      <c r="AA324" s="19"/>
      <c r="AB324" s="19"/>
      <c r="AC324" s="19"/>
      <c r="AD324" s="19"/>
    </row>
    <row r="325" spans="1:30" s="9" customFormat="1" x14ac:dyDescent="0.2">
      <c r="A325" s="13">
        <v>753</v>
      </c>
      <c r="B325" s="9" t="s">
        <v>678</v>
      </c>
      <c r="C325" s="4" t="s">
        <v>680</v>
      </c>
      <c r="D325" s="4" t="s">
        <v>32</v>
      </c>
      <c r="E325" s="4"/>
      <c r="F325" s="64">
        <v>0</v>
      </c>
      <c r="G325" s="14">
        <f>(VLOOKUP($D325,$C$5:$AH$1004,5,)/VLOOKUP($D325,$C$5:$AH$1004,4,))*$F325</f>
        <v>0</v>
      </c>
      <c r="H325" s="14">
        <f>(VLOOKUP($D325,$C$5:$AH$1004,6,)/VLOOKUP($D325,$C$5:$AH$1004,4,))*$F325</f>
        <v>0</v>
      </c>
      <c r="I325" s="14">
        <f>(VLOOKUP($D325,$C$5:$AH$1004,7,)/VLOOKUP($D325,$C$5:$AH$1004,4,))*$F325</f>
        <v>0</v>
      </c>
      <c r="J325" s="14">
        <f>(VLOOKUP($D325,$C$5:$AH$1004,8,)/VLOOKUP($D325,$C$5:$AH$1004,4,))*$F325</f>
        <v>0</v>
      </c>
      <c r="K325" s="14">
        <f>(VLOOKUP($D325,$C$5:$AH$1004,9,)/VLOOKUP($D325,$C$5:$AH$1004,4,))*$F325</f>
        <v>0</v>
      </c>
      <c r="L325" s="14">
        <f>(VLOOKUP($D325,$C$5:$AH$1004,10,)/VLOOKUP($D325,$C$5:$AH$1004,4,))*$F325</f>
        <v>0</v>
      </c>
      <c r="M325" s="14">
        <f>(VLOOKUP($D325,$C$5:$AH$1004,11,)/VLOOKUP($D325,$C$5:$AH$1004,4,))*$F325</f>
        <v>0</v>
      </c>
      <c r="N325" s="14">
        <f>(VLOOKUP($D325,$C$5:$AH$1004,12,)/VLOOKUP($D325,$C$5:$AH$1004,4,))*$F325</f>
        <v>0</v>
      </c>
      <c r="O325" s="14">
        <f>(VLOOKUP($D325,$C$5:$AH$1004,13,)/VLOOKUP($D325,$C$5:$AH$1004,4,))*$F325</f>
        <v>0</v>
      </c>
      <c r="P325" s="14">
        <f>(VLOOKUP($D325,$C$5:$AH$1004,14,)/VLOOKUP($D325,$C$5:$AH$1004,4,))*$F325</f>
        <v>0</v>
      </c>
      <c r="Q325" s="14">
        <f>(VLOOKUP($D325,$C$5:$AH$1004,15,)/VLOOKUP($D325,$C$5:$AH$1004,4,))*$F325</f>
        <v>0</v>
      </c>
      <c r="R325" s="14">
        <f>(VLOOKUP($D325,$C$5:$AH$1004,16,)/VLOOKUP($D325,$C$5:$AH$1004,4,))*$F325</f>
        <v>0</v>
      </c>
      <c r="S325" s="14">
        <f>(VLOOKUP($D325,$C$5:$AH$1004,17,)/VLOOKUP($D325,$C$5:$AH$1004,4,))*$F325</f>
        <v>0</v>
      </c>
      <c r="T325" s="14">
        <f>(VLOOKUP($D325,$C$5:$AH$1004,18,)/VLOOKUP($D325,$C$5:$AH$1004,4,))*$F325</f>
        <v>0</v>
      </c>
      <c r="U325" s="14">
        <f>SUM(G325:T325)</f>
        <v>0</v>
      </c>
      <c r="V325" s="39" t="str">
        <f>IF(ABS(U325-F325)&lt;1,"ok","err")</f>
        <v>ok</v>
      </c>
      <c r="W325" s="19"/>
      <c r="X325" s="19"/>
      <c r="Y325" s="19"/>
      <c r="Z325" s="19"/>
      <c r="AA325" s="19"/>
      <c r="AB325" s="19"/>
      <c r="AC325" s="19"/>
      <c r="AD325" s="19"/>
    </row>
    <row r="326" spans="1:30" s="9" customFormat="1" x14ac:dyDescent="0.2">
      <c r="A326" s="13">
        <v>754</v>
      </c>
      <c r="B326" s="9" t="s">
        <v>679</v>
      </c>
      <c r="C326" s="4" t="s">
        <v>681</v>
      </c>
      <c r="D326" s="4" t="s">
        <v>32</v>
      </c>
      <c r="E326" s="4"/>
      <c r="F326" s="64">
        <v>0</v>
      </c>
      <c r="G326" s="14">
        <f>(VLOOKUP($D326,$C$5:$AH$1004,5,)/VLOOKUP($D326,$C$5:$AH$1004,4,))*$F326</f>
        <v>0</v>
      </c>
      <c r="H326" s="14">
        <f>(VLOOKUP($D326,$C$5:$AH$1004,6,)/VLOOKUP($D326,$C$5:$AH$1004,4,))*$F326</f>
        <v>0</v>
      </c>
      <c r="I326" s="14">
        <f>(VLOOKUP($D326,$C$5:$AH$1004,7,)/VLOOKUP($D326,$C$5:$AH$1004,4,))*$F326</f>
        <v>0</v>
      </c>
      <c r="J326" s="14">
        <f>(VLOOKUP($D326,$C$5:$AH$1004,8,)/VLOOKUP($D326,$C$5:$AH$1004,4,))*$F326</f>
        <v>0</v>
      </c>
      <c r="K326" s="14">
        <f>(VLOOKUP($D326,$C$5:$AH$1004,9,)/VLOOKUP($D326,$C$5:$AH$1004,4,))*$F326</f>
        <v>0</v>
      </c>
      <c r="L326" s="14">
        <f>(VLOOKUP($D326,$C$5:$AH$1004,10,)/VLOOKUP($D326,$C$5:$AH$1004,4,))*$F326</f>
        <v>0</v>
      </c>
      <c r="M326" s="14">
        <f>(VLOOKUP($D326,$C$5:$AH$1004,11,)/VLOOKUP($D326,$C$5:$AH$1004,4,))*$F326</f>
        <v>0</v>
      </c>
      <c r="N326" s="14">
        <f>(VLOOKUP($D326,$C$5:$AH$1004,12,)/VLOOKUP($D326,$C$5:$AH$1004,4,))*$F326</f>
        <v>0</v>
      </c>
      <c r="O326" s="14">
        <f>(VLOOKUP($D326,$C$5:$AH$1004,13,)/VLOOKUP($D326,$C$5:$AH$1004,4,))*$F326</f>
        <v>0</v>
      </c>
      <c r="P326" s="14">
        <f>(VLOOKUP($D326,$C$5:$AH$1004,14,)/VLOOKUP($D326,$C$5:$AH$1004,4,))*$F326</f>
        <v>0</v>
      </c>
      <c r="Q326" s="14">
        <f>(VLOOKUP($D326,$C$5:$AH$1004,15,)/VLOOKUP($D326,$C$5:$AH$1004,4,))*$F326</f>
        <v>0</v>
      </c>
      <c r="R326" s="14">
        <f>(VLOOKUP($D326,$C$5:$AH$1004,16,)/VLOOKUP($D326,$C$5:$AH$1004,4,))*$F326</f>
        <v>0</v>
      </c>
      <c r="S326" s="14">
        <f>(VLOOKUP($D326,$C$5:$AH$1004,17,)/VLOOKUP($D326,$C$5:$AH$1004,4,))*$F326</f>
        <v>0</v>
      </c>
      <c r="T326" s="14">
        <f>(VLOOKUP($D326,$C$5:$AH$1004,18,)/VLOOKUP($D326,$C$5:$AH$1004,4,))*$F326</f>
        <v>0</v>
      </c>
      <c r="U326" s="14">
        <f>SUM(G326:T326)</f>
        <v>0</v>
      </c>
      <c r="V326" s="39" t="str">
        <f>IF(ABS(U326-F326)&lt;1,"ok","err")</f>
        <v>ok</v>
      </c>
      <c r="W326" s="19"/>
      <c r="X326" s="19"/>
      <c r="Y326" s="19"/>
      <c r="Z326" s="19"/>
      <c r="AA326" s="19"/>
      <c r="AB326" s="19"/>
      <c r="AC326" s="19"/>
      <c r="AD326" s="19"/>
    </row>
    <row r="327" spans="1:30" s="9" customFormat="1" x14ac:dyDescent="0.2">
      <c r="A327" s="13">
        <v>764</v>
      </c>
      <c r="B327" s="9" t="s">
        <v>684</v>
      </c>
      <c r="C327" s="4" t="s">
        <v>686</v>
      </c>
      <c r="D327" s="4" t="s">
        <v>32</v>
      </c>
      <c r="E327" s="4"/>
      <c r="F327" s="64">
        <v>1075</v>
      </c>
      <c r="G327" s="14">
        <f>(VLOOKUP($D327,$C$5:$AH$1004,5,)/VLOOKUP($D327,$C$5:$AH$1004,4,))*$F327</f>
        <v>0</v>
      </c>
      <c r="H327" s="14">
        <f>(VLOOKUP($D327,$C$5:$AH$1004,6,)/VLOOKUP($D327,$C$5:$AH$1004,4,))*$F327</f>
        <v>0</v>
      </c>
      <c r="I327" s="14">
        <f>(VLOOKUP($D327,$C$5:$AH$1004,7,)/VLOOKUP($D327,$C$5:$AH$1004,4,))*$F327</f>
        <v>0</v>
      </c>
      <c r="J327" s="14">
        <f>(VLOOKUP($D327,$C$5:$AH$1004,8,)/VLOOKUP($D327,$C$5:$AH$1004,4,))*$F327</f>
        <v>0</v>
      </c>
      <c r="K327" s="14">
        <f>(VLOOKUP($D327,$C$5:$AH$1004,9,)/VLOOKUP($D327,$C$5:$AH$1004,4,))*$F327</f>
        <v>0</v>
      </c>
      <c r="L327" s="14">
        <f>(VLOOKUP($D327,$C$5:$AH$1004,10,)/VLOOKUP($D327,$C$5:$AH$1004,4,))*$F327</f>
        <v>1075</v>
      </c>
      <c r="M327" s="14">
        <f>(VLOOKUP($D327,$C$5:$AH$1004,11,)/VLOOKUP($D327,$C$5:$AH$1004,4,))*$F327</f>
        <v>0</v>
      </c>
      <c r="N327" s="14">
        <f>(VLOOKUP($D327,$C$5:$AH$1004,12,)/VLOOKUP($D327,$C$5:$AH$1004,4,))*$F327</f>
        <v>0</v>
      </c>
      <c r="O327" s="14">
        <f>(VLOOKUP($D327,$C$5:$AH$1004,13,)/VLOOKUP($D327,$C$5:$AH$1004,4,))*$F327</f>
        <v>0</v>
      </c>
      <c r="P327" s="14">
        <f>(VLOOKUP($D327,$C$5:$AH$1004,14,)/VLOOKUP($D327,$C$5:$AH$1004,4,))*$F327</f>
        <v>0</v>
      </c>
      <c r="Q327" s="14">
        <f>(VLOOKUP($D327,$C$5:$AH$1004,15,)/VLOOKUP($D327,$C$5:$AH$1004,4,))*$F327</f>
        <v>0</v>
      </c>
      <c r="R327" s="14">
        <f>(VLOOKUP($D327,$C$5:$AH$1004,16,)/VLOOKUP($D327,$C$5:$AH$1004,4,))*$F327</f>
        <v>0</v>
      </c>
      <c r="S327" s="14">
        <f>(VLOOKUP($D327,$C$5:$AH$1004,17,)/VLOOKUP($D327,$C$5:$AH$1004,4,))*$F327</f>
        <v>0</v>
      </c>
      <c r="T327" s="14">
        <f>(VLOOKUP($D327,$C$5:$AH$1004,18,)/VLOOKUP($D327,$C$5:$AH$1004,4,))*$F327</f>
        <v>0</v>
      </c>
      <c r="U327" s="14">
        <f>SUM(G327:T327)</f>
        <v>1075</v>
      </c>
      <c r="V327" s="39" t="str">
        <f>IF(ABS(U327-F327)&lt;1,"ok","err")</f>
        <v>ok</v>
      </c>
      <c r="W327" s="19"/>
      <c r="X327" s="19"/>
      <c r="Y327" s="19"/>
      <c r="Z327" s="19"/>
      <c r="AA327" s="19"/>
      <c r="AB327" s="19"/>
      <c r="AC327" s="19"/>
      <c r="AD327" s="19"/>
    </row>
    <row r="328" spans="1:30" s="9" customFormat="1" x14ac:dyDescent="0.2">
      <c r="A328" s="13">
        <v>765</v>
      </c>
      <c r="B328" s="9" t="s">
        <v>685</v>
      </c>
      <c r="C328" s="4" t="s">
        <v>687</v>
      </c>
      <c r="D328" s="4" t="s">
        <v>32</v>
      </c>
      <c r="E328" s="4"/>
      <c r="F328" s="64">
        <v>37030.001376240827</v>
      </c>
      <c r="G328" s="14">
        <f>(VLOOKUP($D328,$C$5:$AH$1004,5,)/VLOOKUP($D328,$C$5:$AH$1004,4,))*$F328</f>
        <v>0</v>
      </c>
      <c r="H328" s="14">
        <f>(VLOOKUP($D328,$C$5:$AH$1004,6,)/VLOOKUP($D328,$C$5:$AH$1004,4,))*$F328</f>
        <v>0</v>
      </c>
      <c r="I328" s="14">
        <f>(VLOOKUP($D328,$C$5:$AH$1004,7,)/VLOOKUP($D328,$C$5:$AH$1004,4,))*$F328</f>
        <v>0</v>
      </c>
      <c r="J328" s="14">
        <f>(VLOOKUP($D328,$C$5:$AH$1004,8,)/VLOOKUP($D328,$C$5:$AH$1004,4,))*$F328</f>
        <v>0</v>
      </c>
      <c r="K328" s="14">
        <f>(VLOOKUP($D328,$C$5:$AH$1004,9,)/VLOOKUP($D328,$C$5:$AH$1004,4,))*$F328</f>
        <v>0</v>
      </c>
      <c r="L328" s="14">
        <f>(VLOOKUP($D328,$C$5:$AH$1004,10,)/VLOOKUP($D328,$C$5:$AH$1004,4,))*$F328</f>
        <v>37030.001376240827</v>
      </c>
      <c r="M328" s="14">
        <f>(VLOOKUP($D328,$C$5:$AH$1004,11,)/VLOOKUP($D328,$C$5:$AH$1004,4,))*$F328</f>
        <v>0</v>
      </c>
      <c r="N328" s="14">
        <f>(VLOOKUP($D328,$C$5:$AH$1004,12,)/VLOOKUP($D328,$C$5:$AH$1004,4,))*$F328</f>
        <v>0</v>
      </c>
      <c r="O328" s="14">
        <f>(VLOOKUP($D328,$C$5:$AH$1004,13,)/VLOOKUP($D328,$C$5:$AH$1004,4,))*$F328</f>
        <v>0</v>
      </c>
      <c r="P328" s="14">
        <f>(VLOOKUP($D328,$C$5:$AH$1004,14,)/VLOOKUP($D328,$C$5:$AH$1004,4,))*$F328</f>
        <v>0</v>
      </c>
      <c r="Q328" s="14">
        <f>(VLOOKUP($D328,$C$5:$AH$1004,15,)/VLOOKUP($D328,$C$5:$AH$1004,4,))*$F328</f>
        <v>0</v>
      </c>
      <c r="R328" s="14">
        <f>(VLOOKUP($D328,$C$5:$AH$1004,16,)/VLOOKUP($D328,$C$5:$AH$1004,4,))*$F328</f>
        <v>0</v>
      </c>
      <c r="S328" s="14">
        <f>(VLOOKUP($D328,$C$5:$AH$1004,17,)/VLOOKUP($D328,$C$5:$AH$1004,4,))*$F328</f>
        <v>0</v>
      </c>
      <c r="T328" s="14">
        <f>(VLOOKUP($D328,$C$5:$AH$1004,18,)/VLOOKUP($D328,$C$5:$AH$1004,4,))*$F328</f>
        <v>0</v>
      </c>
      <c r="U328" s="14">
        <f>SUM(G328:T328)</f>
        <v>37030.001376240827</v>
      </c>
      <c r="V328" s="39" t="str">
        <f>IF(ABS(U328-F328)&lt;1,"ok","err")</f>
        <v>ok</v>
      </c>
      <c r="W328" s="19"/>
      <c r="X328" s="19"/>
      <c r="Y328" s="19"/>
      <c r="Z328" s="19"/>
      <c r="AA328" s="19"/>
      <c r="AB328" s="19"/>
      <c r="AC328" s="19"/>
      <c r="AD328" s="19"/>
    </row>
    <row r="329" spans="1:30" s="9" customFormat="1" x14ac:dyDescent="0.2">
      <c r="A329" s="13"/>
      <c r="C329" s="4"/>
      <c r="D329" s="4"/>
      <c r="E329" s="4"/>
      <c r="F329" s="6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39"/>
      <c r="W329" s="19"/>
      <c r="X329" s="19"/>
      <c r="Y329" s="19"/>
      <c r="Z329" s="19"/>
      <c r="AA329" s="19"/>
      <c r="AB329" s="19"/>
      <c r="AC329" s="19"/>
      <c r="AD329" s="19"/>
    </row>
    <row r="330" spans="1:30" s="9" customFormat="1" x14ac:dyDescent="0.2">
      <c r="A330" s="13" t="s">
        <v>688</v>
      </c>
      <c r="C330" s="4"/>
      <c r="D330" s="4"/>
      <c r="E330" s="4"/>
      <c r="F330" s="64">
        <f>SUM(F325:F329)</f>
        <v>38105.001376240827</v>
      </c>
      <c r="G330" s="14">
        <f t="shared" ref="G330:U330" si="120">SUM(G325:G329)</f>
        <v>0</v>
      </c>
      <c r="H330" s="14">
        <f t="shared" si="120"/>
        <v>0</v>
      </c>
      <c r="I330" s="14">
        <f t="shared" si="120"/>
        <v>0</v>
      </c>
      <c r="J330" s="14">
        <f t="shared" si="120"/>
        <v>0</v>
      </c>
      <c r="K330" s="14">
        <f t="shared" si="120"/>
        <v>0</v>
      </c>
      <c r="L330" s="14">
        <f t="shared" si="120"/>
        <v>38105.001376240827</v>
      </c>
      <c r="M330" s="14">
        <f t="shared" si="120"/>
        <v>0</v>
      </c>
      <c r="N330" s="14">
        <f t="shared" si="120"/>
        <v>0</v>
      </c>
      <c r="O330" s="14">
        <f t="shared" si="120"/>
        <v>0</v>
      </c>
      <c r="P330" s="14">
        <f t="shared" si="120"/>
        <v>0</v>
      </c>
      <c r="Q330" s="14">
        <f t="shared" si="120"/>
        <v>0</v>
      </c>
      <c r="R330" s="14">
        <f t="shared" si="120"/>
        <v>0</v>
      </c>
      <c r="S330" s="14">
        <f t="shared" si="120"/>
        <v>0</v>
      </c>
      <c r="T330" s="14">
        <f t="shared" si="120"/>
        <v>0</v>
      </c>
      <c r="U330" s="14">
        <f t="shared" si="120"/>
        <v>38105.001376240827</v>
      </c>
      <c r="V330" s="39" t="str">
        <f>IF(ABS(U330-F330)&lt;1,"ok","err")</f>
        <v>ok</v>
      </c>
      <c r="W330" s="19"/>
      <c r="X330" s="19"/>
      <c r="Y330" s="19"/>
      <c r="Z330" s="19"/>
      <c r="AA330" s="19"/>
      <c r="AB330" s="19"/>
      <c r="AC330" s="19"/>
      <c r="AD330" s="19"/>
    </row>
    <row r="331" spans="1:30" s="9" customFormat="1" x14ac:dyDescent="0.2">
      <c r="A331" s="11"/>
      <c r="C331" s="4"/>
      <c r="D331" s="4"/>
      <c r="E331" s="4"/>
      <c r="F331" s="65"/>
      <c r="G331" s="4"/>
      <c r="H331" s="4"/>
      <c r="I331" s="4"/>
      <c r="J331" s="4"/>
      <c r="K331" s="4"/>
      <c r="L331" s="4"/>
      <c r="M331" s="4"/>
      <c r="N331" s="4"/>
      <c r="W331" s="19"/>
      <c r="X331" s="19"/>
      <c r="Y331" s="19"/>
      <c r="Z331" s="19"/>
      <c r="AA331" s="19"/>
      <c r="AB331" s="19"/>
      <c r="AC331" s="19"/>
      <c r="AD331" s="19"/>
    </row>
    <row r="332" spans="1:30" s="9" customFormat="1" x14ac:dyDescent="0.2">
      <c r="A332" s="13" t="s">
        <v>462</v>
      </c>
      <c r="B332" s="9" t="s">
        <v>463</v>
      </c>
      <c r="C332" s="4" t="s">
        <v>566</v>
      </c>
      <c r="D332" s="4" t="s">
        <v>636</v>
      </c>
      <c r="E332" s="4"/>
      <c r="F332" s="65">
        <v>0</v>
      </c>
      <c r="G332" s="14">
        <f>(VLOOKUP($D332,$C$5:$AH$1004,5,)/VLOOKUP($D332,$C$5:$AH$1004,4,))*$F332</f>
        <v>0</v>
      </c>
      <c r="H332" s="14">
        <f>(VLOOKUP($D332,$C$5:$AH$1004,6,)/VLOOKUP($D332,$C$5:$AH$1004,4,))*$F332</f>
        <v>0</v>
      </c>
      <c r="I332" s="14">
        <f>(VLOOKUP($D332,$C$5:$AH$1004,7,)/VLOOKUP($D332,$C$5:$AH$1004,4,))*$F332</f>
        <v>0</v>
      </c>
      <c r="J332" s="14">
        <f>(VLOOKUP($D332,$C$5:$AH$1004,8,)/VLOOKUP($D332,$C$5:$AH$1004,4,))*$F332</f>
        <v>0</v>
      </c>
      <c r="K332" s="14">
        <f>(VLOOKUP($D332,$C$5:$AH$1004,9,)/VLOOKUP($D332,$C$5:$AH$1004,4,))*$F332</f>
        <v>0</v>
      </c>
      <c r="L332" s="14">
        <f>(VLOOKUP($D332,$C$5:$AH$1004,10,)/VLOOKUP($D332,$C$5:$AH$1004,4,))*$F332</f>
        <v>0</v>
      </c>
      <c r="M332" s="14">
        <f>(VLOOKUP($D332,$C$5:$AH$1004,11,)/VLOOKUP($D332,$C$5:$AH$1004,4,))*$F332</f>
        <v>0</v>
      </c>
      <c r="N332" s="14">
        <f>(VLOOKUP($D332,$C$5:$AH$1004,12,)/VLOOKUP($D332,$C$5:$AH$1004,4,))*$F332</f>
        <v>0</v>
      </c>
      <c r="O332" s="14">
        <f>(VLOOKUP($D332,$C$5:$AH$1004,13,)/VLOOKUP($D332,$C$5:$AH$1004,4,))*$F332</f>
        <v>0</v>
      </c>
      <c r="P332" s="14">
        <f>(VLOOKUP($D332,$C$5:$AH$1004,14,)/VLOOKUP($D332,$C$5:$AH$1004,4,))*$F332</f>
        <v>0</v>
      </c>
      <c r="Q332" s="14">
        <f>(VLOOKUP($D332,$C$5:$AH$1004,15,)/VLOOKUP($D332,$C$5:$AH$1004,4,))*$F332</f>
        <v>0</v>
      </c>
      <c r="R332" s="14">
        <f>(VLOOKUP($D332,$C$5:$AH$1004,16,)/VLOOKUP($D332,$C$5:$AH$1004,4,))*$F332</f>
        <v>0</v>
      </c>
      <c r="S332" s="14">
        <f>(VLOOKUP($D332,$C$5:$AH$1004,17,)/VLOOKUP($D332,$C$5:$AH$1004,4,))*$F332</f>
        <v>0</v>
      </c>
      <c r="T332" s="14">
        <f>(VLOOKUP($D332,$C$5:$AH$1004,18,)/VLOOKUP($D332,$C$5:$AH$1004,4,))*$F332</f>
        <v>0</v>
      </c>
      <c r="U332" s="14">
        <f>SUM(G332:T332)</f>
        <v>0</v>
      </c>
      <c r="V332" s="39" t="str">
        <f>IF(ABS(U332-F332)&lt;1,"ok","err")</f>
        <v>ok</v>
      </c>
      <c r="W332" s="19"/>
      <c r="X332" s="19"/>
      <c r="Y332" s="19"/>
      <c r="Z332" s="19"/>
      <c r="AA332" s="19"/>
      <c r="AB332" s="19"/>
      <c r="AC332" s="19"/>
      <c r="AD332" s="19"/>
    </row>
    <row r="333" spans="1:30" s="9" customFormat="1" x14ac:dyDescent="0.2">
      <c r="C333" s="4"/>
      <c r="D333" s="4"/>
      <c r="E333" s="4"/>
      <c r="F333" s="65"/>
      <c r="G333" s="4"/>
      <c r="H333" s="4"/>
      <c r="I333" s="4"/>
      <c r="J333" s="4"/>
      <c r="K333" s="4"/>
      <c r="L333" s="4"/>
      <c r="M333" s="4"/>
      <c r="N333" s="4"/>
      <c r="W333" s="19"/>
      <c r="X333" s="19"/>
      <c r="Y333" s="19"/>
      <c r="Z333" s="19"/>
      <c r="AA333" s="19"/>
      <c r="AB333" s="19"/>
      <c r="AC333" s="19"/>
      <c r="AD333" s="19"/>
    </row>
    <row r="334" spans="1:30" s="9" customFormat="1" x14ac:dyDescent="0.2">
      <c r="A334" s="8" t="s">
        <v>465</v>
      </c>
      <c r="C334" s="4"/>
      <c r="D334" s="4"/>
      <c r="E334" s="4"/>
      <c r="F334" s="65"/>
      <c r="G334" s="4"/>
      <c r="H334" s="4"/>
      <c r="I334" s="4"/>
      <c r="J334" s="4"/>
      <c r="K334" s="4"/>
      <c r="L334" s="4"/>
      <c r="M334" s="4"/>
      <c r="N334" s="4"/>
      <c r="W334" s="19"/>
      <c r="X334" s="19"/>
      <c r="Y334" s="19"/>
      <c r="Z334" s="19"/>
      <c r="AA334" s="19"/>
      <c r="AB334" s="19"/>
      <c r="AC334" s="19"/>
      <c r="AD334" s="19"/>
    </row>
    <row r="335" spans="1:30" s="9" customFormat="1" x14ac:dyDescent="0.2">
      <c r="A335" s="8" t="s">
        <v>438</v>
      </c>
      <c r="F335" s="61"/>
      <c r="W335" s="19"/>
      <c r="X335" s="19"/>
      <c r="Y335" s="19"/>
      <c r="Z335" s="19"/>
      <c r="AA335" s="19"/>
      <c r="AB335" s="19"/>
      <c r="AC335" s="19"/>
      <c r="AD335" s="19"/>
    </row>
    <row r="336" spans="1:30" s="9" customFormat="1" x14ac:dyDescent="0.2">
      <c r="A336" s="13">
        <v>814</v>
      </c>
      <c r="B336" s="9" t="s">
        <v>405</v>
      </c>
      <c r="C336" s="4" t="s">
        <v>98</v>
      </c>
      <c r="D336" s="4" t="s">
        <v>630</v>
      </c>
      <c r="E336" s="4"/>
      <c r="F336" s="64">
        <v>0</v>
      </c>
      <c r="G336" s="14">
        <f t="shared" ref="G336:G347" si="121">(VLOOKUP($D336,$C$5:$AH$1004,5,)/VLOOKUP($D336,$C$5:$AH$1004,4,))*$F336</f>
        <v>0</v>
      </c>
      <c r="H336" s="14">
        <f t="shared" ref="H336:H347" si="122">(VLOOKUP($D336,$C$5:$AH$1004,6,)/VLOOKUP($D336,$C$5:$AH$1004,4,))*$F336</f>
        <v>0</v>
      </c>
      <c r="I336" s="14">
        <f t="shared" ref="I336:I347" si="123">(VLOOKUP($D336,$C$5:$AH$1004,7,)/VLOOKUP($D336,$C$5:$AH$1004,4,))*$F336</f>
        <v>0</v>
      </c>
      <c r="J336" s="14">
        <f t="shared" ref="J336:J347" si="124">(VLOOKUP($D336,$C$5:$AH$1004,8,)/VLOOKUP($D336,$C$5:$AH$1004,4,))*$F336</f>
        <v>0</v>
      </c>
      <c r="K336" s="14">
        <f t="shared" ref="K336:K347" si="125">(VLOOKUP($D336,$C$5:$AH$1004,9,)/VLOOKUP($D336,$C$5:$AH$1004,4,))*$F336</f>
        <v>0</v>
      </c>
      <c r="L336" s="14">
        <f t="shared" ref="L336:L347" si="126">(VLOOKUP($D336,$C$5:$AH$1004,10,)/VLOOKUP($D336,$C$5:$AH$1004,4,))*$F336</f>
        <v>0</v>
      </c>
      <c r="M336" s="14">
        <f t="shared" ref="M336:M347" si="127">(VLOOKUP($D336,$C$5:$AH$1004,11,)/VLOOKUP($D336,$C$5:$AH$1004,4,))*$F336</f>
        <v>0</v>
      </c>
      <c r="N336" s="14">
        <f t="shared" ref="N336:N347" si="128">(VLOOKUP($D336,$C$5:$AH$1004,12,)/VLOOKUP($D336,$C$5:$AH$1004,4,))*$F336</f>
        <v>0</v>
      </c>
      <c r="O336" s="14">
        <f t="shared" ref="O336:O347" si="129">(VLOOKUP($D336,$C$5:$AH$1004,13,)/VLOOKUP($D336,$C$5:$AH$1004,4,))*$F336</f>
        <v>0</v>
      </c>
      <c r="P336" s="14">
        <f t="shared" ref="P336:P347" si="130">(VLOOKUP($D336,$C$5:$AH$1004,14,)/VLOOKUP($D336,$C$5:$AH$1004,4,))*$F336</f>
        <v>0</v>
      </c>
      <c r="Q336" s="14">
        <f t="shared" ref="Q336:Q347" si="131">(VLOOKUP($D336,$C$5:$AH$1004,15,)/VLOOKUP($D336,$C$5:$AH$1004,4,))*$F336</f>
        <v>0</v>
      </c>
      <c r="R336" s="14">
        <f t="shared" ref="R336:R347" si="132">(VLOOKUP($D336,$C$5:$AH$1004,16,)/VLOOKUP($D336,$C$5:$AH$1004,4,))*$F336</f>
        <v>0</v>
      </c>
      <c r="S336" s="14">
        <f t="shared" ref="S336:S347" si="133">(VLOOKUP($D336,$C$5:$AH$1004,17,)/VLOOKUP($D336,$C$5:$AH$1004,4,))*$F336</f>
        <v>0</v>
      </c>
      <c r="T336" s="14">
        <f t="shared" ref="T336:T347" si="134">(VLOOKUP($D336,$C$5:$AH$1004,18,)/VLOOKUP($D336,$C$5:$AH$1004,4,))*$F336</f>
        <v>0</v>
      </c>
      <c r="U336" s="14">
        <f t="shared" ref="U336:U347" si="135">SUM(G336:T336)</f>
        <v>0</v>
      </c>
      <c r="V336" s="39" t="str">
        <f t="shared" ref="V336:V347" si="136">IF(ABS(U336-F336)&lt;1,"ok","err")</f>
        <v>ok</v>
      </c>
      <c r="W336" s="19"/>
      <c r="X336" s="19"/>
      <c r="Y336" s="19"/>
      <c r="Z336" s="19"/>
      <c r="AA336" s="19"/>
      <c r="AB336" s="19"/>
      <c r="AC336" s="19"/>
      <c r="AD336" s="19"/>
    </row>
    <row r="337" spans="1:30" s="9" customFormat="1" x14ac:dyDescent="0.2">
      <c r="A337" s="13">
        <v>815</v>
      </c>
      <c r="B337" s="9" t="s">
        <v>406</v>
      </c>
      <c r="C337" s="4" t="s">
        <v>99</v>
      </c>
      <c r="D337" s="4" t="s">
        <v>24</v>
      </c>
      <c r="E337" s="4"/>
      <c r="F337" s="64">
        <v>0</v>
      </c>
      <c r="G337" s="14">
        <f t="shared" si="121"/>
        <v>0</v>
      </c>
      <c r="H337" s="14">
        <f t="shared" si="122"/>
        <v>0</v>
      </c>
      <c r="I337" s="14">
        <f t="shared" si="123"/>
        <v>0</v>
      </c>
      <c r="J337" s="14">
        <f t="shared" si="124"/>
        <v>0</v>
      </c>
      <c r="K337" s="14">
        <f t="shared" si="125"/>
        <v>0</v>
      </c>
      <c r="L337" s="14">
        <f t="shared" si="126"/>
        <v>0</v>
      </c>
      <c r="M337" s="14">
        <f t="shared" si="127"/>
        <v>0</v>
      </c>
      <c r="N337" s="14">
        <f t="shared" si="128"/>
        <v>0</v>
      </c>
      <c r="O337" s="14">
        <f t="shared" si="129"/>
        <v>0</v>
      </c>
      <c r="P337" s="14">
        <f t="shared" si="130"/>
        <v>0</v>
      </c>
      <c r="Q337" s="14">
        <f t="shared" si="131"/>
        <v>0</v>
      </c>
      <c r="R337" s="14">
        <f t="shared" si="132"/>
        <v>0</v>
      </c>
      <c r="S337" s="14">
        <f t="shared" si="133"/>
        <v>0</v>
      </c>
      <c r="T337" s="14">
        <f t="shared" si="134"/>
        <v>0</v>
      </c>
      <c r="U337" s="14">
        <f t="shared" si="135"/>
        <v>0</v>
      </c>
      <c r="V337" s="39" t="str">
        <f t="shared" si="136"/>
        <v>ok</v>
      </c>
      <c r="W337" s="19"/>
      <c r="X337" s="19"/>
      <c r="Y337" s="19"/>
      <c r="Z337" s="19"/>
      <c r="AA337" s="19"/>
      <c r="AB337" s="19"/>
      <c r="AC337" s="19"/>
      <c r="AD337" s="19"/>
    </row>
    <row r="338" spans="1:30" s="9" customFormat="1" x14ac:dyDescent="0.2">
      <c r="A338" s="13">
        <v>816</v>
      </c>
      <c r="B338" s="9" t="s">
        <v>407</v>
      </c>
      <c r="C338" s="4" t="s">
        <v>100</v>
      </c>
      <c r="D338" s="4" t="s">
        <v>24</v>
      </c>
      <c r="E338" s="4"/>
      <c r="F338" s="64">
        <v>75650.193718146693</v>
      </c>
      <c r="G338" s="14">
        <f t="shared" si="121"/>
        <v>0</v>
      </c>
      <c r="H338" s="14">
        <f t="shared" si="122"/>
        <v>0</v>
      </c>
      <c r="I338" s="14">
        <f t="shared" si="123"/>
        <v>75650.193718146693</v>
      </c>
      <c r="J338" s="14">
        <f t="shared" si="124"/>
        <v>0</v>
      </c>
      <c r="K338" s="14">
        <f t="shared" si="125"/>
        <v>0</v>
      </c>
      <c r="L338" s="14">
        <f t="shared" si="126"/>
        <v>0</v>
      </c>
      <c r="M338" s="14">
        <f t="shared" si="127"/>
        <v>0</v>
      </c>
      <c r="N338" s="14">
        <f t="shared" si="128"/>
        <v>0</v>
      </c>
      <c r="O338" s="14">
        <f t="shared" si="129"/>
        <v>0</v>
      </c>
      <c r="P338" s="14">
        <f t="shared" si="130"/>
        <v>0</v>
      </c>
      <c r="Q338" s="14">
        <f t="shared" si="131"/>
        <v>0</v>
      </c>
      <c r="R338" s="14">
        <f t="shared" si="132"/>
        <v>0</v>
      </c>
      <c r="S338" s="14">
        <f t="shared" si="133"/>
        <v>0</v>
      </c>
      <c r="T338" s="14">
        <f t="shared" si="134"/>
        <v>0</v>
      </c>
      <c r="U338" s="14">
        <f t="shared" si="135"/>
        <v>75650.193718146693</v>
      </c>
      <c r="V338" s="39" t="str">
        <f t="shared" si="136"/>
        <v>ok</v>
      </c>
      <c r="W338" s="19"/>
      <c r="X338" s="19"/>
      <c r="Y338" s="19"/>
      <c r="Z338" s="19"/>
      <c r="AA338" s="19"/>
      <c r="AB338" s="19"/>
      <c r="AC338" s="19"/>
      <c r="AD338" s="19"/>
    </row>
    <row r="339" spans="1:30" s="9" customFormat="1" x14ac:dyDescent="0.2">
      <c r="A339" s="13">
        <v>817</v>
      </c>
      <c r="B339" s="9" t="s">
        <v>101</v>
      </c>
      <c r="C339" s="4" t="s">
        <v>102</v>
      </c>
      <c r="D339" s="4" t="s">
        <v>24</v>
      </c>
      <c r="E339" s="4"/>
      <c r="F339" s="64">
        <v>0</v>
      </c>
      <c r="G339" s="14">
        <f t="shared" si="121"/>
        <v>0</v>
      </c>
      <c r="H339" s="14">
        <f t="shared" si="122"/>
        <v>0</v>
      </c>
      <c r="I339" s="14">
        <f t="shared" si="123"/>
        <v>0</v>
      </c>
      <c r="J339" s="14">
        <f t="shared" si="124"/>
        <v>0</v>
      </c>
      <c r="K339" s="14">
        <f t="shared" si="125"/>
        <v>0</v>
      </c>
      <c r="L339" s="14">
        <f t="shared" si="126"/>
        <v>0</v>
      </c>
      <c r="M339" s="14">
        <f t="shared" si="127"/>
        <v>0</v>
      </c>
      <c r="N339" s="14">
        <f t="shared" si="128"/>
        <v>0</v>
      </c>
      <c r="O339" s="14">
        <f t="shared" si="129"/>
        <v>0</v>
      </c>
      <c r="P339" s="14">
        <f t="shared" si="130"/>
        <v>0</v>
      </c>
      <c r="Q339" s="14">
        <f t="shared" si="131"/>
        <v>0</v>
      </c>
      <c r="R339" s="14">
        <f t="shared" si="132"/>
        <v>0</v>
      </c>
      <c r="S339" s="14">
        <f t="shared" si="133"/>
        <v>0</v>
      </c>
      <c r="T339" s="14">
        <f t="shared" si="134"/>
        <v>0</v>
      </c>
      <c r="U339" s="14">
        <f t="shared" si="135"/>
        <v>0</v>
      </c>
      <c r="V339" s="39" t="str">
        <f t="shared" si="136"/>
        <v>ok</v>
      </c>
      <c r="W339" s="19"/>
      <c r="X339" s="19"/>
      <c r="Y339" s="19"/>
      <c r="Z339" s="19"/>
      <c r="AA339" s="19"/>
      <c r="AB339" s="19"/>
      <c r="AC339" s="19"/>
      <c r="AD339" s="19"/>
    </row>
    <row r="340" spans="1:30" s="9" customFormat="1" x14ac:dyDescent="0.2">
      <c r="A340" s="13">
        <v>818</v>
      </c>
      <c r="B340" s="9" t="s">
        <v>667</v>
      </c>
      <c r="C340" s="4" t="s">
        <v>103</v>
      </c>
      <c r="D340" s="4" t="s">
        <v>128</v>
      </c>
      <c r="E340" s="4"/>
      <c r="F340" s="64">
        <v>87868</v>
      </c>
      <c r="G340" s="14">
        <f t="shared" si="121"/>
        <v>0</v>
      </c>
      <c r="H340" s="14">
        <f t="shared" si="122"/>
        <v>0</v>
      </c>
      <c r="I340" s="14">
        <f t="shared" si="123"/>
        <v>0</v>
      </c>
      <c r="J340" s="14">
        <f t="shared" si="124"/>
        <v>87868</v>
      </c>
      <c r="K340" s="14">
        <f t="shared" si="125"/>
        <v>0</v>
      </c>
      <c r="L340" s="14">
        <f t="shared" si="126"/>
        <v>0</v>
      </c>
      <c r="M340" s="14">
        <f t="shared" si="127"/>
        <v>0</v>
      </c>
      <c r="N340" s="14">
        <f t="shared" si="128"/>
        <v>0</v>
      </c>
      <c r="O340" s="14">
        <f t="shared" si="129"/>
        <v>0</v>
      </c>
      <c r="P340" s="14">
        <f t="shared" si="130"/>
        <v>0</v>
      </c>
      <c r="Q340" s="14">
        <f t="shared" si="131"/>
        <v>0</v>
      </c>
      <c r="R340" s="14">
        <f t="shared" si="132"/>
        <v>0</v>
      </c>
      <c r="S340" s="14">
        <f t="shared" si="133"/>
        <v>0</v>
      </c>
      <c r="T340" s="14">
        <f t="shared" si="134"/>
        <v>0</v>
      </c>
      <c r="U340" s="14">
        <f t="shared" si="135"/>
        <v>87868</v>
      </c>
      <c r="V340" s="39" t="str">
        <f t="shared" si="136"/>
        <v>ok</v>
      </c>
      <c r="W340" s="19"/>
      <c r="X340" s="19"/>
      <c r="Y340" s="19"/>
      <c r="Z340" s="19"/>
      <c r="AA340" s="19"/>
      <c r="AB340" s="19"/>
      <c r="AC340" s="19"/>
      <c r="AD340" s="19"/>
    </row>
    <row r="341" spans="1:30" s="9" customFormat="1" x14ac:dyDescent="0.2">
      <c r="A341" s="13">
        <v>819</v>
      </c>
      <c r="B341" s="9" t="s">
        <v>408</v>
      </c>
      <c r="C341" s="4" t="s">
        <v>105</v>
      </c>
      <c r="D341" s="4" t="s">
        <v>128</v>
      </c>
      <c r="E341" s="4"/>
      <c r="F341" s="64">
        <v>0</v>
      </c>
      <c r="G341" s="14">
        <f t="shared" si="121"/>
        <v>0</v>
      </c>
      <c r="H341" s="14">
        <f t="shared" si="122"/>
        <v>0</v>
      </c>
      <c r="I341" s="14">
        <f t="shared" si="123"/>
        <v>0</v>
      </c>
      <c r="J341" s="14">
        <f t="shared" si="124"/>
        <v>0</v>
      </c>
      <c r="K341" s="14">
        <f t="shared" si="125"/>
        <v>0</v>
      </c>
      <c r="L341" s="14">
        <f t="shared" si="126"/>
        <v>0</v>
      </c>
      <c r="M341" s="14">
        <f t="shared" si="127"/>
        <v>0</v>
      </c>
      <c r="N341" s="14">
        <f t="shared" si="128"/>
        <v>0</v>
      </c>
      <c r="O341" s="14">
        <f t="shared" si="129"/>
        <v>0</v>
      </c>
      <c r="P341" s="14">
        <f t="shared" si="130"/>
        <v>0</v>
      </c>
      <c r="Q341" s="14">
        <f t="shared" si="131"/>
        <v>0</v>
      </c>
      <c r="R341" s="14">
        <f t="shared" si="132"/>
        <v>0</v>
      </c>
      <c r="S341" s="14">
        <f t="shared" si="133"/>
        <v>0</v>
      </c>
      <c r="T341" s="14">
        <f t="shared" si="134"/>
        <v>0</v>
      </c>
      <c r="U341" s="14">
        <f t="shared" si="135"/>
        <v>0</v>
      </c>
      <c r="V341" s="39" t="str">
        <f t="shared" si="136"/>
        <v>ok</v>
      </c>
      <c r="W341" s="19"/>
      <c r="X341" s="19"/>
      <c r="Y341" s="19"/>
      <c r="Z341" s="19"/>
      <c r="AA341" s="19"/>
      <c r="AB341" s="19"/>
      <c r="AC341" s="19"/>
      <c r="AD341" s="19"/>
    </row>
    <row r="342" spans="1:30" s="9" customFormat="1" x14ac:dyDescent="0.2">
      <c r="A342" s="13">
        <v>820</v>
      </c>
      <c r="B342" s="9" t="s">
        <v>409</v>
      </c>
      <c r="C342" s="4" t="s">
        <v>106</v>
      </c>
      <c r="D342" s="4" t="s">
        <v>24</v>
      </c>
      <c r="E342" s="4"/>
      <c r="F342" s="64">
        <v>0</v>
      </c>
      <c r="G342" s="14">
        <f t="shared" si="121"/>
        <v>0</v>
      </c>
      <c r="H342" s="14">
        <f t="shared" si="122"/>
        <v>0</v>
      </c>
      <c r="I342" s="14">
        <f t="shared" si="123"/>
        <v>0</v>
      </c>
      <c r="J342" s="14">
        <f t="shared" si="124"/>
        <v>0</v>
      </c>
      <c r="K342" s="14">
        <f t="shared" si="125"/>
        <v>0</v>
      </c>
      <c r="L342" s="14">
        <f t="shared" si="126"/>
        <v>0</v>
      </c>
      <c r="M342" s="14">
        <f t="shared" si="127"/>
        <v>0</v>
      </c>
      <c r="N342" s="14">
        <f t="shared" si="128"/>
        <v>0</v>
      </c>
      <c r="O342" s="14">
        <f t="shared" si="129"/>
        <v>0</v>
      </c>
      <c r="P342" s="14">
        <f t="shared" si="130"/>
        <v>0</v>
      </c>
      <c r="Q342" s="14">
        <f t="shared" si="131"/>
        <v>0</v>
      </c>
      <c r="R342" s="14">
        <f t="shared" si="132"/>
        <v>0</v>
      </c>
      <c r="S342" s="14">
        <f t="shared" si="133"/>
        <v>0</v>
      </c>
      <c r="T342" s="14">
        <f t="shared" si="134"/>
        <v>0</v>
      </c>
      <c r="U342" s="14">
        <f t="shared" si="135"/>
        <v>0</v>
      </c>
      <c r="V342" s="39" t="str">
        <f t="shared" si="136"/>
        <v>ok</v>
      </c>
      <c r="W342" s="19"/>
      <c r="X342" s="19"/>
      <c r="Y342" s="19"/>
      <c r="Z342" s="19"/>
      <c r="AA342" s="19"/>
      <c r="AB342" s="19"/>
      <c r="AC342" s="19"/>
      <c r="AD342" s="19"/>
    </row>
    <row r="343" spans="1:30" s="9" customFormat="1" x14ac:dyDescent="0.2">
      <c r="A343" s="13">
        <v>821</v>
      </c>
      <c r="B343" s="9" t="s">
        <v>668</v>
      </c>
      <c r="C343" s="4" t="s">
        <v>107</v>
      </c>
      <c r="D343" s="4" t="s">
        <v>128</v>
      </c>
      <c r="E343" s="4"/>
      <c r="F343" s="64">
        <v>102594</v>
      </c>
      <c r="G343" s="14">
        <f t="shared" si="121"/>
        <v>0</v>
      </c>
      <c r="H343" s="14">
        <f t="shared" si="122"/>
        <v>0</v>
      </c>
      <c r="I343" s="14">
        <f t="shared" si="123"/>
        <v>0</v>
      </c>
      <c r="J343" s="14">
        <f t="shared" si="124"/>
        <v>102594</v>
      </c>
      <c r="K343" s="14">
        <f t="shared" si="125"/>
        <v>0</v>
      </c>
      <c r="L343" s="14">
        <f t="shared" si="126"/>
        <v>0</v>
      </c>
      <c r="M343" s="14">
        <f t="shared" si="127"/>
        <v>0</v>
      </c>
      <c r="N343" s="14">
        <f t="shared" si="128"/>
        <v>0</v>
      </c>
      <c r="O343" s="14">
        <f t="shared" si="129"/>
        <v>0</v>
      </c>
      <c r="P343" s="14">
        <f t="shared" si="130"/>
        <v>0</v>
      </c>
      <c r="Q343" s="14">
        <f t="shared" si="131"/>
        <v>0</v>
      </c>
      <c r="R343" s="14">
        <f t="shared" si="132"/>
        <v>0</v>
      </c>
      <c r="S343" s="14">
        <f t="shared" si="133"/>
        <v>0</v>
      </c>
      <c r="T343" s="14">
        <f t="shared" si="134"/>
        <v>0</v>
      </c>
      <c r="U343" s="14">
        <f t="shared" si="135"/>
        <v>102594</v>
      </c>
      <c r="V343" s="39" t="str">
        <f t="shared" si="136"/>
        <v>ok</v>
      </c>
      <c r="W343" s="19"/>
      <c r="X343" s="19"/>
      <c r="Y343" s="19"/>
      <c r="Z343" s="19"/>
      <c r="AA343" s="19"/>
      <c r="AB343" s="19"/>
      <c r="AC343" s="19"/>
      <c r="AD343" s="19"/>
    </row>
    <row r="344" spans="1:30" s="9" customFormat="1" x14ac:dyDescent="0.2">
      <c r="A344" s="13">
        <v>823</v>
      </c>
      <c r="B344" s="9" t="s">
        <v>410</v>
      </c>
      <c r="C344" s="4" t="s">
        <v>108</v>
      </c>
      <c r="D344" s="4" t="s">
        <v>128</v>
      </c>
      <c r="E344" s="4"/>
      <c r="F344" s="64">
        <v>1686</v>
      </c>
      <c r="G344" s="14">
        <f t="shared" si="121"/>
        <v>0</v>
      </c>
      <c r="H344" s="14">
        <f t="shared" si="122"/>
        <v>0</v>
      </c>
      <c r="I344" s="14">
        <f t="shared" si="123"/>
        <v>0</v>
      </c>
      <c r="J344" s="14">
        <f t="shared" si="124"/>
        <v>1686</v>
      </c>
      <c r="K344" s="14">
        <f t="shared" si="125"/>
        <v>0</v>
      </c>
      <c r="L344" s="14">
        <f t="shared" si="126"/>
        <v>0</v>
      </c>
      <c r="M344" s="14">
        <f t="shared" si="127"/>
        <v>0</v>
      </c>
      <c r="N344" s="14">
        <f t="shared" si="128"/>
        <v>0</v>
      </c>
      <c r="O344" s="14">
        <f t="shared" si="129"/>
        <v>0</v>
      </c>
      <c r="P344" s="14">
        <f t="shared" si="130"/>
        <v>0</v>
      </c>
      <c r="Q344" s="14">
        <f t="shared" si="131"/>
        <v>0</v>
      </c>
      <c r="R344" s="14">
        <f t="shared" si="132"/>
        <v>0</v>
      </c>
      <c r="S344" s="14">
        <f t="shared" si="133"/>
        <v>0</v>
      </c>
      <c r="T344" s="14">
        <f t="shared" si="134"/>
        <v>0</v>
      </c>
      <c r="U344" s="14">
        <f t="shared" si="135"/>
        <v>1686</v>
      </c>
      <c r="V344" s="39" t="str">
        <f t="shared" si="136"/>
        <v>ok</v>
      </c>
      <c r="W344" s="19"/>
      <c r="X344" s="19"/>
      <c r="Y344" s="19"/>
      <c r="Z344" s="19"/>
      <c r="AA344" s="19"/>
      <c r="AB344" s="19"/>
      <c r="AC344" s="19"/>
      <c r="AD344" s="19"/>
    </row>
    <row r="345" spans="1:30" s="9" customFormat="1" x14ac:dyDescent="0.2">
      <c r="A345" s="13">
        <v>824</v>
      </c>
      <c r="B345" s="9" t="s">
        <v>109</v>
      </c>
      <c r="C345" s="4" t="s">
        <v>110</v>
      </c>
      <c r="D345" s="4" t="s">
        <v>128</v>
      </c>
      <c r="E345" s="4"/>
      <c r="F345" s="64">
        <v>3546</v>
      </c>
      <c r="G345" s="14">
        <f t="shared" si="121"/>
        <v>0</v>
      </c>
      <c r="H345" s="14">
        <f t="shared" si="122"/>
        <v>0</v>
      </c>
      <c r="I345" s="14">
        <f t="shared" si="123"/>
        <v>0</v>
      </c>
      <c r="J345" s="14">
        <f t="shared" si="124"/>
        <v>3546</v>
      </c>
      <c r="K345" s="14">
        <f t="shared" si="125"/>
        <v>0</v>
      </c>
      <c r="L345" s="14">
        <f t="shared" si="126"/>
        <v>0</v>
      </c>
      <c r="M345" s="14">
        <f t="shared" si="127"/>
        <v>0</v>
      </c>
      <c r="N345" s="14">
        <f t="shared" si="128"/>
        <v>0</v>
      </c>
      <c r="O345" s="14">
        <f t="shared" si="129"/>
        <v>0</v>
      </c>
      <c r="P345" s="14">
        <f t="shared" si="130"/>
        <v>0</v>
      </c>
      <c r="Q345" s="14">
        <f t="shared" si="131"/>
        <v>0</v>
      </c>
      <c r="R345" s="14">
        <f t="shared" si="132"/>
        <v>0</v>
      </c>
      <c r="S345" s="14">
        <f t="shared" si="133"/>
        <v>0</v>
      </c>
      <c r="T345" s="14">
        <f t="shared" si="134"/>
        <v>0</v>
      </c>
      <c r="U345" s="14">
        <f t="shared" si="135"/>
        <v>3546</v>
      </c>
      <c r="V345" s="39" t="str">
        <f t="shared" si="136"/>
        <v>ok</v>
      </c>
      <c r="W345" s="19"/>
      <c r="X345" s="19"/>
      <c r="Y345" s="19"/>
      <c r="Z345" s="19"/>
      <c r="AA345" s="19"/>
      <c r="AB345" s="19"/>
      <c r="AC345" s="19"/>
      <c r="AD345" s="19"/>
    </row>
    <row r="346" spans="1:30" s="9" customFormat="1" x14ac:dyDescent="0.2">
      <c r="A346" s="13">
        <v>825</v>
      </c>
      <c r="B346" s="9" t="s">
        <v>411</v>
      </c>
      <c r="C346" s="4" t="s">
        <v>111</v>
      </c>
      <c r="D346" s="4" t="s">
        <v>24</v>
      </c>
      <c r="E346" s="4"/>
      <c r="F346" s="64">
        <v>50569</v>
      </c>
      <c r="G346" s="14">
        <f t="shared" si="121"/>
        <v>0</v>
      </c>
      <c r="H346" s="14">
        <f t="shared" si="122"/>
        <v>0</v>
      </c>
      <c r="I346" s="14">
        <f t="shared" si="123"/>
        <v>50569</v>
      </c>
      <c r="J346" s="14">
        <f t="shared" si="124"/>
        <v>0</v>
      </c>
      <c r="K346" s="14">
        <f t="shared" si="125"/>
        <v>0</v>
      </c>
      <c r="L346" s="14">
        <f t="shared" si="126"/>
        <v>0</v>
      </c>
      <c r="M346" s="14">
        <f t="shared" si="127"/>
        <v>0</v>
      </c>
      <c r="N346" s="14">
        <f t="shared" si="128"/>
        <v>0</v>
      </c>
      <c r="O346" s="14">
        <f t="shared" si="129"/>
        <v>0</v>
      </c>
      <c r="P346" s="14">
        <f t="shared" si="130"/>
        <v>0</v>
      </c>
      <c r="Q346" s="14">
        <f t="shared" si="131"/>
        <v>0</v>
      </c>
      <c r="R346" s="14">
        <f t="shared" si="132"/>
        <v>0</v>
      </c>
      <c r="S346" s="14">
        <f t="shared" si="133"/>
        <v>0</v>
      </c>
      <c r="T346" s="14">
        <f t="shared" si="134"/>
        <v>0</v>
      </c>
      <c r="U346" s="14">
        <f t="shared" si="135"/>
        <v>50569</v>
      </c>
      <c r="V346" s="39" t="str">
        <f t="shared" si="136"/>
        <v>ok</v>
      </c>
    </row>
    <row r="347" spans="1:30" s="9" customFormat="1" x14ac:dyDescent="0.2">
      <c r="A347" s="13">
        <v>826</v>
      </c>
      <c r="B347" s="9" t="s">
        <v>112</v>
      </c>
      <c r="C347" s="4" t="s">
        <v>113</v>
      </c>
      <c r="D347" s="4" t="s">
        <v>24</v>
      </c>
      <c r="E347" s="4"/>
      <c r="F347" s="64">
        <v>0</v>
      </c>
      <c r="G347" s="14">
        <f t="shared" si="121"/>
        <v>0</v>
      </c>
      <c r="H347" s="14">
        <f t="shared" si="122"/>
        <v>0</v>
      </c>
      <c r="I347" s="14">
        <f t="shared" si="123"/>
        <v>0</v>
      </c>
      <c r="J347" s="14">
        <f t="shared" si="124"/>
        <v>0</v>
      </c>
      <c r="K347" s="14">
        <f t="shared" si="125"/>
        <v>0</v>
      </c>
      <c r="L347" s="14">
        <f t="shared" si="126"/>
        <v>0</v>
      </c>
      <c r="M347" s="14">
        <f t="shared" si="127"/>
        <v>0</v>
      </c>
      <c r="N347" s="14">
        <f t="shared" si="128"/>
        <v>0</v>
      </c>
      <c r="O347" s="14">
        <f t="shared" si="129"/>
        <v>0</v>
      </c>
      <c r="P347" s="14">
        <f t="shared" si="130"/>
        <v>0</v>
      </c>
      <c r="Q347" s="14">
        <f t="shared" si="131"/>
        <v>0</v>
      </c>
      <c r="R347" s="14">
        <f t="shared" si="132"/>
        <v>0</v>
      </c>
      <c r="S347" s="14">
        <f t="shared" si="133"/>
        <v>0</v>
      </c>
      <c r="T347" s="14">
        <f t="shared" si="134"/>
        <v>0</v>
      </c>
      <c r="U347" s="14">
        <f t="shared" si="135"/>
        <v>0</v>
      </c>
      <c r="V347" s="39" t="str">
        <f t="shared" si="136"/>
        <v>ok</v>
      </c>
    </row>
    <row r="348" spans="1:30" s="9" customFormat="1" x14ac:dyDescent="0.2">
      <c r="A348" s="13"/>
      <c r="C348" s="4"/>
      <c r="D348" s="4"/>
      <c r="E348" s="4"/>
      <c r="F348" s="64"/>
      <c r="G348" s="4"/>
      <c r="H348" s="4"/>
      <c r="I348" s="4"/>
      <c r="J348" s="4"/>
      <c r="K348" s="4"/>
      <c r="L348" s="4"/>
      <c r="M348" s="4"/>
      <c r="N348" s="4"/>
    </row>
    <row r="349" spans="1:30" s="9" customFormat="1" x14ac:dyDescent="0.2">
      <c r="A349" s="13" t="s">
        <v>473</v>
      </c>
      <c r="C349" s="4" t="s">
        <v>567</v>
      </c>
      <c r="D349" s="4"/>
      <c r="E349" s="4"/>
      <c r="F349" s="59">
        <f>SUM(F336:F348)</f>
        <v>321913.19371814671</v>
      </c>
      <c r="G349" s="15">
        <f t="shared" ref="G349:T349" si="137">SUM(G336:G348)</f>
        <v>0</v>
      </c>
      <c r="H349" s="15">
        <f t="shared" si="137"/>
        <v>0</v>
      </c>
      <c r="I349" s="15">
        <f t="shared" si="137"/>
        <v>126219.19371814669</v>
      </c>
      <c r="J349" s="15">
        <f t="shared" si="137"/>
        <v>195694</v>
      </c>
      <c r="K349" s="15">
        <f t="shared" si="137"/>
        <v>0</v>
      </c>
      <c r="L349" s="15">
        <f t="shared" si="137"/>
        <v>0</v>
      </c>
      <c r="M349" s="15">
        <f t="shared" si="137"/>
        <v>0</v>
      </c>
      <c r="N349" s="15">
        <f t="shared" si="137"/>
        <v>0</v>
      </c>
      <c r="O349" s="15">
        <f t="shared" si="137"/>
        <v>0</v>
      </c>
      <c r="P349" s="15">
        <f t="shared" si="137"/>
        <v>0</v>
      </c>
      <c r="Q349" s="15">
        <f t="shared" si="137"/>
        <v>0</v>
      </c>
      <c r="R349" s="15">
        <f t="shared" si="137"/>
        <v>0</v>
      </c>
      <c r="S349" s="15">
        <f t="shared" si="137"/>
        <v>0</v>
      </c>
      <c r="T349" s="15">
        <f t="shared" si="137"/>
        <v>0</v>
      </c>
      <c r="U349" s="14">
        <f>SUM(G349:T349)</f>
        <v>321913.19371814671</v>
      </c>
      <c r="V349" s="39" t="str">
        <f>IF(ABS(U349-F349)&lt;1,"ok","err")</f>
        <v>ok</v>
      </c>
    </row>
    <row r="350" spans="1:30" s="9" customFormat="1" x14ac:dyDescent="0.2">
      <c r="A350" s="13"/>
      <c r="C350" s="4"/>
      <c r="D350" s="4"/>
      <c r="E350" s="4"/>
      <c r="F350" s="64"/>
      <c r="G350" s="4"/>
      <c r="H350" s="4"/>
      <c r="I350" s="4"/>
      <c r="J350" s="4"/>
      <c r="K350" s="4"/>
      <c r="L350" s="4"/>
      <c r="M350" s="4"/>
      <c r="N350" s="4"/>
    </row>
    <row r="351" spans="1:30" s="9" customFormat="1" x14ac:dyDescent="0.2">
      <c r="A351" s="8"/>
      <c r="C351" s="4"/>
      <c r="D351" s="4"/>
      <c r="E351" s="4"/>
      <c r="F351" s="65"/>
      <c r="G351" s="16"/>
      <c r="H351" s="4"/>
      <c r="I351" s="4"/>
      <c r="J351" s="4"/>
      <c r="K351" s="4"/>
      <c r="L351" s="4"/>
      <c r="M351" s="4"/>
      <c r="N351" s="4"/>
    </row>
    <row r="352" spans="1:30" s="9" customFormat="1" x14ac:dyDescent="0.2">
      <c r="A352" s="13"/>
      <c r="C352" s="4"/>
      <c r="D352" s="4"/>
      <c r="E352" s="4"/>
      <c r="F352" s="65"/>
      <c r="G352" s="16"/>
      <c r="H352" s="4"/>
      <c r="I352" s="4"/>
      <c r="J352" s="4"/>
      <c r="K352" s="4"/>
      <c r="L352" s="4"/>
      <c r="M352" s="4"/>
      <c r="N352" s="4"/>
    </row>
    <row r="353" spans="1:30" s="9" customFormat="1" x14ac:dyDescent="0.2">
      <c r="A353" s="8" t="s">
        <v>466</v>
      </c>
      <c r="C353" s="4"/>
      <c r="D353" s="4"/>
      <c r="E353" s="4"/>
      <c r="F353" s="65"/>
      <c r="G353" s="16"/>
      <c r="H353" s="4"/>
      <c r="I353" s="4"/>
      <c r="J353" s="4"/>
      <c r="K353" s="4"/>
      <c r="L353" s="4"/>
      <c r="M353" s="4"/>
      <c r="N353" s="4"/>
    </row>
    <row r="354" spans="1:30" s="9" customFormat="1" x14ac:dyDescent="0.2">
      <c r="A354" s="8" t="s">
        <v>467</v>
      </c>
      <c r="C354" s="4"/>
      <c r="D354" s="4"/>
      <c r="E354" s="4"/>
      <c r="F354" s="65"/>
      <c r="G354" s="16"/>
      <c r="H354" s="4"/>
      <c r="I354" s="4"/>
      <c r="J354" s="4"/>
      <c r="K354" s="4"/>
      <c r="L354" s="4"/>
      <c r="M354" s="4"/>
      <c r="N354" s="4"/>
    </row>
    <row r="355" spans="1:30" s="9" customFormat="1" x14ac:dyDescent="0.2">
      <c r="A355" s="13">
        <v>830</v>
      </c>
      <c r="B355" s="9" t="s">
        <v>412</v>
      </c>
      <c r="C355" s="4" t="s">
        <v>114</v>
      </c>
      <c r="D355" s="4" t="s">
        <v>632</v>
      </c>
      <c r="E355" s="4"/>
      <c r="F355" s="59">
        <v>0</v>
      </c>
      <c r="G355" s="14">
        <f t="shared" ref="G355:G362" si="138">(VLOOKUP($D355,$C$5:$AH$1004,5,)/VLOOKUP($D355,$C$5:$AH$1004,4,))*$F355</f>
        <v>0</v>
      </c>
      <c r="H355" s="14">
        <f t="shared" ref="H355:H362" si="139">(VLOOKUP($D355,$C$5:$AH$1004,6,)/VLOOKUP($D355,$C$5:$AH$1004,4,))*$F355</f>
        <v>0</v>
      </c>
      <c r="I355" s="14">
        <f t="shared" ref="I355:I362" si="140">(VLOOKUP($D355,$C$5:$AH$1004,7,)/VLOOKUP($D355,$C$5:$AH$1004,4,))*$F355</f>
        <v>0</v>
      </c>
      <c r="J355" s="14">
        <f t="shared" ref="J355:J362" si="141">(VLOOKUP($D355,$C$5:$AH$1004,8,)/VLOOKUP($D355,$C$5:$AH$1004,4,))*$F355</f>
        <v>0</v>
      </c>
      <c r="K355" s="14">
        <f t="shared" ref="K355:K362" si="142">(VLOOKUP($D355,$C$5:$AH$1004,9,)/VLOOKUP($D355,$C$5:$AH$1004,4,))*$F355</f>
        <v>0</v>
      </c>
      <c r="L355" s="14">
        <f t="shared" ref="L355:L362" si="143">(VLOOKUP($D355,$C$5:$AH$1004,10,)/VLOOKUP($D355,$C$5:$AH$1004,4,))*$F355</f>
        <v>0</v>
      </c>
      <c r="M355" s="14">
        <f t="shared" ref="M355:M362" si="144">(VLOOKUP($D355,$C$5:$AH$1004,11,)/VLOOKUP($D355,$C$5:$AH$1004,4,))*$F355</f>
        <v>0</v>
      </c>
      <c r="N355" s="14">
        <f t="shared" ref="N355:N362" si="145">(VLOOKUP($D355,$C$5:$AH$1004,12,)/VLOOKUP($D355,$C$5:$AH$1004,4,))*$F355</f>
        <v>0</v>
      </c>
      <c r="O355" s="14">
        <f t="shared" ref="O355:O362" si="146">(VLOOKUP($D355,$C$5:$AH$1004,13,)/VLOOKUP($D355,$C$5:$AH$1004,4,))*$F355</f>
        <v>0</v>
      </c>
      <c r="P355" s="14">
        <f t="shared" ref="P355:P362" si="147">(VLOOKUP($D355,$C$5:$AH$1004,14,)/VLOOKUP($D355,$C$5:$AH$1004,4,))*$F355</f>
        <v>0</v>
      </c>
      <c r="Q355" s="14">
        <f t="shared" ref="Q355:Q362" si="148">(VLOOKUP($D355,$C$5:$AH$1004,15,)/VLOOKUP($D355,$C$5:$AH$1004,4,))*$F355</f>
        <v>0</v>
      </c>
      <c r="R355" s="14">
        <f t="shared" ref="R355:R362" si="149">(VLOOKUP($D355,$C$5:$AH$1004,16,)/VLOOKUP($D355,$C$5:$AH$1004,4,))*$F355</f>
        <v>0</v>
      </c>
      <c r="S355" s="14">
        <f t="shared" ref="S355:S362" si="150">(VLOOKUP($D355,$C$5:$AH$1004,17,)/VLOOKUP($D355,$C$5:$AH$1004,4,))*$F355</f>
        <v>0</v>
      </c>
      <c r="T355" s="14">
        <f t="shared" ref="T355:T362" si="151">(VLOOKUP($D355,$C$5:$AH$1004,18,)/VLOOKUP($D355,$C$5:$AH$1004,4,))*$F355</f>
        <v>0</v>
      </c>
      <c r="U355" s="14">
        <f>SUM(G355:T355)</f>
        <v>0</v>
      </c>
      <c r="V355" s="39" t="str">
        <f>IF(ABS(U355-F355)&lt;1,"ok","err")</f>
        <v>ok</v>
      </c>
    </row>
    <row r="356" spans="1:30" s="9" customFormat="1" x14ac:dyDescent="0.2">
      <c r="A356" s="13">
        <v>831</v>
      </c>
      <c r="B356" s="9" t="s">
        <v>115</v>
      </c>
      <c r="C356" s="4" t="s">
        <v>116</v>
      </c>
      <c r="D356" s="4" t="s">
        <v>24</v>
      </c>
      <c r="E356" s="4"/>
      <c r="F356" s="64">
        <v>2525</v>
      </c>
      <c r="G356" s="14">
        <f t="shared" si="138"/>
        <v>0</v>
      </c>
      <c r="H356" s="14">
        <f t="shared" si="139"/>
        <v>0</v>
      </c>
      <c r="I356" s="14">
        <f t="shared" si="140"/>
        <v>2525</v>
      </c>
      <c r="J356" s="14">
        <f t="shared" si="141"/>
        <v>0</v>
      </c>
      <c r="K356" s="14">
        <f t="shared" si="142"/>
        <v>0</v>
      </c>
      <c r="L356" s="14">
        <f t="shared" si="143"/>
        <v>0</v>
      </c>
      <c r="M356" s="14">
        <f t="shared" si="144"/>
        <v>0</v>
      </c>
      <c r="N356" s="14">
        <f t="shared" si="145"/>
        <v>0</v>
      </c>
      <c r="O356" s="14">
        <f t="shared" si="146"/>
        <v>0</v>
      </c>
      <c r="P356" s="14">
        <f t="shared" si="147"/>
        <v>0</v>
      </c>
      <c r="Q356" s="14">
        <f t="shared" si="148"/>
        <v>0</v>
      </c>
      <c r="R356" s="14">
        <f t="shared" si="149"/>
        <v>0</v>
      </c>
      <c r="S356" s="14">
        <f t="shared" si="150"/>
        <v>0</v>
      </c>
      <c r="T356" s="14">
        <f t="shared" si="151"/>
        <v>0</v>
      </c>
      <c r="U356" s="14">
        <f t="shared" ref="U356:U362" si="152">SUM(G356:T356)</f>
        <v>2525</v>
      </c>
      <c r="V356" s="39" t="str">
        <f t="shared" ref="V356:V362" si="153">IF(ABS(U356-F356)&lt;1,"ok","err")</f>
        <v>ok</v>
      </c>
    </row>
    <row r="357" spans="1:30" s="9" customFormat="1" x14ac:dyDescent="0.2">
      <c r="A357" s="13">
        <v>832</v>
      </c>
      <c r="B357" s="9" t="s">
        <v>413</v>
      </c>
      <c r="C357" s="4" t="s">
        <v>117</v>
      </c>
      <c r="D357" s="4" t="s">
        <v>24</v>
      </c>
      <c r="E357" s="4"/>
      <c r="F357" s="64">
        <v>14796.051718481087</v>
      </c>
      <c r="G357" s="14">
        <f t="shared" si="138"/>
        <v>0</v>
      </c>
      <c r="H357" s="14">
        <f t="shared" si="139"/>
        <v>0</v>
      </c>
      <c r="I357" s="14">
        <f t="shared" si="140"/>
        <v>14796.051718481087</v>
      </c>
      <c r="J357" s="14">
        <f t="shared" si="141"/>
        <v>0</v>
      </c>
      <c r="K357" s="14">
        <f t="shared" si="142"/>
        <v>0</v>
      </c>
      <c r="L357" s="14">
        <f t="shared" si="143"/>
        <v>0</v>
      </c>
      <c r="M357" s="14">
        <f t="shared" si="144"/>
        <v>0</v>
      </c>
      <c r="N357" s="14">
        <f t="shared" si="145"/>
        <v>0</v>
      </c>
      <c r="O357" s="14">
        <f t="shared" si="146"/>
        <v>0</v>
      </c>
      <c r="P357" s="14">
        <f t="shared" si="147"/>
        <v>0</v>
      </c>
      <c r="Q357" s="14">
        <f t="shared" si="148"/>
        <v>0</v>
      </c>
      <c r="R357" s="14">
        <f t="shared" si="149"/>
        <v>0</v>
      </c>
      <c r="S357" s="14">
        <f t="shared" si="150"/>
        <v>0</v>
      </c>
      <c r="T357" s="14">
        <f t="shared" si="151"/>
        <v>0</v>
      </c>
      <c r="U357" s="14">
        <f t="shared" si="152"/>
        <v>14796.051718481087</v>
      </c>
      <c r="V357" s="39" t="str">
        <f t="shared" si="153"/>
        <v>ok</v>
      </c>
    </row>
    <row r="358" spans="1:30" s="9" customFormat="1" x14ac:dyDescent="0.2">
      <c r="A358" s="13">
        <v>833</v>
      </c>
      <c r="B358" s="9" t="s">
        <v>118</v>
      </c>
      <c r="C358" s="4" t="s">
        <v>119</v>
      </c>
      <c r="D358" s="4" t="s">
        <v>24</v>
      </c>
      <c r="E358" s="4"/>
      <c r="F358" s="64">
        <v>0</v>
      </c>
      <c r="G358" s="14">
        <f t="shared" si="138"/>
        <v>0</v>
      </c>
      <c r="H358" s="14">
        <f t="shared" si="139"/>
        <v>0</v>
      </c>
      <c r="I358" s="14">
        <f t="shared" si="140"/>
        <v>0</v>
      </c>
      <c r="J358" s="14">
        <f t="shared" si="141"/>
        <v>0</v>
      </c>
      <c r="K358" s="14">
        <f t="shared" si="142"/>
        <v>0</v>
      </c>
      <c r="L358" s="14">
        <f t="shared" si="143"/>
        <v>0</v>
      </c>
      <c r="M358" s="14">
        <f t="shared" si="144"/>
        <v>0</v>
      </c>
      <c r="N358" s="14">
        <f t="shared" si="145"/>
        <v>0</v>
      </c>
      <c r="O358" s="14">
        <f t="shared" si="146"/>
        <v>0</v>
      </c>
      <c r="P358" s="14">
        <f t="shared" si="147"/>
        <v>0</v>
      </c>
      <c r="Q358" s="14">
        <f t="shared" si="148"/>
        <v>0</v>
      </c>
      <c r="R358" s="14">
        <f t="shared" si="149"/>
        <v>0</v>
      </c>
      <c r="S358" s="14">
        <f t="shared" si="150"/>
        <v>0</v>
      </c>
      <c r="T358" s="14">
        <f t="shared" si="151"/>
        <v>0</v>
      </c>
      <c r="U358" s="14">
        <f t="shared" si="152"/>
        <v>0</v>
      </c>
      <c r="V358" s="39" t="str">
        <f t="shared" si="153"/>
        <v>ok</v>
      </c>
      <c r="W358" s="19"/>
      <c r="X358" s="19"/>
      <c r="Y358" s="19"/>
      <c r="Z358" s="19"/>
      <c r="AA358" s="19"/>
      <c r="AB358" s="19"/>
      <c r="AC358" s="19"/>
      <c r="AD358" s="19"/>
    </row>
    <row r="359" spans="1:30" s="9" customFormat="1" x14ac:dyDescent="0.2">
      <c r="A359" s="13">
        <v>834</v>
      </c>
      <c r="B359" s="9" t="s">
        <v>414</v>
      </c>
      <c r="C359" s="4" t="s">
        <v>120</v>
      </c>
      <c r="D359" s="4" t="s">
        <v>128</v>
      </c>
      <c r="E359" s="4"/>
      <c r="F359" s="64">
        <v>8819</v>
      </c>
      <c r="G359" s="14">
        <f t="shared" si="138"/>
        <v>0</v>
      </c>
      <c r="H359" s="14">
        <f t="shared" si="139"/>
        <v>0</v>
      </c>
      <c r="I359" s="14">
        <f t="shared" si="140"/>
        <v>0</v>
      </c>
      <c r="J359" s="14">
        <f t="shared" si="141"/>
        <v>8819</v>
      </c>
      <c r="K359" s="14">
        <f t="shared" si="142"/>
        <v>0</v>
      </c>
      <c r="L359" s="14">
        <f t="shared" si="143"/>
        <v>0</v>
      </c>
      <c r="M359" s="14">
        <f t="shared" si="144"/>
        <v>0</v>
      </c>
      <c r="N359" s="14">
        <f t="shared" si="145"/>
        <v>0</v>
      </c>
      <c r="O359" s="14">
        <f t="shared" si="146"/>
        <v>0</v>
      </c>
      <c r="P359" s="14">
        <f t="shared" si="147"/>
        <v>0</v>
      </c>
      <c r="Q359" s="14">
        <f t="shared" si="148"/>
        <v>0</v>
      </c>
      <c r="R359" s="14">
        <f t="shared" si="149"/>
        <v>0</v>
      </c>
      <c r="S359" s="14">
        <f t="shared" si="150"/>
        <v>0</v>
      </c>
      <c r="T359" s="14">
        <f t="shared" si="151"/>
        <v>0</v>
      </c>
      <c r="U359" s="14">
        <f t="shared" si="152"/>
        <v>8819</v>
      </c>
      <c r="V359" s="39" t="str">
        <f t="shared" si="153"/>
        <v>ok</v>
      </c>
      <c r="W359" s="19"/>
      <c r="X359" s="19"/>
      <c r="Y359" s="19"/>
      <c r="Z359" s="19"/>
      <c r="AA359" s="19"/>
      <c r="AB359" s="19"/>
      <c r="AC359" s="19"/>
      <c r="AD359" s="19"/>
    </row>
    <row r="360" spans="1:30" s="9" customFormat="1" x14ac:dyDescent="0.2">
      <c r="A360" s="13">
        <v>835</v>
      </c>
      <c r="B360" s="9" t="s">
        <v>415</v>
      </c>
      <c r="C360" s="4" t="s">
        <v>121</v>
      </c>
      <c r="D360" s="4" t="s">
        <v>24</v>
      </c>
      <c r="E360" s="4"/>
      <c r="F360" s="64">
        <v>189</v>
      </c>
      <c r="G360" s="14">
        <f t="shared" si="138"/>
        <v>0</v>
      </c>
      <c r="H360" s="14">
        <f t="shared" si="139"/>
        <v>0</v>
      </c>
      <c r="I360" s="14">
        <f t="shared" si="140"/>
        <v>189</v>
      </c>
      <c r="J360" s="14">
        <f t="shared" si="141"/>
        <v>0</v>
      </c>
      <c r="K360" s="14">
        <f t="shared" si="142"/>
        <v>0</v>
      </c>
      <c r="L360" s="14">
        <f t="shared" si="143"/>
        <v>0</v>
      </c>
      <c r="M360" s="14">
        <f t="shared" si="144"/>
        <v>0</v>
      </c>
      <c r="N360" s="14">
        <f t="shared" si="145"/>
        <v>0</v>
      </c>
      <c r="O360" s="14">
        <f t="shared" si="146"/>
        <v>0</v>
      </c>
      <c r="P360" s="14">
        <f t="shared" si="147"/>
        <v>0</v>
      </c>
      <c r="Q360" s="14">
        <f t="shared" si="148"/>
        <v>0</v>
      </c>
      <c r="R360" s="14">
        <f t="shared" si="149"/>
        <v>0</v>
      </c>
      <c r="S360" s="14">
        <f t="shared" si="150"/>
        <v>0</v>
      </c>
      <c r="T360" s="14">
        <f t="shared" si="151"/>
        <v>0</v>
      </c>
      <c r="U360" s="14">
        <f t="shared" si="152"/>
        <v>189</v>
      </c>
      <c r="V360" s="39" t="str">
        <f t="shared" si="153"/>
        <v>ok</v>
      </c>
      <c r="W360" s="19"/>
      <c r="X360" s="19"/>
      <c r="Y360" s="19"/>
      <c r="Z360" s="19"/>
      <c r="AA360" s="19"/>
      <c r="AB360" s="19"/>
      <c r="AC360" s="19"/>
      <c r="AD360" s="19"/>
    </row>
    <row r="361" spans="1:30" s="9" customFormat="1" x14ac:dyDescent="0.2">
      <c r="A361" s="13">
        <v>836</v>
      </c>
      <c r="B361" s="9" t="s">
        <v>416</v>
      </c>
      <c r="C361" s="4" t="s">
        <v>122</v>
      </c>
      <c r="D361" s="4" t="s">
        <v>128</v>
      </c>
      <c r="E361" s="4"/>
      <c r="F361" s="64">
        <v>0</v>
      </c>
      <c r="G361" s="14">
        <f t="shared" si="138"/>
        <v>0</v>
      </c>
      <c r="H361" s="14">
        <f t="shared" si="139"/>
        <v>0</v>
      </c>
      <c r="I361" s="14">
        <f t="shared" si="140"/>
        <v>0</v>
      </c>
      <c r="J361" s="14">
        <f t="shared" si="141"/>
        <v>0</v>
      </c>
      <c r="K361" s="14">
        <f t="shared" si="142"/>
        <v>0</v>
      </c>
      <c r="L361" s="14">
        <f t="shared" si="143"/>
        <v>0</v>
      </c>
      <c r="M361" s="14">
        <f t="shared" si="144"/>
        <v>0</v>
      </c>
      <c r="N361" s="14">
        <f t="shared" si="145"/>
        <v>0</v>
      </c>
      <c r="O361" s="14">
        <f t="shared" si="146"/>
        <v>0</v>
      </c>
      <c r="P361" s="14">
        <f t="shared" si="147"/>
        <v>0</v>
      </c>
      <c r="Q361" s="14">
        <f t="shared" si="148"/>
        <v>0</v>
      </c>
      <c r="R361" s="14">
        <f t="shared" si="149"/>
        <v>0</v>
      </c>
      <c r="S361" s="14">
        <f t="shared" si="150"/>
        <v>0</v>
      </c>
      <c r="T361" s="14">
        <f t="shared" si="151"/>
        <v>0</v>
      </c>
      <c r="U361" s="14">
        <f t="shared" si="152"/>
        <v>0</v>
      </c>
      <c r="V361" s="39" t="str">
        <f t="shared" si="153"/>
        <v>ok</v>
      </c>
      <c r="W361" s="19"/>
      <c r="X361" s="19"/>
      <c r="Y361" s="19"/>
      <c r="Z361" s="19"/>
      <c r="AA361" s="19"/>
      <c r="AB361" s="19"/>
      <c r="AC361" s="19"/>
      <c r="AD361" s="19"/>
    </row>
    <row r="362" spans="1:30" s="9" customFormat="1" x14ac:dyDescent="0.2">
      <c r="A362" s="13">
        <v>837</v>
      </c>
      <c r="B362" s="9" t="s">
        <v>417</v>
      </c>
      <c r="C362" s="4" t="s">
        <v>123</v>
      </c>
      <c r="D362" s="4" t="s">
        <v>24</v>
      </c>
      <c r="E362" s="4"/>
      <c r="F362" s="64">
        <v>444</v>
      </c>
      <c r="G362" s="14">
        <f t="shared" si="138"/>
        <v>0</v>
      </c>
      <c r="H362" s="14">
        <f t="shared" si="139"/>
        <v>0</v>
      </c>
      <c r="I362" s="14">
        <f t="shared" si="140"/>
        <v>444</v>
      </c>
      <c r="J362" s="14">
        <f t="shared" si="141"/>
        <v>0</v>
      </c>
      <c r="K362" s="14">
        <f t="shared" si="142"/>
        <v>0</v>
      </c>
      <c r="L362" s="14">
        <f t="shared" si="143"/>
        <v>0</v>
      </c>
      <c r="M362" s="14">
        <f t="shared" si="144"/>
        <v>0</v>
      </c>
      <c r="N362" s="14">
        <f t="shared" si="145"/>
        <v>0</v>
      </c>
      <c r="O362" s="14">
        <f t="shared" si="146"/>
        <v>0</v>
      </c>
      <c r="P362" s="14">
        <f t="shared" si="147"/>
        <v>0</v>
      </c>
      <c r="Q362" s="14">
        <f t="shared" si="148"/>
        <v>0</v>
      </c>
      <c r="R362" s="14">
        <f t="shared" si="149"/>
        <v>0</v>
      </c>
      <c r="S362" s="14">
        <f t="shared" si="150"/>
        <v>0</v>
      </c>
      <c r="T362" s="14">
        <f t="shared" si="151"/>
        <v>0</v>
      </c>
      <c r="U362" s="14">
        <f t="shared" si="152"/>
        <v>444</v>
      </c>
      <c r="V362" s="39" t="str">
        <f t="shared" si="153"/>
        <v>ok</v>
      </c>
      <c r="W362" s="19"/>
      <c r="X362" s="19"/>
      <c r="Y362" s="19"/>
      <c r="Z362" s="19"/>
      <c r="AA362" s="19"/>
      <c r="AB362" s="19"/>
      <c r="AC362" s="19"/>
      <c r="AD362" s="19"/>
    </row>
    <row r="363" spans="1:30" s="9" customFormat="1" x14ac:dyDescent="0.2">
      <c r="A363" s="13"/>
      <c r="C363" s="4"/>
      <c r="D363" s="4"/>
      <c r="E363" s="4"/>
      <c r="F363" s="64"/>
      <c r="G363" s="4"/>
      <c r="H363" s="4"/>
      <c r="I363" s="4"/>
      <c r="J363" s="4"/>
      <c r="K363" s="4"/>
      <c r="L363" s="4"/>
      <c r="M363" s="4"/>
      <c r="N363" s="4"/>
      <c r="W363" s="19"/>
      <c r="X363" s="19"/>
      <c r="Y363" s="19"/>
      <c r="Z363" s="19"/>
      <c r="AA363" s="19"/>
      <c r="AB363" s="19"/>
      <c r="AC363" s="19"/>
      <c r="AD363" s="19"/>
    </row>
    <row r="364" spans="1:30" s="9" customFormat="1" x14ac:dyDescent="0.2">
      <c r="A364" s="13" t="s">
        <v>192</v>
      </c>
      <c r="C364" s="4" t="s">
        <v>568</v>
      </c>
      <c r="D364" s="4"/>
      <c r="E364" s="4"/>
      <c r="F364" s="59">
        <f>+SUM(F355:F362)</f>
        <v>26773.051718481089</v>
      </c>
      <c r="G364" s="15">
        <f t="shared" ref="G364:T364" si="154">SUM(G355:G363)</f>
        <v>0</v>
      </c>
      <c r="H364" s="15">
        <f t="shared" si="154"/>
        <v>0</v>
      </c>
      <c r="I364" s="15">
        <f t="shared" si="154"/>
        <v>17954.051718481089</v>
      </c>
      <c r="J364" s="15">
        <f t="shared" si="154"/>
        <v>8819</v>
      </c>
      <c r="K364" s="15">
        <f t="shared" si="154"/>
        <v>0</v>
      </c>
      <c r="L364" s="15">
        <f t="shared" si="154"/>
        <v>0</v>
      </c>
      <c r="M364" s="15">
        <f t="shared" si="154"/>
        <v>0</v>
      </c>
      <c r="N364" s="15">
        <f t="shared" si="154"/>
        <v>0</v>
      </c>
      <c r="O364" s="15">
        <f t="shared" si="154"/>
        <v>0</v>
      </c>
      <c r="P364" s="15">
        <f t="shared" si="154"/>
        <v>0</v>
      </c>
      <c r="Q364" s="15">
        <f t="shared" si="154"/>
        <v>0</v>
      </c>
      <c r="R364" s="15">
        <f t="shared" si="154"/>
        <v>0</v>
      </c>
      <c r="S364" s="15">
        <f t="shared" si="154"/>
        <v>0</v>
      </c>
      <c r="T364" s="15">
        <f t="shared" si="154"/>
        <v>0</v>
      </c>
      <c r="U364" s="14">
        <f>SUM(G364:T364)</f>
        <v>26773.051718481089</v>
      </c>
      <c r="V364" s="39" t="str">
        <f>IF(ABS(U364-F364)&lt;1,"ok","err")</f>
        <v>ok</v>
      </c>
      <c r="W364" s="19"/>
      <c r="X364" s="19"/>
      <c r="Y364" s="19"/>
      <c r="Z364" s="19"/>
      <c r="AA364" s="19"/>
      <c r="AB364" s="19"/>
      <c r="AC364" s="19"/>
      <c r="AD364" s="19"/>
    </row>
    <row r="365" spans="1:30" s="9" customFormat="1" x14ac:dyDescent="0.2">
      <c r="A365" s="13"/>
      <c r="C365" s="4"/>
      <c r="D365" s="4"/>
      <c r="E365" s="4"/>
      <c r="F365" s="64"/>
      <c r="G365" s="4"/>
      <c r="H365" s="4"/>
      <c r="I365" s="4"/>
      <c r="J365" s="4"/>
      <c r="K365" s="4"/>
      <c r="L365" s="4"/>
      <c r="M365" s="4"/>
      <c r="N365" s="4"/>
      <c r="W365" s="19"/>
      <c r="X365" s="19"/>
      <c r="Y365" s="19"/>
      <c r="Z365" s="19"/>
      <c r="AA365" s="19"/>
      <c r="AB365" s="19"/>
      <c r="AC365" s="19"/>
      <c r="AD365" s="19"/>
    </row>
    <row r="366" spans="1:30" s="9" customFormat="1" x14ac:dyDescent="0.2">
      <c r="A366" s="13"/>
      <c r="C366" s="4"/>
      <c r="D366" s="4"/>
      <c r="E366" s="4"/>
      <c r="F366" s="64"/>
      <c r="G366" s="4"/>
      <c r="H366" s="4"/>
      <c r="I366" s="4"/>
      <c r="J366" s="4"/>
      <c r="K366" s="4"/>
      <c r="L366" s="4"/>
      <c r="M366" s="4"/>
      <c r="N366" s="4"/>
      <c r="W366" s="19"/>
      <c r="X366" s="19"/>
      <c r="Y366" s="19"/>
      <c r="Z366" s="19"/>
      <c r="AA366" s="19"/>
      <c r="AB366" s="19"/>
      <c r="AC366" s="19"/>
      <c r="AD366" s="19"/>
    </row>
    <row r="367" spans="1:30" s="9" customFormat="1" x14ac:dyDescent="0.2">
      <c r="A367" s="13" t="s">
        <v>474</v>
      </c>
      <c r="C367" s="4" t="s">
        <v>569</v>
      </c>
      <c r="D367" s="4"/>
      <c r="E367" s="4"/>
      <c r="F367" s="59">
        <f>+F349+F364</f>
        <v>348686.24543662777</v>
      </c>
      <c r="G367" s="14">
        <f t="shared" ref="G367:U367" si="155">+G349+G364</f>
        <v>0</v>
      </c>
      <c r="H367" s="14">
        <f t="shared" si="155"/>
        <v>0</v>
      </c>
      <c r="I367" s="14">
        <f t="shared" si="155"/>
        <v>144173.24543662777</v>
      </c>
      <c r="J367" s="14">
        <f t="shared" si="155"/>
        <v>204513</v>
      </c>
      <c r="K367" s="14">
        <f t="shared" si="155"/>
        <v>0</v>
      </c>
      <c r="L367" s="14">
        <f t="shared" si="155"/>
        <v>0</v>
      </c>
      <c r="M367" s="14">
        <f t="shared" si="155"/>
        <v>0</v>
      </c>
      <c r="N367" s="14">
        <f t="shared" si="155"/>
        <v>0</v>
      </c>
      <c r="O367" s="14">
        <f t="shared" si="155"/>
        <v>0</v>
      </c>
      <c r="P367" s="14">
        <f t="shared" si="155"/>
        <v>0</v>
      </c>
      <c r="Q367" s="14">
        <f t="shared" si="155"/>
        <v>0</v>
      </c>
      <c r="R367" s="14">
        <f t="shared" si="155"/>
        <v>0</v>
      </c>
      <c r="S367" s="14">
        <f t="shared" si="155"/>
        <v>0</v>
      </c>
      <c r="T367" s="14">
        <f t="shared" si="155"/>
        <v>0</v>
      </c>
      <c r="U367" s="14">
        <f t="shared" si="155"/>
        <v>348686.24543662777</v>
      </c>
      <c r="V367" s="39" t="str">
        <f>IF(ABS(U367-F367)&lt;1,"ok","err")</f>
        <v>ok</v>
      </c>
      <c r="W367" s="19"/>
      <c r="X367" s="19"/>
      <c r="Y367" s="19"/>
      <c r="Z367" s="19"/>
      <c r="AA367" s="19"/>
      <c r="AB367" s="19"/>
      <c r="AC367" s="19"/>
      <c r="AD367" s="19"/>
    </row>
    <row r="368" spans="1:30" s="9" customFormat="1" x14ac:dyDescent="0.2">
      <c r="A368" s="13"/>
      <c r="C368" s="4"/>
      <c r="D368" s="4"/>
      <c r="E368" s="4"/>
      <c r="F368" s="64"/>
      <c r="G368" s="4"/>
      <c r="H368" s="4"/>
      <c r="I368" s="4"/>
      <c r="J368" s="4"/>
      <c r="K368" s="4"/>
      <c r="L368" s="4"/>
      <c r="M368" s="4"/>
      <c r="N368" s="4"/>
      <c r="W368" s="19"/>
      <c r="X368" s="19"/>
      <c r="Y368" s="19"/>
      <c r="Z368" s="19"/>
      <c r="AA368" s="19"/>
      <c r="AB368" s="19"/>
      <c r="AC368" s="19"/>
      <c r="AD368" s="19"/>
    </row>
    <row r="369" spans="1:30" s="9" customFormat="1" x14ac:dyDescent="0.2">
      <c r="A369" s="13"/>
      <c r="C369" s="4"/>
      <c r="D369" s="4"/>
      <c r="E369" s="4"/>
      <c r="F369" s="64"/>
      <c r="G369" s="4"/>
      <c r="H369" s="4"/>
      <c r="I369" s="4"/>
      <c r="J369" s="4"/>
      <c r="K369" s="4"/>
      <c r="L369" s="4"/>
      <c r="M369" s="4"/>
      <c r="N369" s="4"/>
      <c r="W369" s="19"/>
      <c r="X369" s="19"/>
      <c r="Y369" s="19"/>
      <c r="Z369" s="19"/>
      <c r="AA369" s="19"/>
      <c r="AB369" s="19"/>
      <c r="AC369" s="19"/>
      <c r="AD369" s="19"/>
    </row>
    <row r="370" spans="1:30" s="9" customFormat="1" x14ac:dyDescent="0.2">
      <c r="A370" s="13"/>
      <c r="C370" s="4"/>
      <c r="D370" s="4"/>
      <c r="E370" s="4"/>
      <c r="F370" s="64"/>
      <c r="G370" s="4"/>
      <c r="H370" s="4"/>
      <c r="I370" s="4"/>
      <c r="J370" s="4"/>
      <c r="K370" s="4"/>
      <c r="L370" s="4"/>
      <c r="M370" s="4"/>
      <c r="N370" s="4"/>
      <c r="W370" s="19"/>
      <c r="X370" s="19"/>
      <c r="Y370" s="19"/>
      <c r="Z370" s="19"/>
      <c r="AA370" s="19"/>
      <c r="AB370" s="19"/>
      <c r="AC370" s="19"/>
      <c r="AD370" s="19"/>
    </row>
    <row r="371" spans="1:30" s="9" customFormat="1" x14ac:dyDescent="0.2">
      <c r="A371" s="13"/>
      <c r="C371" s="4"/>
      <c r="D371" s="4"/>
      <c r="E371" s="4"/>
      <c r="F371" s="64"/>
      <c r="G371" s="4"/>
      <c r="H371" s="4"/>
      <c r="I371" s="4"/>
      <c r="J371" s="4"/>
      <c r="K371" s="4"/>
      <c r="L371" s="4"/>
      <c r="M371" s="4"/>
      <c r="N371" s="4"/>
      <c r="W371" s="19"/>
      <c r="X371" s="19"/>
      <c r="Y371" s="19"/>
      <c r="Z371" s="19"/>
      <c r="AA371" s="19"/>
      <c r="AB371" s="19"/>
      <c r="AC371" s="19"/>
      <c r="AD371" s="19"/>
    </row>
    <row r="372" spans="1:30" s="9" customFormat="1" x14ac:dyDescent="0.2">
      <c r="A372" s="13"/>
      <c r="C372" s="4"/>
      <c r="D372" s="4"/>
      <c r="E372" s="4"/>
      <c r="F372" s="64"/>
      <c r="G372" s="4"/>
      <c r="H372" s="4"/>
      <c r="I372" s="4"/>
      <c r="J372" s="4"/>
      <c r="K372" s="4"/>
      <c r="L372" s="4"/>
      <c r="M372" s="4"/>
      <c r="N372" s="4"/>
      <c r="W372" s="19"/>
      <c r="X372" s="19"/>
      <c r="Y372" s="19"/>
      <c r="Z372" s="19"/>
      <c r="AA372" s="19"/>
      <c r="AB372" s="19"/>
      <c r="AC372" s="19"/>
      <c r="AD372" s="19"/>
    </row>
    <row r="373" spans="1:30" s="9" customFormat="1" x14ac:dyDescent="0.2">
      <c r="A373" s="11" t="s">
        <v>475</v>
      </c>
      <c r="C373" s="4"/>
      <c r="D373" s="4"/>
      <c r="E373" s="4"/>
      <c r="F373" s="64"/>
      <c r="G373" s="4"/>
      <c r="H373" s="4"/>
      <c r="I373" s="4"/>
      <c r="J373" s="4"/>
      <c r="K373" s="4"/>
      <c r="L373" s="4"/>
      <c r="M373" s="4"/>
      <c r="N373" s="4"/>
      <c r="W373" s="19"/>
      <c r="X373" s="19"/>
      <c r="Y373" s="19"/>
      <c r="Z373" s="19"/>
      <c r="AA373" s="19"/>
      <c r="AB373" s="19"/>
      <c r="AC373" s="19"/>
      <c r="AD373" s="19"/>
    </row>
    <row r="374" spans="1:30" s="9" customFormat="1" x14ac:dyDescent="0.2">
      <c r="A374" s="13"/>
      <c r="C374" s="4"/>
      <c r="D374" s="4"/>
      <c r="E374" s="4"/>
      <c r="F374" s="64"/>
      <c r="G374" s="4"/>
      <c r="H374" s="4"/>
      <c r="I374" s="4"/>
      <c r="J374" s="4"/>
      <c r="K374" s="4"/>
      <c r="L374" s="4"/>
      <c r="M374" s="4"/>
      <c r="N374" s="4"/>
      <c r="W374" s="19"/>
      <c r="X374" s="19"/>
      <c r="Y374" s="19"/>
      <c r="Z374" s="19"/>
      <c r="AA374" s="19"/>
      <c r="AB374" s="19"/>
      <c r="AC374" s="19"/>
      <c r="AD374" s="19"/>
    </row>
    <row r="375" spans="1:30" s="9" customFormat="1" x14ac:dyDescent="0.2">
      <c r="A375" s="8"/>
      <c r="C375" s="4"/>
      <c r="D375" s="4"/>
      <c r="E375" s="4"/>
      <c r="F375" s="64"/>
      <c r="G375" s="4"/>
      <c r="H375" s="4"/>
      <c r="I375" s="4"/>
      <c r="J375" s="4"/>
      <c r="K375" s="4"/>
      <c r="L375" s="4"/>
      <c r="M375" s="4"/>
      <c r="N375" s="4"/>
    </row>
    <row r="376" spans="1:30" s="9" customFormat="1" x14ac:dyDescent="0.2">
      <c r="A376" s="8" t="s">
        <v>3</v>
      </c>
      <c r="C376" s="4"/>
      <c r="D376" s="4"/>
      <c r="E376" s="4"/>
      <c r="F376" s="64"/>
      <c r="G376" s="4"/>
      <c r="H376" s="4"/>
      <c r="I376" s="4"/>
      <c r="J376" s="4"/>
      <c r="K376" s="4"/>
      <c r="L376" s="4"/>
      <c r="M376" s="4"/>
      <c r="N376" s="4"/>
    </row>
    <row r="377" spans="1:30" s="9" customFormat="1" x14ac:dyDescent="0.2">
      <c r="A377" s="13" t="s">
        <v>124</v>
      </c>
      <c r="B377" s="9" t="s">
        <v>437</v>
      </c>
      <c r="C377" s="4" t="s">
        <v>125</v>
      </c>
      <c r="D377" s="4" t="s">
        <v>27</v>
      </c>
      <c r="E377" s="4"/>
      <c r="F377" s="59">
        <f>3753381.93260864-80962</f>
        <v>3672419.9326086398</v>
      </c>
      <c r="G377" s="14">
        <f>(VLOOKUP($D377,$C$5:$AH$1004,5,)/VLOOKUP($D377,$C$5:$AH$1004,4,))*$F377</f>
        <v>0</v>
      </c>
      <c r="H377" s="14">
        <f>(VLOOKUP($D377,$C$5:$AH$1004,6,)/VLOOKUP($D377,$C$5:$AH$1004,4,))*$F377</f>
        <v>0</v>
      </c>
      <c r="I377" s="14">
        <f>(VLOOKUP($D377,$C$5:$AH$1004,7,)/VLOOKUP($D377,$C$5:$AH$1004,4,))*$F377</f>
        <v>0</v>
      </c>
      <c r="J377" s="14">
        <f>(VLOOKUP($D377,$C$5:$AH$1004,8,)/VLOOKUP($D377,$C$5:$AH$1004,4,))*$F377</f>
        <v>0</v>
      </c>
      <c r="K377" s="14">
        <f>(VLOOKUP($D377,$C$5:$AH$1004,9,)/VLOOKUP($D377,$C$5:$AH$1004,4,))*$F377</f>
        <v>3672419.9326086398</v>
      </c>
      <c r="L377" s="14">
        <f>(VLOOKUP($D377,$C$5:$AH$1004,10,)/VLOOKUP($D377,$C$5:$AH$1004,4,))*$F377</f>
        <v>0</v>
      </c>
      <c r="M377" s="14">
        <f>(VLOOKUP($D377,$C$5:$AH$1004,11,)/VLOOKUP($D377,$C$5:$AH$1004,4,))*$F377</f>
        <v>0</v>
      </c>
      <c r="N377" s="14">
        <f>(VLOOKUP($D377,$C$5:$AH$1004,12,)/VLOOKUP($D377,$C$5:$AH$1004,4,))*$F377</f>
        <v>0</v>
      </c>
      <c r="O377" s="14">
        <f>(VLOOKUP($D377,$C$5:$AH$1004,13,)/VLOOKUP($D377,$C$5:$AH$1004,4,))*$F377</f>
        <v>0</v>
      </c>
      <c r="P377" s="14">
        <f>(VLOOKUP($D377,$C$5:$AH$1004,14,)/VLOOKUP($D377,$C$5:$AH$1004,4,))*$F377</f>
        <v>0</v>
      </c>
      <c r="Q377" s="14">
        <f>(VLOOKUP($D377,$C$5:$AH$1004,15,)/VLOOKUP($D377,$C$5:$AH$1004,4,))*$F377</f>
        <v>0</v>
      </c>
      <c r="R377" s="14">
        <f>(VLOOKUP($D377,$C$5:$AH$1004,16,)/VLOOKUP($D377,$C$5:$AH$1004,4,))*$F377</f>
        <v>0</v>
      </c>
      <c r="S377" s="14">
        <f>(VLOOKUP($D377,$C$5:$AH$1004,17,)/VLOOKUP($D377,$C$5:$AH$1004,4,))*$F377</f>
        <v>0</v>
      </c>
      <c r="T377" s="14">
        <f>(VLOOKUP($D377,$C$5:$AH$1004,18,)/VLOOKUP($D377,$C$5:$AH$1004,4,))*$F377</f>
        <v>0</v>
      </c>
      <c r="U377" s="14">
        <f>SUM(G377:T377)</f>
        <v>3672419.9326086398</v>
      </c>
      <c r="V377" s="39" t="str">
        <f>IF(ABS(U377-F377)&lt;1,"ok","err")</f>
        <v>ok</v>
      </c>
    </row>
    <row r="378" spans="1:30" s="9" customFormat="1" x14ac:dyDescent="0.2">
      <c r="A378" s="8"/>
      <c r="C378" s="4"/>
      <c r="D378" s="4"/>
      <c r="E378" s="4"/>
      <c r="F378" s="64"/>
      <c r="G378" s="4"/>
      <c r="H378" s="4"/>
      <c r="I378" s="4"/>
      <c r="J378" s="4"/>
      <c r="K378" s="4"/>
      <c r="L378" s="4"/>
      <c r="M378" s="4"/>
      <c r="N378" s="4"/>
    </row>
    <row r="379" spans="1:30" s="9" customFormat="1" x14ac:dyDescent="0.2">
      <c r="A379" s="8" t="s">
        <v>5</v>
      </c>
      <c r="C379" s="4"/>
      <c r="D379" s="4"/>
      <c r="E379" s="4"/>
      <c r="F379" s="64"/>
      <c r="G379" s="4"/>
      <c r="H379" s="4"/>
      <c r="I379" s="4"/>
      <c r="J379" s="4"/>
      <c r="K379" s="4"/>
      <c r="L379" s="4"/>
      <c r="M379" s="4"/>
      <c r="N379" s="4"/>
      <c r="W379" s="19"/>
      <c r="X379" s="19"/>
      <c r="Y379" s="19"/>
      <c r="Z379" s="19"/>
      <c r="AA379" s="19"/>
      <c r="AB379" s="19"/>
      <c r="AC379" s="19"/>
      <c r="AD379" s="19"/>
    </row>
    <row r="380" spans="1:30" s="9" customFormat="1" x14ac:dyDescent="0.2">
      <c r="A380" s="8" t="s">
        <v>438</v>
      </c>
      <c r="C380" s="4"/>
      <c r="D380" s="4"/>
      <c r="E380" s="4"/>
      <c r="F380" s="64"/>
      <c r="G380" s="4"/>
      <c r="H380" s="4"/>
      <c r="I380" s="4"/>
      <c r="J380" s="4"/>
      <c r="K380" s="4"/>
      <c r="L380" s="4"/>
      <c r="M380" s="4"/>
      <c r="N380" s="4"/>
      <c r="W380" s="19"/>
      <c r="X380" s="19"/>
      <c r="Y380" s="19"/>
      <c r="Z380" s="19"/>
      <c r="AA380" s="19"/>
      <c r="AB380" s="19"/>
      <c r="AC380" s="19"/>
      <c r="AD380" s="19"/>
    </row>
    <row r="381" spans="1:30" s="9" customFormat="1" x14ac:dyDescent="0.2">
      <c r="A381" s="13">
        <v>870</v>
      </c>
      <c r="B381" s="9" t="s">
        <v>418</v>
      </c>
      <c r="C381" s="4" t="s">
        <v>126</v>
      </c>
      <c r="D381" s="4" t="s">
        <v>640</v>
      </c>
      <c r="E381" s="4"/>
      <c r="F381" s="59">
        <v>-23722</v>
      </c>
      <c r="G381" s="14">
        <f>IF(VLOOKUP($D381,$C$5:$AH$1004,4,)=0,0,(VLOOKUP($D381,$C$5:$AH$1004,5,)/VLOOKUP($D381,$C$5:$AH$1004,4,))*$F381)</f>
        <v>0</v>
      </c>
      <c r="H381" s="14">
        <f>IF(VLOOKUP($D381,$C$5:$AH$1004,4,)=0,0,(VLOOKUP($D381,$C$5:$AH$1004,6,)/VLOOKUP($D381,$C$5:$AH$1004,4,))*$F381)</f>
        <v>0</v>
      </c>
      <c r="I381" s="14">
        <f>IF(VLOOKUP($D381,$C$5:$AH$1004,4,)=0,0,(VLOOKUP($D381,$C$5:$AH$1004,7,)/VLOOKUP($D381,$C$5:$AH$1004,4,))*$F381)</f>
        <v>0</v>
      </c>
      <c r="J381" s="14">
        <f>IF(VLOOKUP($D381,$C$5:$AH$1004,4,)=0,0,(VLOOKUP($D381,$C$5:$AH$1004,8,)/VLOOKUP($D381,$C$5:$AH$1004,4,))*$F381)</f>
        <v>0</v>
      </c>
      <c r="K381" s="14">
        <f>IF(VLOOKUP($D381,$C$5:$AH$1004,4,)=0,0,(VLOOKUP($D381,$C$5:$AH$1004,9,)/VLOOKUP($D381,$C$5:$AH$1004,4,))*$F381)</f>
        <v>0</v>
      </c>
      <c r="L381" s="14">
        <f>IF(VLOOKUP($D381,$C$5:$AH$1004,4,)=0,0,(VLOOKUP($D381,$C$5:$AH$1004,10,)/VLOOKUP($D381,$C$5:$AH$1004,4,))*$F381)</f>
        <v>0</v>
      </c>
      <c r="M381" s="14">
        <f>IF(VLOOKUP($D381,$C$5:$AH$1004,4,)=0,0,(VLOOKUP($D381,$C$5:$AH$1004,11,)/VLOOKUP($D381,$C$5:$AH$1004,4,))*$F381)</f>
        <v>-4495.7075232110665</v>
      </c>
      <c r="N381" s="14">
        <f>IF(VLOOKUP($D381,$C$5:$AH$1004,4,)=0,0,(VLOOKUP($D381,$C$5:$AH$1004,12,)/VLOOKUP($D381,$C$5:$AH$1004,4,))*$F381)</f>
        <v>-108.54208295534782</v>
      </c>
      <c r="O381" s="14">
        <f>IF(VLOOKUP($D381,$C$5:$AH$1004,4,)=0,0,(VLOOKUP($D381,$C$5:$AH$1004,13,)/VLOOKUP($D381,$C$5:$AH$1004,4,))*$F381)</f>
        <v>-3544.4989098785845</v>
      </c>
      <c r="P381" s="14">
        <f>IF(VLOOKUP($D381,$C$5:$AH$1004,4,)=0,0,(VLOOKUP($D381,$C$5:$AH$1004,14,)/VLOOKUP($D381,$C$5:$AH$1004,4,))*$F381)</f>
        <v>-8711.721387073645</v>
      </c>
      <c r="Q381" s="14">
        <f>IF(VLOOKUP($D381,$C$5:$AH$1004,4,)=0,0,(VLOOKUP($D381,$C$5:$AH$1004,15,)/VLOOKUP($D381,$C$5:$AH$1004,4,))*$F381)</f>
        <v>-2892.4792145078923</v>
      </c>
      <c r="R381" s="14">
        <f>IF(VLOOKUP($D381,$C$5:$AH$1004,4,)=0,0,(VLOOKUP($D381,$C$5:$AH$1004,16,)/VLOOKUP($D381,$C$5:$AH$1004,4,))*$F381)</f>
        <v>-3969.0508823734608</v>
      </c>
      <c r="S381" s="14">
        <f>IF(VLOOKUP($D381,$C$5:$AH$1004,4,)=0,0,(VLOOKUP($D381,$C$5:$AH$1004,17,)/VLOOKUP($D381,$C$5:$AH$1004,4,))*$F381)</f>
        <v>0</v>
      </c>
      <c r="T381" s="14">
        <f>IF(VLOOKUP($D381,$C$5:$AH$1004,4,)=0,0,(VLOOKUP($D381,$C$5:$AH$1004,18,)/VLOOKUP($D381,$C$5:$AH$1004,4,))*$F381)</f>
        <v>0</v>
      </c>
      <c r="U381" s="14">
        <f>SUM(G381:T381)</f>
        <v>-23721.999999999996</v>
      </c>
      <c r="V381" s="39" t="str">
        <f>IF(ABS(U381-F381)&lt;1,"ok","err")</f>
        <v>ok</v>
      </c>
      <c r="W381" s="19"/>
      <c r="X381" s="19"/>
      <c r="Y381" s="19"/>
      <c r="Z381" s="19"/>
      <c r="AA381" s="19"/>
      <c r="AB381" s="19"/>
      <c r="AC381" s="19"/>
      <c r="AD381" s="19"/>
    </row>
    <row r="382" spans="1:30" s="9" customFormat="1" x14ac:dyDescent="0.2">
      <c r="A382" s="13">
        <v>871</v>
      </c>
      <c r="B382" s="9" t="s">
        <v>419</v>
      </c>
      <c r="C382" s="4" t="s">
        <v>127</v>
      </c>
      <c r="D382" s="4" t="s">
        <v>35</v>
      </c>
      <c r="E382" s="4"/>
      <c r="F382" s="64">
        <v>0</v>
      </c>
      <c r="G382" s="14">
        <f t="shared" ref="G382:G401" si="156">(VLOOKUP($D382,$C$5:$AH$1004,5,)/VLOOKUP($D382,$C$5:$AH$1004,4,))*$F382</f>
        <v>0</v>
      </c>
      <c r="H382" s="14">
        <f t="shared" ref="H382:H401" si="157">(VLOOKUP($D382,$C$5:$AH$1004,6,)/VLOOKUP($D382,$C$5:$AH$1004,4,))*$F382</f>
        <v>0</v>
      </c>
      <c r="I382" s="14">
        <f t="shared" ref="I382:I401" si="158">(VLOOKUP($D382,$C$5:$AH$1004,7,)/VLOOKUP($D382,$C$5:$AH$1004,4,))*$F382</f>
        <v>0</v>
      </c>
      <c r="J382" s="14">
        <f t="shared" ref="J382:J401" si="159">(VLOOKUP($D382,$C$5:$AH$1004,8,)/VLOOKUP($D382,$C$5:$AH$1004,4,))*$F382</f>
        <v>0</v>
      </c>
      <c r="K382" s="14">
        <f t="shared" ref="K382:K401" si="160">(VLOOKUP($D382,$C$5:$AH$1004,9,)/VLOOKUP($D382,$C$5:$AH$1004,4,))*$F382</f>
        <v>0</v>
      </c>
      <c r="L382" s="14">
        <f t="shared" ref="L382:L401" si="161">(VLOOKUP($D382,$C$5:$AH$1004,10,)/VLOOKUP($D382,$C$5:$AH$1004,4,))*$F382</f>
        <v>0</v>
      </c>
      <c r="M382" s="14">
        <f t="shared" ref="M382:M401" si="162">(VLOOKUP($D382,$C$5:$AH$1004,11,)/VLOOKUP($D382,$C$5:$AH$1004,4,))*$F382</f>
        <v>0</v>
      </c>
      <c r="N382" s="14">
        <f t="shared" ref="N382:N401" si="163">(VLOOKUP($D382,$C$5:$AH$1004,12,)/VLOOKUP($D382,$C$5:$AH$1004,4,))*$F382</f>
        <v>0</v>
      </c>
      <c r="O382" s="14">
        <f t="shared" ref="O382:O401" si="164">(VLOOKUP($D382,$C$5:$AH$1004,13,)/VLOOKUP($D382,$C$5:$AH$1004,4,))*$F382</f>
        <v>0</v>
      </c>
      <c r="P382" s="14">
        <f t="shared" ref="P382:P401" si="165">(VLOOKUP($D382,$C$5:$AH$1004,14,)/VLOOKUP($D382,$C$5:$AH$1004,4,))*$F382</f>
        <v>0</v>
      </c>
      <c r="Q382" s="14">
        <f t="shared" ref="Q382:Q401" si="166">(VLOOKUP($D382,$C$5:$AH$1004,15,)/VLOOKUP($D382,$C$5:$AH$1004,4,))*$F382</f>
        <v>0</v>
      </c>
      <c r="R382" s="14">
        <f t="shared" ref="R382:R401" si="167">(VLOOKUP($D382,$C$5:$AH$1004,16,)/VLOOKUP($D382,$C$5:$AH$1004,4,))*$F382</f>
        <v>0</v>
      </c>
      <c r="S382" s="14">
        <f t="shared" ref="S382:S401" si="168">(VLOOKUP($D382,$C$5:$AH$1004,17,)/VLOOKUP($D382,$C$5:$AH$1004,4,))*$F382</f>
        <v>0</v>
      </c>
      <c r="T382" s="14">
        <f t="shared" ref="T382:T401" si="169">(VLOOKUP($D382,$C$5:$AH$1004,18,)/VLOOKUP($D382,$C$5:$AH$1004,4,))*$F382</f>
        <v>0</v>
      </c>
      <c r="U382" s="14">
        <f t="shared" ref="U382:U401" si="170">SUM(G382:T382)</f>
        <v>0</v>
      </c>
      <c r="V382" s="39" t="str">
        <f t="shared" ref="V382:V403" si="171">IF(ABS(U382-F382)&lt;1,"ok","err")</f>
        <v>ok</v>
      </c>
      <c r="W382" s="19"/>
      <c r="X382" s="19"/>
      <c r="Y382" s="19"/>
      <c r="Z382" s="19"/>
      <c r="AA382" s="19"/>
      <c r="AB382" s="19"/>
      <c r="AC382" s="19"/>
      <c r="AD382" s="19"/>
    </row>
    <row r="383" spans="1:30" s="9" customFormat="1" x14ac:dyDescent="0.2">
      <c r="A383" s="13">
        <v>872</v>
      </c>
      <c r="B383" s="9" t="s">
        <v>421</v>
      </c>
      <c r="C383" s="4" t="s">
        <v>570</v>
      </c>
      <c r="D383" s="4" t="s">
        <v>35</v>
      </c>
      <c r="E383" s="4"/>
      <c r="F383" s="64">
        <v>398869.40996410063</v>
      </c>
      <c r="G383" s="14">
        <f t="shared" si="156"/>
        <v>0</v>
      </c>
      <c r="H383" s="14">
        <f t="shared" si="157"/>
        <v>0</v>
      </c>
      <c r="I383" s="14">
        <f t="shared" si="158"/>
        <v>0</v>
      </c>
      <c r="J383" s="14">
        <f t="shared" si="159"/>
        <v>0</v>
      </c>
      <c r="K383" s="14">
        <f t="shared" si="160"/>
        <v>0</v>
      </c>
      <c r="L383" s="14">
        <f t="shared" si="161"/>
        <v>0</v>
      </c>
      <c r="M383" s="14">
        <f t="shared" si="162"/>
        <v>398869.40996410063</v>
      </c>
      <c r="N383" s="14">
        <f t="shared" si="163"/>
        <v>0</v>
      </c>
      <c r="O383" s="14">
        <f t="shared" si="164"/>
        <v>0</v>
      </c>
      <c r="P383" s="14">
        <f t="shared" si="165"/>
        <v>0</v>
      </c>
      <c r="Q383" s="14">
        <f t="shared" si="166"/>
        <v>0</v>
      </c>
      <c r="R383" s="14">
        <f t="shared" si="167"/>
        <v>0</v>
      </c>
      <c r="S383" s="14">
        <f t="shared" si="168"/>
        <v>0</v>
      </c>
      <c r="T383" s="14">
        <f t="shared" si="169"/>
        <v>0</v>
      </c>
      <c r="U383" s="14">
        <f t="shared" si="170"/>
        <v>398869.40996410063</v>
      </c>
      <c r="V383" s="39" t="str">
        <f t="shared" si="171"/>
        <v>ok</v>
      </c>
      <c r="W383" s="19"/>
      <c r="X383" s="19"/>
      <c r="Y383" s="19"/>
      <c r="Z383" s="19"/>
      <c r="AA383" s="19"/>
      <c r="AB383" s="19"/>
      <c r="AC383" s="19"/>
      <c r="AD383" s="19"/>
    </row>
    <row r="384" spans="1:30" s="9" customFormat="1" x14ac:dyDescent="0.2">
      <c r="A384" s="13">
        <v>873</v>
      </c>
      <c r="B384" s="9" t="s">
        <v>420</v>
      </c>
      <c r="C384" s="4" t="s">
        <v>571</v>
      </c>
      <c r="D384" s="4" t="s">
        <v>35</v>
      </c>
      <c r="E384" s="4"/>
      <c r="F384" s="64">
        <v>0</v>
      </c>
      <c r="G384" s="14">
        <f t="shared" si="156"/>
        <v>0</v>
      </c>
      <c r="H384" s="14">
        <f t="shared" si="157"/>
        <v>0</v>
      </c>
      <c r="I384" s="14">
        <f t="shared" si="158"/>
        <v>0</v>
      </c>
      <c r="J384" s="14">
        <f t="shared" si="159"/>
        <v>0</v>
      </c>
      <c r="K384" s="14">
        <f t="shared" si="160"/>
        <v>0</v>
      </c>
      <c r="L384" s="14">
        <f t="shared" si="161"/>
        <v>0</v>
      </c>
      <c r="M384" s="14">
        <f t="shared" si="162"/>
        <v>0</v>
      </c>
      <c r="N384" s="14">
        <f t="shared" si="163"/>
        <v>0</v>
      </c>
      <c r="O384" s="14">
        <f t="shared" si="164"/>
        <v>0</v>
      </c>
      <c r="P384" s="14">
        <f t="shared" si="165"/>
        <v>0</v>
      </c>
      <c r="Q384" s="14">
        <f t="shared" si="166"/>
        <v>0</v>
      </c>
      <c r="R384" s="14">
        <f t="shared" si="167"/>
        <v>0</v>
      </c>
      <c r="S384" s="14">
        <f t="shared" si="168"/>
        <v>0</v>
      </c>
      <c r="T384" s="14">
        <f t="shared" si="169"/>
        <v>0</v>
      </c>
      <c r="U384" s="14">
        <f t="shared" si="170"/>
        <v>0</v>
      </c>
      <c r="V384" s="39" t="str">
        <f t="shared" si="171"/>
        <v>ok</v>
      </c>
      <c r="W384" s="19"/>
      <c r="X384" s="19"/>
      <c r="Y384" s="19"/>
      <c r="Z384" s="19"/>
      <c r="AA384" s="19"/>
      <c r="AB384" s="19"/>
      <c r="AC384" s="19"/>
      <c r="AD384" s="19"/>
    </row>
    <row r="385" spans="1:30" s="9" customFormat="1" x14ac:dyDescent="0.2">
      <c r="A385" s="13">
        <v>874.01</v>
      </c>
      <c r="B385" s="9" t="s">
        <v>422</v>
      </c>
      <c r="C385" s="4" t="s">
        <v>572</v>
      </c>
      <c r="D385" s="4" t="s">
        <v>635</v>
      </c>
      <c r="E385" s="4"/>
      <c r="F385" s="64">
        <v>1028079</v>
      </c>
      <c r="G385" s="14">
        <f t="shared" si="156"/>
        <v>0</v>
      </c>
      <c r="H385" s="14">
        <f t="shared" si="157"/>
        <v>0</v>
      </c>
      <c r="I385" s="14">
        <f t="shared" si="158"/>
        <v>0</v>
      </c>
      <c r="J385" s="14">
        <f t="shared" si="159"/>
        <v>0</v>
      </c>
      <c r="K385" s="14">
        <f t="shared" si="160"/>
        <v>0</v>
      </c>
      <c r="L385" s="14">
        <f t="shared" si="161"/>
        <v>0</v>
      </c>
      <c r="M385" s="14">
        <f t="shared" si="162"/>
        <v>0</v>
      </c>
      <c r="N385" s="14">
        <f t="shared" si="163"/>
        <v>0</v>
      </c>
      <c r="O385" s="14">
        <f t="shared" si="164"/>
        <v>240550.34506508822</v>
      </c>
      <c r="P385" s="14">
        <f t="shared" si="165"/>
        <v>591228.16484185576</v>
      </c>
      <c r="Q385" s="14">
        <f t="shared" si="166"/>
        <v>196300.49009305594</v>
      </c>
      <c r="R385" s="14">
        <f t="shared" si="167"/>
        <v>0</v>
      </c>
      <c r="S385" s="14">
        <f t="shared" si="168"/>
        <v>0</v>
      </c>
      <c r="T385" s="14">
        <f t="shared" si="169"/>
        <v>0</v>
      </c>
      <c r="U385" s="14">
        <f t="shared" si="170"/>
        <v>1028079</v>
      </c>
      <c r="V385" s="39" t="str">
        <f t="shared" si="171"/>
        <v>ok</v>
      </c>
      <c r="W385" s="19"/>
      <c r="X385" s="19"/>
      <c r="Y385" s="19"/>
      <c r="Z385" s="19"/>
      <c r="AA385" s="19"/>
      <c r="AB385" s="19"/>
      <c r="AC385" s="19"/>
      <c r="AD385" s="19"/>
    </row>
    <row r="386" spans="1:30" s="9" customFormat="1" x14ac:dyDescent="0.2">
      <c r="A386" s="13">
        <v>874.02</v>
      </c>
      <c r="B386" s="9" t="s">
        <v>423</v>
      </c>
      <c r="C386" s="4" t="s">
        <v>573</v>
      </c>
      <c r="D386" s="4" t="s">
        <v>40</v>
      </c>
      <c r="E386" s="4"/>
      <c r="F386" s="64">
        <v>0</v>
      </c>
      <c r="G386" s="14">
        <f t="shared" si="156"/>
        <v>0</v>
      </c>
      <c r="H386" s="14">
        <f t="shared" si="157"/>
        <v>0</v>
      </c>
      <c r="I386" s="14">
        <f t="shared" si="158"/>
        <v>0</v>
      </c>
      <c r="J386" s="14">
        <f t="shared" si="159"/>
        <v>0</v>
      </c>
      <c r="K386" s="14">
        <f t="shared" si="160"/>
        <v>0</v>
      </c>
      <c r="L386" s="14">
        <f t="shared" si="161"/>
        <v>0</v>
      </c>
      <c r="M386" s="14">
        <f t="shared" si="162"/>
        <v>0</v>
      </c>
      <c r="N386" s="14">
        <f t="shared" si="163"/>
        <v>0</v>
      </c>
      <c r="O386" s="14">
        <f t="shared" si="164"/>
        <v>0</v>
      </c>
      <c r="P386" s="14">
        <f t="shared" si="165"/>
        <v>0</v>
      </c>
      <c r="Q386" s="14">
        <f t="shared" si="166"/>
        <v>0</v>
      </c>
      <c r="R386" s="14">
        <f t="shared" si="167"/>
        <v>0</v>
      </c>
      <c r="S386" s="14">
        <f t="shared" si="168"/>
        <v>0</v>
      </c>
      <c r="T386" s="14">
        <f t="shared" si="169"/>
        <v>0</v>
      </c>
      <c r="U386" s="14">
        <f t="shared" si="170"/>
        <v>0</v>
      </c>
      <c r="V386" s="39" t="str">
        <f t="shared" si="171"/>
        <v>ok</v>
      </c>
      <c r="W386" s="19"/>
      <c r="X386" s="19"/>
      <c r="Y386" s="19"/>
      <c r="Z386" s="19"/>
      <c r="AA386" s="19"/>
      <c r="AB386" s="19"/>
      <c r="AC386" s="19"/>
      <c r="AD386" s="19"/>
    </row>
    <row r="387" spans="1:30" s="9" customFormat="1" x14ac:dyDescent="0.2">
      <c r="A387" s="13">
        <v>874.03</v>
      </c>
      <c r="B387" s="9" t="s">
        <v>424</v>
      </c>
      <c r="C387" s="4" t="s">
        <v>574</v>
      </c>
      <c r="D387" s="4" t="s">
        <v>42</v>
      </c>
      <c r="E387" s="4"/>
      <c r="F387" s="64">
        <v>0</v>
      </c>
      <c r="G387" s="14">
        <f t="shared" si="156"/>
        <v>0</v>
      </c>
      <c r="H387" s="14">
        <f t="shared" si="157"/>
        <v>0</v>
      </c>
      <c r="I387" s="14">
        <f t="shared" si="158"/>
        <v>0</v>
      </c>
      <c r="J387" s="14">
        <f t="shared" si="159"/>
        <v>0</v>
      </c>
      <c r="K387" s="14">
        <f t="shared" si="160"/>
        <v>0</v>
      </c>
      <c r="L387" s="14">
        <f t="shared" si="161"/>
        <v>0</v>
      </c>
      <c r="M387" s="14">
        <f t="shared" si="162"/>
        <v>0</v>
      </c>
      <c r="N387" s="14">
        <f t="shared" si="163"/>
        <v>0</v>
      </c>
      <c r="O387" s="14">
        <f t="shared" si="164"/>
        <v>0</v>
      </c>
      <c r="P387" s="14">
        <f t="shared" si="165"/>
        <v>0</v>
      </c>
      <c r="Q387" s="14">
        <f t="shared" si="166"/>
        <v>0</v>
      </c>
      <c r="R387" s="14">
        <f t="shared" si="167"/>
        <v>0</v>
      </c>
      <c r="S387" s="14">
        <f t="shared" si="168"/>
        <v>0</v>
      </c>
      <c r="T387" s="14">
        <f t="shared" si="169"/>
        <v>0</v>
      </c>
      <c r="U387" s="14">
        <f t="shared" si="170"/>
        <v>0</v>
      </c>
      <c r="V387" s="39" t="str">
        <f t="shared" si="171"/>
        <v>ok</v>
      </c>
      <c r="W387" s="19"/>
      <c r="X387" s="19"/>
      <c r="Y387" s="19"/>
      <c r="Z387" s="19"/>
      <c r="AA387" s="19"/>
      <c r="AB387" s="19"/>
      <c r="AC387" s="19"/>
      <c r="AD387" s="19"/>
    </row>
    <row r="388" spans="1:30" s="9" customFormat="1" x14ac:dyDescent="0.2">
      <c r="A388" s="13">
        <v>874.04</v>
      </c>
      <c r="B388" s="9" t="s">
        <v>425</v>
      </c>
      <c r="C388" s="4" t="s">
        <v>575</v>
      </c>
      <c r="D388" s="4" t="s">
        <v>635</v>
      </c>
      <c r="E388" s="4"/>
      <c r="F388" s="64">
        <v>0</v>
      </c>
      <c r="G388" s="14">
        <f t="shared" si="156"/>
        <v>0</v>
      </c>
      <c r="H388" s="14">
        <f t="shared" si="157"/>
        <v>0</v>
      </c>
      <c r="I388" s="14">
        <f t="shared" si="158"/>
        <v>0</v>
      </c>
      <c r="J388" s="14">
        <f t="shared" si="159"/>
        <v>0</v>
      </c>
      <c r="K388" s="14">
        <f t="shared" si="160"/>
        <v>0</v>
      </c>
      <c r="L388" s="14">
        <f t="shared" si="161"/>
        <v>0</v>
      </c>
      <c r="M388" s="14">
        <f t="shared" si="162"/>
        <v>0</v>
      </c>
      <c r="N388" s="14">
        <f t="shared" si="163"/>
        <v>0</v>
      </c>
      <c r="O388" s="14">
        <f t="shared" si="164"/>
        <v>0</v>
      </c>
      <c r="P388" s="14">
        <f t="shared" si="165"/>
        <v>0</v>
      </c>
      <c r="Q388" s="14">
        <f t="shared" si="166"/>
        <v>0</v>
      </c>
      <c r="R388" s="14">
        <f t="shared" si="167"/>
        <v>0</v>
      </c>
      <c r="S388" s="14">
        <f t="shared" si="168"/>
        <v>0</v>
      </c>
      <c r="T388" s="14">
        <f t="shared" si="169"/>
        <v>0</v>
      </c>
      <c r="U388" s="14">
        <f t="shared" si="170"/>
        <v>0</v>
      </c>
      <c r="V388" s="39" t="str">
        <f t="shared" si="171"/>
        <v>ok</v>
      </c>
      <c r="W388" s="19"/>
      <c r="X388" s="19"/>
      <c r="Y388" s="19"/>
      <c r="Z388" s="19"/>
      <c r="AA388" s="19"/>
      <c r="AB388" s="19"/>
      <c r="AC388" s="19"/>
      <c r="AD388" s="19"/>
    </row>
    <row r="389" spans="1:30" s="9" customFormat="1" x14ac:dyDescent="0.2">
      <c r="A389" s="13">
        <v>874.05</v>
      </c>
      <c r="B389" s="9" t="s">
        <v>426</v>
      </c>
      <c r="C389" s="4" t="s">
        <v>576</v>
      </c>
      <c r="D389" s="4" t="s">
        <v>42</v>
      </c>
      <c r="E389" s="4"/>
      <c r="F389" s="64">
        <v>0</v>
      </c>
      <c r="G389" s="14">
        <f t="shared" si="156"/>
        <v>0</v>
      </c>
      <c r="H389" s="14">
        <f t="shared" si="157"/>
        <v>0</v>
      </c>
      <c r="I389" s="14">
        <f t="shared" si="158"/>
        <v>0</v>
      </c>
      <c r="J389" s="14">
        <f t="shared" si="159"/>
        <v>0</v>
      </c>
      <c r="K389" s="14">
        <f t="shared" si="160"/>
        <v>0</v>
      </c>
      <c r="L389" s="14">
        <f t="shared" si="161"/>
        <v>0</v>
      </c>
      <c r="M389" s="14">
        <f t="shared" si="162"/>
        <v>0</v>
      </c>
      <c r="N389" s="14">
        <f t="shared" si="163"/>
        <v>0</v>
      </c>
      <c r="O389" s="14">
        <f t="shared" si="164"/>
        <v>0</v>
      </c>
      <c r="P389" s="14">
        <f t="shared" si="165"/>
        <v>0</v>
      </c>
      <c r="Q389" s="14">
        <f t="shared" si="166"/>
        <v>0</v>
      </c>
      <c r="R389" s="14">
        <f t="shared" si="167"/>
        <v>0</v>
      </c>
      <c r="S389" s="14">
        <f t="shared" si="168"/>
        <v>0</v>
      </c>
      <c r="T389" s="14">
        <f t="shared" si="169"/>
        <v>0</v>
      </c>
      <c r="U389" s="14">
        <f t="shared" si="170"/>
        <v>0</v>
      </c>
      <c r="V389" s="39" t="str">
        <f t="shared" si="171"/>
        <v>ok</v>
      </c>
      <c r="W389" s="19"/>
      <c r="X389" s="19"/>
      <c r="Y389" s="19"/>
      <c r="Z389" s="19"/>
      <c r="AA389" s="19"/>
      <c r="AB389" s="19"/>
      <c r="AC389" s="19"/>
      <c r="AD389" s="19"/>
    </row>
    <row r="390" spans="1:30" s="9" customFormat="1" x14ac:dyDescent="0.2">
      <c r="A390" s="13">
        <v>874.06</v>
      </c>
      <c r="B390" s="9" t="s">
        <v>427</v>
      </c>
      <c r="C390" s="4" t="s">
        <v>577</v>
      </c>
      <c r="D390" s="4" t="s">
        <v>40</v>
      </c>
      <c r="E390" s="4"/>
      <c r="F390" s="64">
        <v>0</v>
      </c>
      <c r="G390" s="14">
        <f t="shared" si="156"/>
        <v>0</v>
      </c>
      <c r="H390" s="14">
        <f t="shared" si="157"/>
        <v>0</v>
      </c>
      <c r="I390" s="14">
        <f t="shared" si="158"/>
        <v>0</v>
      </c>
      <c r="J390" s="14">
        <f t="shared" si="159"/>
        <v>0</v>
      </c>
      <c r="K390" s="14">
        <f t="shared" si="160"/>
        <v>0</v>
      </c>
      <c r="L390" s="14">
        <f t="shared" si="161"/>
        <v>0</v>
      </c>
      <c r="M390" s="14">
        <f t="shared" si="162"/>
        <v>0</v>
      </c>
      <c r="N390" s="14">
        <f t="shared" si="163"/>
        <v>0</v>
      </c>
      <c r="O390" s="14">
        <f t="shared" si="164"/>
        <v>0</v>
      </c>
      <c r="P390" s="14">
        <f t="shared" si="165"/>
        <v>0</v>
      </c>
      <c r="Q390" s="14">
        <f t="shared" si="166"/>
        <v>0</v>
      </c>
      <c r="R390" s="14">
        <f t="shared" si="167"/>
        <v>0</v>
      </c>
      <c r="S390" s="14">
        <f t="shared" si="168"/>
        <v>0</v>
      </c>
      <c r="T390" s="14">
        <f t="shared" si="169"/>
        <v>0</v>
      </c>
      <c r="U390" s="14">
        <f t="shared" si="170"/>
        <v>0</v>
      </c>
      <c r="V390" s="39" t="str">
        <f t="shared" si="171"/>
        <v>ok</v>
      </c>
      <c r="W390" s="19"/>
      <c r="X390" s="19"/>
      <c r="Y390" s="19"/>
      <c r="Z390" s="19"/>
      <c r="AA390" s="19"/>
      <c r="AB390" s="19"/>
      <c r="AC390" s="19"/>
      <c r="AD390" s="19"/>
    </row>
    <row r="391" spans="1:30" s="9" customFormat="1" x14ac:dyDescent="0.2">
      <c r="A391" s="13">
        <v>874.07</v>
      </c>
      <c r="B391" s="9" t="s">
        <v>428</v>
      </c>
      <c r="C391" s="4" t="s">
        <v>578</v>
      </c>
      <c r="D391" s="4" t="s">
        <v>40</v>
      </c>
      <c r="E391" s="4"/>
      <c r="F391" s="64">
        <v>0</v>
      </c>
      <c r="G391" s="14">
        <f t="shared" si="156"/>
        <v>0</v>
      </c>
      <c r="H391" s="14">
        <f t="shared" si="157"/>
        <v>0</v>
      </c>
      <c r="I391" s="14">
        <f t="shared" si="158"/>
        <v>0</v>
      </c>
      <c r="J391" s="14">
        <f t="shared" si="159"/>
        <v>0</v>
      </c>
      <c r="K391" s="14">
        <f t="shared" si="160"/>
        <v>0</v>
      </c>
      <c r="L391" s="14">
        <f t="shared" si="161"/>
        <v>0</v>
      </c>
      <c r="M391" s="14">
        <f t="shared" si="162"/>
        <v>0</v>
      </c>
      <c r="N391" s="14">
        <f t="shared" si="163"/>
        <v>0</v>
      </c>
      <c r="O391" s="14">
        <f t="shared" si="164"/>
        <v>0</v>
      </c>
      <c r="P391" s="14">
        <f t="shared" si="165"/>
        <v>0</v>
      </c>
      <c r="Q391" s="14">
        <f t="shared" si="166"/>
        <v>0</v>
      </c>
      <c r="R391" s="14">
        <f t="shared" si="167"/>
        <v>0</v>
      </c>
      <c r="S391" s="14">
        <f t="shared" si="168"/>
        <v>0</v>
      </c>
      <c r="T391" s="14">
        <f t="shared" si="169"/>
        <v>0</v>
      </c>
      <c r="U391" s="14">
        <f t="shared" si="170"/>
        <v>0</v>
      </c>
      <c r="V391" s="39" t="str">
        <f t="shared" si="171"/>
        <v>ok</v>
      </c>
      <c r="W391" s="19"/>
      <c r="X391" s="19"/>
      <c r="Y391" s="19"/>
      <c r="Z391" s="19"/>
      <c r="AA391" s="19"/>
      <c r="AB391" s="19"/>
      <c r="AC391" s="19"/>
      <c r="AD391" s="19"/>
    </row>
    <row r="392" spans="1:30" s="9" customFormat="1" x14ac:dyDescent="0.2">
      <c r="A392" s="13">
        <v>874.08</v>
      </c>
      <c r="B392" s="9" t="s">
        <v>429</v>
      </c>
      <c r="C392" s="4" t="s">
        <v>579</v>
      </c>
      <c r="D392" s="4" t="s">
        <v>35</v>
      </c>
      <c r="E392" s="4"/>
      <c r="F392" s="64">
        <v>0</v>
      </c>
      <c r="G392" s="14">
        <f t="shared" si="156"/>
        <v>0</v>
      </c>
      <c r="H392" s="14">
        <f t="shared" si="157"/>
        <v>0</v>
      </c>
      <c r="I392" s="14">
        <f t="shared" si="158"/>
        <v>0</v>
      </c>
      <c r="J392" s="14">
        <f t="shared" si="159"/>
        <v>0</v>
      </c>
      <c r="K392" s="14">
        <f t="shared" si="160"/>
        <v>0</v>
      </c>
      <c r="L392" s="14">
        <f t="shared" si="161"/>
        <v>0</v>
      </c>
      <c r="M392" s="14">
        <f t="shared" si="162"/>
        <v>0</v>
      </c>
      <c r="N392" s="14">
        <f t="shared" si="163"/>
        <v>0</v>
      </c>
      <c r="O392" s="14">
        <f t="shared" si="164"/>
        <v>0</v>
      </c>
      <c r="P392" s="14">
        <f t="shared" si="165"/>
        <v>0</v>
      </c>
      <c r="Q392" s="14">
        <f t="shared" si="166"/>
        <v>0</v>
      </c>
      <c r="R392" s="14">
        <f t="shared" si="167"/>
        <v>0</v>
      </c>
      <c r="S392" s="14">
        <f t="shared" si="168"/>
        <v>0</v>
      </c>
      <c r="T392" s="14">
        <f t="shared" si="169"/>
        <v>0</v>
      </c>
      <c r="U392" s="14">
        <f t="shared" si="170"/>
        <v>0</v>
      </c>
      <c r="V392" s="39" t="str">
        <f t="shared" si="171"/>
        <v>ok</v>
      </c>
      <c r="W392" s="19"/>
      <c r="X392" s="19"/>
      <c r="Y392" s="19"/>
      <c r="Z392" s="19"/>
      <c r="AA392" s="19"/>
      <c r="AB392" s="19"/>
      <c r="AC392" s="19"/>
      <c r="AD392" s="19"/>
    </row>
    <row r="393" spans="1:30" s="9" customFormat="1" x14ac:dyDescent="0.2">
      <c r="A393" s="13">
        <v>874.09</v>
      </c>
      <c r="B393" s="9" t="s">
        <v>430</v>
      </c>
      <c r="C393" s="4" t="s">
        <v>580</v>
      </c>
      <c r="D393" s="4" t="s">
        <v>40</v>
      </c>
      <c r="E393" s="4"/>
      <c r="F393" s="64">
        <v>0</v>
      </c>
      <c r="G393" s="14">
        <f t="shared" si="156"/>
        <v>0</v>
      </c>
      <c r="H393" s="14">
        <f t="shared" si="157"/>
        <v>0</v>
      </c>
      <c r="I393" s="14">
        <f t="shared" si="158"/>
        <v>0</v>
      </c>
      <c r="J393" s="14">
        <f t="shared" si="159"/>
        <v>0</v>
      </c>
      <c r="K393" s="14">
        <f t="shared" si="160"/>
        <v>0</v>
      </c>
      <c r="L393" s="14">
        <f t="shared" si="161"/>
        <v>0</v>
      </c>
      <c r="M393" s="14">
        <f t="shared" si="162"/>
        <v>0</v>
      </c>
      <c r="N393" s="14">
        <f t="shared" si="163"/>
        <v>0</v>
      </c>
      <c r="O393" s="14">
        <f t="shared" si="164"/>
        <v>0</v>
      </c>
      <c r="P393" s="14">
        <f t="shared" si="165"/>
        <v>0</v>
      </c>
      <c r="Q393" s="14">
        <f t="shared" si="166"/>
        <v>0</v>
      </c>
      <c r="R393" s="14">
        <f t="shared" si="167"/>
        <v>0</v>
      </c>
      <c r="S393" s="14">
        <f t="shared" si="168"/>
        <v>0</v>
      </c>
      <c r="T393" s="14">
        <f t="shared" si="169"/>
        <v>0</v>
      </c>
      <c r="U393" s="14">
        <f t="shared" si="170"/>
        <v>0</v>
      </c>
      <c r="V393" s="39" t="str">
        <f t="shared" si="171"/>
        <v>ok</v>
      </c>
      <c r="W393" s="19"/>
      <c r="X393" s="19"/>
      <c r="Y393" s="19"/>
      <c r="Z393" s="19"/>
      <c r="AA393" s="19"/>
      <c r="AB393" s="19"/>
      <c r="AC393" s="19"/>
      <c r="AD393" s="19"/>
    </row>
    <row r="394" spans="1:30" s="9" customFormat="1" x14ac:dyDescent="0.2">
      <c r="A394" s="13">
        <v>874.1</v>
      </c>
      <c r="B394" s="9" t="s">
        <v>431</v>
      </c>
      <c r="C394" s="4" t="s">
        <v>581</v>
      </c>
      <c r="D394" s="4" t="s">
        <v>40</v>
      </c>
      <c r="E394" s="4"/>
      <c r="F394" s="64">
        <v>0</v>
      </c>
      <c r="G394" s="14">
        <f t="shared" si="156"/>
        <v>0</v>
      </c>
      <c r="H394" s="14">
        <f t="shared" si="157"/>
        <v>0</v>
      </c>
      <c r="I394" s="14">
        <f t="shared" si="158"/>
        <v>0</v>
      </c>
      <c r="J394" s="14">
        <f t="shared" si="159"/>
        <v>0</v>
      </c>
      <c r="K394" s="14">
        <f t="shared" si="160"/>
        <v>0</v>
      </c>
      <c r="L394" s="14">
        <f t="shared" si="161"/>
        <v>0</v>
      </c>
      <c r="M394" s="14">
        <f t="shared" si="162"/>
        <v>0</v>
      </c>
      <c r="N394" s="14">
        <f t="shared" si="163"/>
        <v>0</v>
      </c>
      <c r="O394" s="14">
        <f t="shared" si="164"/>
        <v>0</v>
      </c>
      <c r="P394" s="14">
        <f t="shared" si="165"/>
        <v>0</v>
      </c>
      <c r="Q394" s="14">
        <f t="shared" si="166"/>
        <v>0</v>
      </c>
      <c r="R394" s="14">
        <f t="shared" si="167"/>
        <v>0</v>
      </c>
      <c r="S394" s="14">
        <f t="shared" si="168"/>
        <v>0</v>
      </c>
      <c r="T394" s="14">
        <f t="shared" si="169"/>
        <v>0</v>
      </c>
      <c r="U394" s="14">
        <f t="shared" si="170"/>
        <v>0</v>
      </c>
      <c r="V394" s="39" t="str">
        <f t="shared" si="171"/>
        <v>ok</v>
      </c>
      <c r="W394" s="19"/>
      <c r="X394" s="19"/>
      <c r="Y394" s="19"/>
      <c r="Z394" s="19"/>
      <c r="AA394" s="19"/>
      <c r="AB394" s="19"/>
      <c r="AC394" s="19"/>
      <c r="AD394" s="19"/>
    </row>
    <row r="395" spans="1:30" s="9" customFormat="1" x14ac:dyDescent="0.2">
      <c r="A395" s="13">
        <v>875</v>
      </c>
      <c r="B395" s="9" t="s">
        <v>432</v>
      </c>
      <c r="C395" s="4" t="s">
        <v>582</v>
      </c>
      <c r="D395" s="4" t="s">
        <v>38</v>
      </c>
      <c r="E395" s="4"/>
      <c r="F395" s="64">
        <v>0</v>
      </c>
      <c r="G395" s="14">
        <f t="shared" si="156"/>
        <v>0</v>
      </c>
      <c r="H395" s="14">
        <f t="shared" si="157"/>
        <v>0</v>
      </c>
      <c r="I395" s="14">
        <f t="shared" si="158"/>
        <v>0</v>
      </c>
      <c r="J395" s="14">
        <f t="shared" si="159"/>
        <v>0</v>
      </c>
      <c r="K395" s="14">
        <f t="shared" si="160"/>
        <v>0</v>
      </c>
      <c r="L395" s="14">
        <f t="shared" si="161"/>
        <v>0</v>
      </c>
      <c r="M395" s="14">
        <f t="shared" si="162"/>
        <v>0</v>
      </c>
      <c r="N395" s="14">
        <f t="shared" si="163"/>
        <v>0</v>
      </c>
      <c r="O395" s="14">
        <f t="shared" si="164"/>
        <v>0</v>
      </c>
      <c r="P395" s="14">
        <f t="shared" si="165"/>
        <v>0</v>
      </c>
      <c r="Q395" s="14">
        <f t="shared" si="166"/>
        <v>0</v>
      </c>
      <c r="R395" s="14">
        <f t="shared" si="167"/>
        <v>0</v>
      </c>
      <c r="S395" s="14">
        <f t="shared" si="168"/>
        <v>0</v>
      </c>
      <c r="T395" s="14">
        <f t="shared" si="169"/>
        <v>0</v>
      </c>
      <c r="U395" s="14">
        <f t="shared" si="170"/>
        <v>0</v>
      </c>
      <c r="V395" s="39" t="str">
        <f t="shared" si="171"/>
        <v>ok</v>
      </c>
    </row>
    <row r="396" spans="1:30" s="9" customFormat="1" x14ac:dyDescent="0.2">
      <c r="A396" s="13">
        <v>876</v>
      </c>
      <c r="B396" s="9" t="s">
        <v>433</v>
      </c>
      <c r="C396" s="4" t="s">
        <v>583</v>
      </c>
      <c r="D396" s="4" t="s">
        <v>45</v>
      </c>
      <c r="E396" s="4"/>
      <c r="F396" s="64">
        <v>0</v>
      </c>
      <c r="G396" s="14">
        <f t="shared" si="156"/>
        <v>0</v>
      </c>
      <c r="H396" s="14">
        <f t="shared" si="157"/>
        <v>0</v>
      </c>
      <c r="I396" s="14">
        <f t="shared" si="158"/>
        <v>0</v>
      </c>
      <c r="J396" s="14">
        <f t="shared" si="159"/>
        <v>0</v>
      </c>
      <c r="K396" s="14">
        <f t="shared" si="160"/>
        <v>0</v>
      </c>
      <c r="L396" s="14">
        <f t="shared" si="161"/>
        <v>0</v>
      </c>
      <c r="M396" s="14">
        <f t="shared" si="162"/>
        <v>0</v>
      </c>
      <c r="N396" s="14">
        <f t="shared" si="163"/>
        <v>0</v>
      </c>
      <c r="O396" s="14">
        <f t="shared" si="164"/>
        <v>0</v>
      </c>
      <c r="P396" s="14">
        <f t="shared" si="165"/>
        <v>0</v>
      </c>
      <c r="Q396" s="14">
        <f t="shared" si="166"/>
        <v>0</v>
      </c>
      <c r="R396" s="14">
        <f t="shared" si="167"/>
        <v>0</v>
      </c>
      <c r="S396" s="14">
        <f t="shared" si="168"/>
        <v>0</v>
      </c>
      <c r="T396" s="14">
        <f t="shared" si="169"/>
        <v>0</v>
      </c>
      <c r="U396" s="14">
        <f t="shared" si="170"/>
        <v>0</v>
      </c>
      <c r="V396" s="39" t="str">
        <f t="shared" si="171"/>
        <v>ok</v>
      </c>
    </row>
    <row r="397" spans="1:30" s="9" customFormat="1" x14ac:dyDescent="0.2">
      <c r="A397" s="13">
        <v>877</v>
      </c>
      <c r="B397" s="9" t="s">
        <v>434</v>
      </c>
      <c r="C397" s="4" t="s">
        <v>584</v>
      </c>
      <c r="D397" s="4" t="s">
        <v>38</v>
      </c>
      <c r="E397" s="4"/>
      <c r="F397" s="64">
        <v>0</v>
      </c>
      <c r="G397" s="14">
        <f t="shared" si="156"/>
        <v>0</v>
      </c>
      <c r="H397" s="14">
        <f t="shared" si="157"/>
        <v>0</v>
      </c>
      <c r="I397" s="14">
        <f t="shared" si="158"/>
        <v>0</v>
      </c>
      <c r="J397" s="14">
        <f t="shared" si="159"/>
        <v>0</v>
      </c>
      <c r="K397" s="14">
        <f t="shared" si="160"/>
        <v>0</v>
      </c>
      <c r="L397" s="14">
        <f t="shared" si="161"/>
        <v>0</v>
      </c>
      <c r="M397" s="14">
        <f t="shared" si="162"/>
        <v>0</v>
      </c>
      <c r="N397" s="14">
        <f t="shared" si="163"/>
        <v>0</v>
      </c>
      <c r="O397" s="14">
        <f t="shared" si="164"/>
        <v>0</v>
      </c>
      <c r="P397" s="14">
        <f t="shared" si="165"/>
        <v>0</v>
      </c>
      <c r="Q397" s="14">
        <f t="shared" si="166"/>
        <v>0</v>
      </c>
      <c r="R397" s="14">
        <f t="shared" si="167"/>
        <v>0</v>
      </c>
      <c r="S397" s="14">
        <f t="shared" si="168"/>
        <v>0</v>
      </c>
      <c r="T397" s="14">
        <f t="shared" si="169"/>
        <v>0</v>
      </c>
      <c r="U397" s="14">
        <f t="shared" si="170"/>
        <v>0</v>
      </c>
      <c r="V397" s="39" t="str">
        <f t="shared" si="171"/>
        <v>ok</v>
      </c>
    </row>
    <row r="398" spans="1:30" s="9" customFormat="1" x14ac:dyDescent="0.2">
      <c r="A398" s="13">
        <v>878</v>
      </c>
      <c r="B398" s="9" t="s">
        <v>435</v>
      </c>
      <c r="C398" s="4" t="s">
        <v>585</v>
      </c>
      <c r="D398" s="4" t="s">
        <v>45</v>
      </c>
      <c r="E398" s="4"/>
      <c r="F398" s="64">
        <v>170849</v>
      </c>
      <c r="G398" s="14">
        <f t="shared" si="156"/>
        <v>0</v>
      </c>
      <c r="H398" s="14">
        <f t="shared" si="157"/>
        <v>0</v>
      </c>
      <c r="I398" s="14">
        <f t="shared" si="158"/>
        <v>0</v>
      </c>
      <c r="J398" s="14">
        <f t="shared" si="159"/>
        <v>0</v>
      </c>
      <c r="K398" s="14">
        <f t="shared" si="160"/>
        <v>0</v>
      </c>
      <c r="L398" s="14">
        <f t="shared" si="161"/>
        <v>0</v>
      </c>
      <c r="M398" s="14">
        <f t="shared" si="162"/>
        <v>0</v>
      </c>
      <c r="N398" s="14">
        <f t="shared" si="163"/>
        <v>0</v>
      </c>
      <c r="O398" s="14">
        <f t="shared" si="164"/>
        <v>0</v>
      </c>
      <c r="P398" s="14">
        <f t="shared" si="165"/>
        <v>0</v>
      </c>
      <c r="Q398" s="14">
        <f t="shared" si="166"/>
        <v>0</v>
      </c>
      <c r="R398" s="14">
        <f t="shared" si="167"/>
        <v>170849</v>
      </c>
      <c r="S398" s="14">
        <f t="shared" si="168"/>
        <v>0</v>
      </c>
      <c r="T398" s="14">
        <f t="shared" si="169"/>
        <v>0</v>
      </c>
      <c r="U398" s="14">
        <f t="shared" si="170"/>
        <v>170849</v>
      </c>
      <c r="V398" s="39" t="str">
        <f t="shared" si="171"/>
        <v>ok</v>
      </c>
    </row>
    <row r="399" spans="1:30" s="9" customFormat="1" x14ac:dyDescent="0.2">
      <c r="A399" s="13">
        <v>879</v>
      </c>
      <c r="B399" s="9" t="s">
        <v>436</v>
      </c>
      <c r="C399" s="4" t="s">
        <v>586</v>
      </c>
      <c r="D399" s="4" t="s">
        <v>45</v>
      </c>
      <c r="E399" s="4"/>
      <c r="F399" s="64">
        <v>126421</v>
      </c>
      <c r="G399" s="14">
        <f t="shared" si="156"/>
        <v>0</v>
      </c>
      <c r="H399" s="14">
        <f t="shared" si="157"/>
        <v>0</v>
      </c>
      <c r="I399" s="14">
        <f t="shared" si="158"/>
        <v>0</v>
      </c>
      <c r="J399" s="14">
        <f t="shared" si="159"/>
        <v>0</v>
      </c>
      <c r="K399" s="14">
        <f t="shared" si="160"/>
        <v>0</v>
      </c>
      <c r="L399" s="14">
        <f t="shared" si="161"/>
        <v>0</v>
      </c>
      <c r="M399" s="14">
        <f t="shared" si="162"/>
        <v>0</v>
      </c>
      <c r="N399" s="14">
        <f t="shared" si="163"/>
        <v>0</v>
      </c>
      <c r="O399" s="14">
        <f t="shared" si="164"/>
        <v>0</v>
      </c>
      <c r="P399" s="14">
        <f t="shared" si="165"/>
        <v>0</v>
      </c>
      <c r="Q399" s="14">
        <f t="shared" si="166"/>
        <v>0</v>
      </c>
      <c r="R399" s="14">
        <f t="shared" si="167"/>
        <v>126421</v>
      </c>
      <c r="S399" s="14">
        <f t="shared" si="168"/>
        <v>0</v>
      </c>
      <c r="T399" s="14">
        <f t="shared" si="169"/>
        <v>0</v>
      </c>
      <c r="U399" s="14">
        <f t="shared" si="170"/>
        <v>126421</v>
      </c>
      <c r="V399" s="39" t="str">
        <f t="shared" si="171"/>
        <v>ok</v>
      </c>
    </row>
    <row r="400" spans="1:30" s="9" customFormat="1" x14ac:dyDescent="0.2">
      <c r="A400" s="13">
        <v>880</v>
      </c>
      <c r="B400" s="9" t="s">
        <v>109</v>
      </c>
      <c r="C400" s="4" t="s">
        <v>129</v>
      </c>
      <c r="D400" s="4" t="s">
        <v>203</v>
      </c>
      <c r="E400" s="4"/>
      <c r="F400" s="64">
        <v>413831</v>
      </c>
      <c r="G400" s="14">
        <f t="shared" si="156"/>
        <v>0</v>
      </c>
      <c r="H400" s="14">
        <f t="shared" si="157"/>
        <v>0</v>
      </c>
      <c r="I400" s="14">
        <f t="shared" si="158"/>
        <v>0</v>
      </c>
      <c r="J400" s="14">
        <f t="shared" si="159"/>
        <v>0</v>
      </c>
      <c r="K400" s="14">
        <f t="shared" si="160"/>
        <v>0</v>
      </c>
      <c r="L400" s="14">
        <f t="shared" si="161"/>
        <v>0</v>
      </c>
      <c r="M400" s="14">
        <f t="shared" si="162"/>
        <v>0</v>
      </c>
      <c r="N400" s="14">
        <f t="shared" si="163"/>
        <v>9818.5451023477744</v>
      </c>
      <c r="O400" s="14">
        <f t="shared" si="164"/>
        <v>80079.41865689808</v>
      </c>
      <c r="P400" s="14">
        <f t="shared" si="165"/>
        <v>196820.36923002472</v>
      </c>
      <c r="Q400" s="14">
        <f t="shared" si="166"/>
        <v>65348.603530220149</v>
      </c>
      <c r="R400" s="14">
        <f t="shared" si="167"/>
        <v>61764.063480509256</v>
      </c>
      <c r="S400" s="14">
        <f t="shared" si="168"/>
        <v>0</v>
      </c>
      <c r="T400" s="14">
        <f t="shared" si="169"/>
        <v>0</v>
      </c>
      <c r="U400" s="14">
        <f t="shared" si="170"/>
        <v>413831</v>
      </c>
      <c r="V400" s="39" t="str">
        <f t="shared" si="171"/>
        <v>ok</v>
      </c>
    </row>
    <row r="401" spans="1:22" s="9" customFormat="1" x14ac:dyDescent="0.2">
      <c r="A401" s="13">
        <v>881</v>
      </c>
      <c r="B401" s="9" t="s">
        <v>112</v>
      </c>
      <c r="C401" s="4" t="s">
        <v>130</v>
      </c>
      <c r="D401" s="4" t="s">
        <v>203</v>
      </c>
      <c r="E401" s="4"/>
      <c r="F401" s="64">
        <v>0</v>
      </c>
      <c r="G401" s="14">
        <f t="shared" si="156"/>
        <v>0</v>
      </c>
      <c r="H401" s="14">
        <f t="shared" si="157"/>
        <v>0</v>
      </c>
      <c r="I401" s="14">
        <f t="shared" si="158"/>
        <v>0</v>
      </c>
      <c r="J401" s="14">
        <f t="shared" si="159"/>
        <v>0</v>
      </c>
      <c r="K401" s="14">
        <f t="shared" si="160"/>
        <v>0</v>
      </c>
      <c r="L401" s="14">
        <f t="shared" si="161"/>
        <v>0</v>
      </c>
      <c r="M401" s="14">
        <f t="shared" si="162"/>
        <v>0</v>
      </c>
      <c r="N401" s="14">
        <f t="shared" si="163"/>
        <v>0</v>
      </c>
      <c r="O401" s="14">
        <f t="shared" si="164"/>
        <v>0</v>
      </c>
      <c r="P401" s="14">
        <f t="shared" si="165"/>
        <v>0</v>
      </c>
      <c r="Q401" s="14">
        <f t="shared" si="166"/>
        <v>0</v>
      </c>
      <c r="R401" s="14">
        <f t="shared" si="167"/>
        <v>0</v>
      </c>
      <c r="S401" s="14">
        <f t="shared" si="168"/>
        <v>0</v>
      </c>
      <c r="T401" s="14">
        <f t="shared" si="169"/>
        <v>0</v>
      </c>
      <c r="U401" s="14">
        <f t="shared" si="170"/>
        <v>0</v>
      </c>
      <c r="V401" s="39" t="str">
        <f t="shared" si="171"/>
        <v>ok</v>
      </c>
    </row>
    <row r="402" spans="1:22" s="9" customFormat="1" x14ac:dyDescent="0.2">
      <c r="A402" s="13"/>
      <c r="C402" s="4"/>
      <c r="D402" s="4"/>
      <c r="E402" s="4"/>
      <c r="F402" s="64"/>
      <c r="G402" s="4"/>
      <c r="H402" s="4"/>
      <c r="I402" s="4"/>
      <c r="J402" s="4"/>
      <c r="K402" s="4"/>
      <c r="L402" s="4"/>
      <c r="M402" s="4"/>
      <c r="N402" s="4"/>
    </row>
    <row r="403" spans="1:22" s="9" customFormat="1" x14ac:dyDescent="0.2">
      <c r="A403" s="13" t="s">
        <v>483</v>
      </c>
      <c r="C403" s="4" t="s">
        <v>587</v>
      </c>
      <c r="D403" s="4"/>
      <c r="E403" s="4"/>
      <c r="F403" s="59">
        <f>+SUM(F381:F401)</f>
        <v>2114327.4099641005</v>
      </c>
      <c r="G403" s="14">
        <f t="shared" ref="G403:U403" si="172">+SUM(G381:G401)</f>
        <v>0</v>
      </c>
      <c r="H403" s="14">
        <f t="shared" si="172"/>
        <v>0</v>
      </c>
      <c r="I403" s="14">
        <f t="shared" si="172"/>
        <v>0</v>
      </c>
      <c r="J403" s="14">
        <f t="shared" si="172"/>
        <v>0</v>
      </c>
      <c r="K403" s="14">
        <f t="shared" si="172"/>
        <v>0</v>
      </c>
      <c r="L403" s="14">
        <f t="shared" si="172"/>
        <v>0</v>
      </c>
      <c r="M403" s="14">
        <f t="shared" si="172"/>
        <v>394373.70244088955</v>
      </c>
      <c r="N403" s="14">
        <f t="shared" si="172"/>
        <v>9710.0030193924267</v>
      </c>
      <c r="O403" s="14">
        <f t="shared" si="172"/>
        <v>317085.26481210772</v>
      </c>
      <c r="P403" s="14">
        <f t="shared" si="172"/>
        <v>779336.81268480688</v>
      </c>
      <c r="Q403" s="14">
        <f t="shared" si="172"/>
        <v>258756.61440876819</v>
      </c>
      <c r="R403" s="14">
        <f t="shared" si="172"/>
        <v>355065.0125981358</v>
      </c>
      <c r="S403" s="14">
        <f t="shared" si="172"/>
        <v>0</v>
      </c>
      <c r="T403" s="14">
        <f t="shared" si="172"/>
        <v>0</v>
      </c>
      <c r="U403" s="14">
        <f t="shared" si="172"/>
        <v>2114327.4099641005</v>
      </c>
      <c r="V403" s="39" t="str">
        <f t="shared" si="171"/>
        <v>ok</v>
      </c>
    </row>
    <row r="404" spans="1:22" s="9" customFormat="1" x14ac:dyDescent="0.2">
      <c r="A404" s="13"/>
      <c r="C404" s="4"/>
      <c r="D404" s="4"/>
      <c r="E404" s="4"/>
      <c r="F404" s="64"/>
      <c r="G404" s="4"/>
      <c r="H404" s="4"/>
      <c r="I404" s="4"/>
      <c r="J404" s="4"/>
      <c r="K404" s="4"/>
      <c r="L404" s="4"/>
      <c r="M404" s="4"/>
      <c r="N404" s="4"/>
    </row>
    <row r="405" spans="1:22" s="9" customFormat="1" x14ac:dyDescent="0.2">
      <c r="A405" s="13" t="s">
        <v>188</v>
      </c>
      <c r="C405" s="4" t="s">
        <v>588</v>
      </c>
      <c r="D405" s="4"/>
      <c r="E405" s="4"/>
      <c r="F405" s="59">
        <f>F325+F326+F377+F403</f>
        <v>5786747.3425727403</v>
      </c>
      <c r="G405" s="15">
        <f t="shared" ref="G405:U405" si="173">G325+G326+G377+G403</f>
        <v>0</v>
      </c>
      <c r="H405" s="15">
        <f t="shared" si="173"/>
        <v>0</v>
      </c>
      <c r="I405" s="15">
        <f t="shared" si="173"/>
        <v>0</v>
      </c>
      <c r="J405" s="15">
        <f t="shared" si="173"/>
        <v>0</v>
      </c>
      <c r="K405" s="15">
        <f t="shared" si="173"/>
        <v>3672419.9326086398</v>
      </c>
      <c r="L405" s="15">
        <f t="shared" si="173"/>
        <v>0</v>
      </c>
      <c r="M405" s="15">
        <f t="shared" si="173"/>
        <v>394373.70244088955</v>
      </c>
      <c r="N405" s="15">
        <f t="shared" si="173"/>
        <v>9710.0030193924267</v>
      </c>
      <c r="O405" s="15">
        <f t="shared" si="173"/>
        <v>317085.26481210772</v>
      </c>
      <c r="P405" s="15">
        <f t="shared" si="173"/>
        <v>779336.81268480688</v>
      </c>
      <c r="Q405" s="15">
        <f t="shared" si="173"/>
        <v>258756.61440876819</v>
      </c>
      <c r="R405" s="15">
        <f t="shared" si="173"/>
        <v>355065.0125981358</v>
      </c>
      <c r="S405" s="15">
        <f t="shared" si="173"/>
        <v>0</v>
      </c>
      <c r="T405" s="15">
        <f t="shared" si="173"/>
        <v>0</v>
      </c>
      <c r="U405" s="15">
        <f t="shared" si="173"/>
        <v>5786747.3425727403</v>
      </c>
      <c r="V405" s="39" t="str">
        <f>IF(ABS(U405-F405)&lt;1,"ok","err")</f>
        <v>ok</v>
      </c>
    </row>
    <row r="406" spans="1:22" s="9" customFormat="1" x14ac:dyDescent="0.2">
      <c r="A406" s="13"/>
      <c r="C406" s="4"/>
      <c r="D406" s="4"/>
      <c r="E406" s="4"/>
      <c r="F406" s="59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4"/>
      <c r="V406" s="39"/>
    </row>
    <row r="407" spans="1:22" s="9" customFormat="1" x14ac:dyDescent="0.2">
      <c r="A407" s="13"/>
      <c r="C407" s="4"/>
      <c r="D407" s="4"/>
      <c r="E407" s="4"/>
      <c r="F407" s="59">
        <f>SUM(F383:F401)</f>
        <v>2138049.4099641005</v>
      </c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4"/>
      <c r="V407" s="39"/>
    </row>
    <row r="408" spans="1:22" s="9" customFormat="1" x14ac:dyDescent="0.2">
      <c r="A408" s="13"/>
      <c r="C408" s="4"/>
      <c r="D408" s="4"/>
      <c r="E408" s="4"/>
      <c r="F408" s="59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4"/>
      <c r="V408" s="39"/>
    </row>
    <row r="409" spans="1:22" s="9" customFormat="1" x14ac:dyDescent="0.2">
      <c r="A409" s="13"/>
      <c r="C409" s="4"/>
      <c r="D409" s="4"/>
      <c r="E409" s="4"/>
      <c r="F409" s="59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4"/>
      <c r="V409" s="39"/>
    </row>
    <row r="410" spans="1:22" s="9" customFormat="1" x14ac:dyDescent="0.2">
      <c r="A410" s="13"/>
      <c r="C410" s="4"/>
      <c r="D410" s="4"/>
      <c r="E410" s="4"/>
      <c r="F410" s="59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4"/>
      <c r="V410" s="39"/>
    </row>
    <row r="411" spans="1:22" s="9" customFormat="1" x14ac:dyDescent="0.2">
      <c r="A411" s="13"/>
      <c r="C411" s="4"/>
      <c r="D411" s="4"/>
      <c r="E411" s="4"/>
      <c r="F411" s="59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4"/>
      <c r="V411" s="39"/>
    </row>
    <row r="412" spans="1:22" s="9" customFormat="1" x14ac:dyDescent="0.2">
      <c r="A412" s="13"/>
      <c r="C412" s="4"/>
      <c r="D412" s="4"/>
      <c r="E412" s="4"/>
      <c r="F412" s="59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4"/>
      <c r="V412" s="39"/>
    </row>
    <row r="413" spans="1:22" s="9" customFormat="1" x14ac:dyDescent="0.2">
      <c r="A413" s="13"/>
      <c r="C413" s="4"/>
      <c r="D413" s="4"/>
      <c r="E413" s="4"/>
      <c r="F413" s="59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4"/>
      <c r="V413" s="39"/>
    </row>
    <row r="414" spans="1:22" s="9" customFormat="1" x14ac:dyDescent="0.2">
      <c r="A414" s="13"/>
      <c r="C414" s="4"/>
      <c r="D414" s="4"/>
      <c r="E414" s="4"/>
      <c r="F414" s="59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4"/>
      <c r="V414" s="39"/>
    </row>
    <row r="415" spans="1:22" s="9" customFormat="1" x14ac:dyDescent="0.2">
      <c r="A415" s="13"/>
      <c r="C415" s="4"/>
      <c r="D415" s="4"/>
      <c r="E415" s="4"/>
      <c r="F415" s="59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4"/>
      <c r="V415" s="39"/>
    </row>
    <row r="416" spans="1:22" s="9" customFormat="1" x14ac:dyDescent="0.2">
      <c r="A416" s="11" t="s">
        <v>475</v>
      </c>
      <c r="C416" s="4"/>
      <c r="D416" s="4"/>
      <c r="E416" s="4"/>
      <c r="F416" s="59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4"/>
      <c r="V416" s="39"/>
    </row>
    <row r="417" spans="1:22" s="9" customFormat="1" x14ac:dyDescent="0.2">
      <c r="A417" s="11"/>
      <c r="C417" s="4"/>
      <c r="D417" s="4"/>
      <c r="E417" s="4"/>
      <c r="F417" s="59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4"/>
      <c r="V417" s="39"/>
    </row>
    <row r="418" spans="1:22" s="9" customFormat="1" x14ac:dyDescent="0.2">
      <c r="A418" s="11"/>
      <c r="C418" s="4"/>
      <c r="D418" s="4"/>
      <c r="E418" s="4"/>
      <c r="F418" s="59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4"/>
      <c r="V418" s="39"/>
    </row>
    <row r="419" spans="1:22" s="9" customFormat="1" x14ac:dyDescent="0.2">
      <c r="A419" s="8" t="s">
        <v>190</v>
      </c>
      <c r="C419" s="4"/>
      <c r="D419" s="4"/>
      <c r="E419" s="4"/>
      <c r="F419" s="65"/>
    </row>
    <row r="420" spans="1:22" s="9" customFormat="1" x14ac:dyDescent="0.2">
      <c r="A420" s="13"/>
      <c r="C420" s="4"/>
      <c r="D420" s="4"/>
      <c r="E420" s="4"/>
      <c r="F420" s="65"/>
    </row>
    <row r="421" spans="1:22" s="9" customFormat="1" x14ac:dyDescent="0.2">
      <c r="A421" s="13">
        <v>885</v>
      </c>
      <c r="B421" s="9" t="s">
        <v>449</v>
      </c>
      <c r="C421" s="4" t="s">
        <v>131</v>
      </c>
      <c r="D421" s="4" t="s">
        <v>641</v>
      </c>
      <c r="E421" s="4"/>
      <c r="F421" s="65">
        <v>107158.17424278907</v>
      </c>
      <c r="G421" s="14">
        <f t="shared" ref="G421:G432" si="174">(VLOOKUP($D421,$C$5:$AH$1004,5,)/VLOOKUP($D421,$C$5:$AH$1004,4,))*$F421</f>
        <v>0</v>
      </c>
      <c r="H421" s="14">
        <f t="shared" ref="H421:H432" si="175">(VLOOKUP($D421,$C$5:$AH$1004,6,)/VLOOKUP($D421,$C$5:$AH$1004,4,))*$F421</f>
        <v>0</v>
      </c>
      <c r="I421" s="14">
        <f t="shared" ref="I421:I432" si="176">(VLOOKUP($D421,$C$5:$AH$1004,7,)/VLOOKUP($D421,$C$5:$AH$1004,4,))*$F421</f>
        <v>0</v>
      </c>
      <c r="J421" s="14">
        <f t="shared" ref="J421:J432" si="177">(VLOOKUP($D421,$C$5:$AH$1004,8,)/VLOOKUP($D421,$C$5:$AH$1004,4,))*$F421</f>
        <v>0</v>
      </c>
      <c r="K421" s="14">
        <f t="shared" ref="K421:K432" si="178">(VLOOKUP($D421,$C$5:$AH$1004,9,)/VLOOKUP($D421,$C$5:$AH$1004,4,))*$F421</f>
        <v>0</v>
      </c>
      <c r="L421" s="14">
        <f t="shared" ref="L421:L432" si="179">(VLOOKUP($D421,$C$5:$AH$1004,10,)/VLOOKUP($D421,$C$5:$AH$1004,4,))*$F421</f>
        <v>0</v>
      </c>
      <c r="M421" s="14">
        <f t="shared" ref="M421:M432" si="180">(VLOOKUP($D421,$C$5:$AH$1004,11,)/VLOOKUP($D421,$C$5:$AH$1004,4,))*$F421</f>
        <v>0</v>
      </c>
      <c r="N421" s="14">
        <f t="shared" ref="N421:N432" si="181">(VLOOKUP($D421,$C$5:$AH$1004,12,)/VLOOKUP($D421,$C$5:$AH$1004,4,))*$F421</f>
        <v>8956.8697091838894</v>
      </c>
      <c r="O421" s="14">
        <f t="shared" ref="O421:O432" si="182">(VLOOKUP($D421,$C$5:$AH$1004,13,)/VLOOKUP($D421,$C$5:$AH$1004,4,))*$F421</f>
        <v>8680.4970932533488</v>
      </c>
      <c r="P421" s="14">
        <f t="shared" ref="P421:P432" si="183">(VLOOKUP($D421,$C$5:$AH$1004,14,)/VLOOKUP($D421,$C$5:$AH$1004,4,))*$F421</f>
        <v>21335.053021730571</v>
      </c>
      <c r="Q421" s="14">
        <f t="shared" ref="Q421:Q432" si="184">(VLOOKUP($D421,$C$5:$AH$1004,15,)/VLOOKUP($D421,$C$5:$AH$1004,4,))*$F421</f>
        <v>19120.419380519896</v>
      </c>
      <c r="R421" s="14">
        <f t="shared" ref="R421:R432" si="185">(VLOOKUP($D421,$C$5:$AH$1004,16,)/VLOOKUP($D421,$C$5:$AH$1004,4,))*$F421</f>
        <v>49065.335038101366</v>
      </c>
      <c r="S421" s="14">
        <f t="shared" ref="S421:S432" si="186">(VLOOKUP($D421,$C$5:$AH$1004,17,)/VLOOKUP($D421,$C$5:$AH$1004,4,))*$F421</f>
        <v>0</v>
      </c>
      <c r="T421" s="14">
        <f t="shared" ref="T421:T432" si="187">(VLOOKUP($D421,$C$5:$AH$1004,18,)/VLOOKUP($D421,$C$5:$AH$1004,4,))*$F421</f>
        <v>0</v>
      </c>
      <c r="U421" s="14">
        <f>SUM(G421:T421)</f>
        <v>107158.17424278907</v>
      </c>
      <c r="V421" s="39" t="str">
        <f>IF(ABS(U421-F421)&lt;1,"ok","err")</f>
        <v>ok</v>
      </c>
    </row>
    <row r="422" spans="1:22" s="9" customFormat="1" x14ac:dyDescent="0.2">
      <c r="A422" s="13">
        <v>886</v>
      </c>
      <c r="B422" s="9" t="s">
        <v>450</v>
      </c>
      <c r="C422" s="4" t="s">
        <v>132</v>
      </c>
      <c r="D422" s="4" t="s">
        <v>38</v>
      </c>
      <c r="E422" s="4"/>
      <c r="F422" s="64">
        <v>33078</v>
      </c>
      <c r="G422" s="14">
        <f t="shared" si="174"/>
        <v>0</v>
      </c>
      <c r="H422" s="14">
        <f t="shared" si="175"/>
        <v>0</v>
      </c>
      <c r="I422" s="14">
        <f t="shared" si="176"/>
        <v>0</v>
      </c>
      <c r="J422" s="14">
        <f t="shared" si="177"/>
        <v>0</v>
      </c>
      <c r="K422" s="14">
        <f t="shared" si="178"/>
        <v>0</v>
      </c>
      <c r="L422" s="14">
        <f t="shared" si="179"/>
        <v>0</v>
      </c>
      <c r="M422" s="14">
        <f t="shared" si="180"/>
        <v>0</v>
      </c>
      <c r="N422" s="14">
        <f t="shared" si="181"/>
        <v>33078</v>
      </c>
      <c r="O422" s="14">
        <f t="shared" si="182"/>
        <v>0</v>
      </c>
      <c r="P422" s="14">
        <f t="shared" si="183"/>
        <v>0</v>
      </c>
      <c r="Q422" s="14">
        <f t="shared" si="184"/>
        <v>0</v>
      </c>
      <c r="R422" s="14">
        <f t="shared" si="185"/>
        <v>0</v>
      </c>
      <c r="S422" s="14">
        <f t="shared" si="186"/>
        <v>0</v>
      </c>
      <c r="T422" s="14">
        <f t="shared" si="187"/>
        <v>0</v>
      </c>
      <c r="U422" s="14">
        <f t="shared" ref="U422:U430" si="188">SUM(G422:T422)</f>
        <v>33078</v>
      </c>
      <c r="V422" s="39" t="str">
        <f t="shared" ref="V422:V430" si="189">IF(ABS(U422-F422)&lt;1,"ok","err")</f>
        <v>ok</v>
      </c>
    </row>
    <row r="423" spans="1:22" s="9" customFormat="1" x14ac:dyDescent="0.2">
      <c r="A423" s="13">
        <v>887</v>
      </c>
      <c r="B423" s="9" t="s">
        <v>451</v>
      </c>
      <c r="C423" s="4" t="s">
        <v>133</v>
      </c>
      <c r="D423" s="4" t="s">
        <v>40</v>
      </c>
      <c r="E423" s="4"/>
      <c r="F423" s="64">
        <v>-65395</v>
      </c>
      <c r="G423" s="14">
        <f t="shared" si="174"/>
        <v>0</v>
      </c>
      <c r="H423" s="14">
        <f t="shared" si="175"/>
        <v>0</v>
      </c>
      <c r="I423" s="14">
        <f t="shared" si="176"/>
        <v>0</v>
      </c>
      <c r="J423" s="14">
        <f t="shared" si="177"/>
        <v>0</v>
      </c>
      <c r="K423" s="14">
        <f t="shared" si="178"/>
        <v>0</v>
      </c>
      <c r="L423" s="14">
        <f t="shared" si="179"/>
        <v>0</v>
      </c>
      <c r="M423" s="14">
        <f t="shared" si="180"/>
        <v>0</v>
      </c>
      <c r="N423" s="14">
        <f t="shared" si="181"/>
        <v>0</v>
      </c>
      <c r="O423" s="14">
        <f t="shared" si="182"/>
        <v>-18912.234</v>
      </c>
      <c r="P423" s="14">
        <f t="shared" si="183"/>
        <v>-46482.765999999996</v>
      </c>
      <c r="Q423" s="14">
        <f t="shared" si="184"/>
        <v>0</v>
      </c>
      <c r="R423" s="14">
        <f t="shared" si="185"/>
        <v>0</v>
      </c>
      <c r="S423" s="14">
        <f t="shared" si="186"/>
        <v>0</v>
      </c>
      <c r="T423" s="14">
        <f t="shared" si="187"/>
        <v>0</v>
      </c>
      <c r="U423" s="14">
        <f t="shared" si="188"/>
        <v>-65395</v>
      </c>
      <c r="V423" s="39" t="str">
        <f t="shared" si="189"/>
        <v>ok</v>
      </c>
    </row>
    <row r="424" spans="1:22" s="9" customFormat="1" x14ac:dyDescent="0.2">
      <c r="A424" s="13">
        <v>888</v>
      </c>
      <c r="B424" s="9" t="s">
        <v>452</v>
      </c>
      <c r="C424" s="4" t="s">
        <v>134</v>
      </c>
      <c r="D424" s="4" t="s">
        <v>35</v>
      </c>
      <c r="E424" s="4"/>
      <c r="F424" s="64">
        <v>0</v>
      </c>
      <c r="G424" s="14">
        <f t="shared" si="174"/>
        <v>0</v>
      </c>
      <c r="H424" s="14">
        <f t="shared" si="175"/>
        <v>0</v>
      </c>
      <c r="I424" s="14">
        <f t="shared" si="176"/>
        <v>0</v>
      </c>
      <c r="J424" s="14">
        <f t="shared" si="177"/>
        <v>0</v>
      </c>
      <c r="K424" s="14">
        <f t="shared" si="178"/>
        <v>0</v>
      </c>
      <c r="L424" s="14">
        <f t="shared" si="179"/>
        <v>0</v>
      </c>
      <c r="M424" s="14">
        <f t="shared" si="180"/>
        <v>0</v>
      </c>
      <c r="N424" s="14">
        <f t="shared" si="181"/>
        <v>0</v>
      </c>
      <c r="O424" s="14">
        <f t="shared" si="182"/>
        <v>0</v>
      </c>
      <c r="P424" s="14">
        <f t="shared" si="183"/>
        <v>0</v>
      </c>
      <c r="Q424" s="14">
        <f t="shared" si="184"/>
        <v>0</v>
      </c>
      <c r="R424" s="14">
        <f t="shared" si="185"/>
        <v>0</v>
      </c>
      <c r="S424" s="14">
        <f t="shared" si="186"/>
        <v>0</v>
      </c>
      <c r="T424" s="14">
        <f t="shared" si="187"/>
        <v>0</v>
      </c>
      <c r="U424" s="14">
        <f t="shared" si="188"/>
        <v>0</v>
      </c>
      <c r="V424" s="39" t="str">
        <f t="shared" si="189"/>
        <v>ok</v>
      </c>
    </row>
    <row r="425" spans="1:22" s="9" customFormat="1" x14ac:dyDescent="0.2">
      <c r="A425" s="13">
        <v>889</v>
      </c>
      <c r="B425" s="9" t="s">
        <v>453</v>
      </c>
      <c r="C425" s="4" t="s">
        <v>135</v>
      </c>
      <c r="D425" s="4" t="s">
        <v>38</v>
      </c>
      <c r="E425" s="4"/>
      <c r="F425" s="64">
        <v>5</v>
      </c>
      <c r="G425" s="14">
        <f t="shared" si="174"/>
        <v>0</v>
      </c>
      <c r="H425" s="14">
        <f t="shared" si="175"/>
        <v>0</v>
      </c>
      <c r="I425" s="14">
        <f t="shared" si="176"/>
        <v>0</v>
      </c>
      <c r="J425" s="14">
        <f t="shared" si="177"/>
        <v>0</v>
      </c>
      <c r="K425" s="14">
        <f t="shared" si="178"/>
        <v>0</v>
      </c>
      <c r="L425" s="14">
        <f t="shared" si="179"/>
        <v>0</v>
      </c>
      <c r="M425" s="14">
        <f t="shared" si="180"/>
        <v>0</v>
      </c>
      <c r="N425" s="14">
        <f t="shared" si="181"/>
        <v>5</v>
      </c>
      <c r="O425" s="14">
        <f t="shared" si="182"/>
        <v>0</v>
      </c>
      <c r="P425" s="14">
        <f t="shared" si="183"/>
        <v>0</v>
      </c>
      <c r="Q425" s="14">
        <f t="shared" si="184"/>
        <v>0</v>
      </c>
      <c r="R425" s="14">
        <f t="shared" si="185"/>
        <v>0</v>
      </c>
      <c r="S425" s="14">
        <f t="shared" si="186"/>
        <v>0</v>
      </c>
      <c r="T425" s="14">
        <f t="shared" si="187"/>
        <v>0</v>
      </c>
      <c r="U425" s="14">
        <f t="shared" si="188"/>
        <v>5</v>
      </c>
      <c r="V425" s="39" t="str">
        <f t="shared" si="189"/>
        <v>ok</v>
      </c>
    </row>
    <row r="426" spans="1:22" s="9" customFormat="1" x14ac:dyDescent="0.2">
      <c r="A426" s="13">
        <v>890</v>
      </c>
      <c r="B426" s="9" t="s">
        <v>454</v>
      </c>
      <c r="C426" s="4" t="s">
        <v>136</v>
      </c>
      <c r="D426" s="4" t="s">
        <v>45</v>
      </c>
      <c r="E426" s="4"/>
      <c r="F426" s="64">
        <v>0</v>
      </c>
      <c r="G426" s="14">
        <f t="shared" si="174"/>
        <v>0</v>
      </c>
      <c r="H426" s="14">
        <f t="shared" si="175"/>
        <v>0</v>
      </c>
      <c r="I426" s="14">
        <f t="shared" si="176"/>
        <v>0</v>
      </c>
      <c r="J426" s="14">
        <f t="shared" si="177"/>
        <v>0</v>
      </c>
      <c r="K426" s="14">
        <f t="shared" si="178"/>
        <v>0</v>
      </c>
      <c r="L426" s="14">
        <f t="shared" si="179"/>
        <v>0</v>
      </c>
      <c r="M426" s="14">
        <f t="shared" si="180"/>
        <v>0</v>
      </c>
      <c r="N426" s="14">
        <f t="shared" si="181"/>
        <v>0</v>
      </c>
      <c r="O426" s="14">
        <f t="shared" si="182"/>
        <v>0</v>
      </c>
      <c r="P426" s="14">
        <f t="shared" si="183"/>
        <v>0</v>
      </c>
      <c r="Q426" s="14">
        <f t="shared" si="184"/>
        <v>0</v>
      </c>
      <c r="R426" s="14">
        <f t="shared" si="185"/>
        <v>0</v>
      </c>
      <c r="S426" s="14">
        <f t="shared" si="186"/>
        <v>0</v>
      </c>
      <c r="T426" s="14">
        <f t="shared" si="187"/>
        <v>0</v>
      </c>
      <c r="U426" s="14">
        <f t="shared" si="188"/>
        <v>0</v>
      </c>
      <c r="V426" s="39" t="str">
        <f t="shared" si="189"/>
        <v>ok</v>
      </c>
    </row>
    <row r="427" spans="1:22" s="9" customFormat="1" x14ac:dyDescent="0.2">
      <c r="A427" s="13">
        <v>891</v>
      </c>
      <c r="B427" s="9" t="s">
        <v>455</v>
      </c>
      <c r="C427" s="4" t="s">
        <v>137</v>
      </c>
      <c r="D427" s="4" t="s">
        <v>38</v>
      </c>
      <c r="E427" s="4"/>
      <c r="F427" s="64">
        <v>0</v>
      </c>
      <c r="G427" s="14">
        <f t="shared" si="174"/>
        <v>0</v>
      </c>
      <c r="H427" s="14">
        <f t="shared" si="175"/>
        <v>0</v>
      </c>
      <c r="I427" s="14">
        <f t="shared" si="176"/>
        <v>0</v>
      </c>
      <c r="J427" s="14">
        <f t="shared" si="177"/>
        <v>0</v>
      </c>
      <c r="K427" s="14">
        <f t="shared" si="178"/>
        <v>0</v>
      </c>
      <c r="L427" s="14">
        <f t="shared" si="179"/>
        <v>0</v>
      </c>
      <c r="M427" s="14">
        <f t="shared" si="180"/>
        <v>0</v>
      </c>
      <c r="N427" s="14">
        <f t="shared" si="181"/>
        <v>0</v>
      </c>
      <c r="O427" s="14">
        <f t="shared" si="182"/>
        <v>0</v>
      </c>
      <c r="P427" s="14">
        <f t="shared" si="183"/>
        <v>0</v>
      </c>
      <c r="Q427" s="14">
        <f t="shared" si="184"/>
        <v>0</v>
      </c>
      <c r="R427" s="14">
        <f t="shared" si="185"/>
        <v>0</v>
      </c>
      <c r="S427" s="14">
        <f t="shared" si="186"/>
        <v>0</v>
      </c>
      <c r="T427" s="14">
        <f t="shared" si="187"/>
        <v>0</v>
      </c>
      <c r="U427" s="14">
        <f t="shared" si="188"/>
        <v>0</v>
      </c>
      <c r="V427" s="39" t="str">
        <f t="shared" si="189"/>
        <v>ok</v>
      </c>
    </row>
    <row r="428" spans="1:22" s="9" customFormat="1" x14ac:dyDescent="0.2">
      <c r="A428" s="13">
        <v>892</v>
      </c>
      <c r="B428" s="9" t="s">
        <v>456</v>
      </c>
      <c r="C428" s="4" t="s">
        <v>138</v>
      </c>
      <c r="D428" s="4" t="s">
        <v>42</v>
      </c>
      <c r="E428" s="4"/>
      <c r="F428" s="64">
        <v>50454</v>
      </c>
      <c r="G428" s="14">
        <f t="shared" si="174"/>
        <v>0</v>
      </c>
      <c r="H428" s="14">
        <f t="shared" si="175"/>
        <v>0</v>
      </c>
      <c r="I428" s="14">
        <f t="shared" si="176"/>
        <v>0</v>
      </c>
      <c r="J428" s="14">
        <f t="shared" si="177"/>
        <v>0</v>
      </c>
      <c r="K428" s="14">
        <f t="shared" si="178"/>
        <v>0</v>
      </c>
      <c r="L428" s="14">
        <f t="shared" si="179"/>
        <v>0</v>
      </c>
      <c r="M428" s="14">
        <f t="shared" si="180"/>
        <v>0</v>
      </c>
      <c r="N428" s="14">
        <f t="shared" si="181"/>
        <v>0</v>
      </c>
      <c r="O428" s="14">
        <f t="shared" si="182"/>
        <v>0</v>
      </c>
      <c r="P428" s="14">
        <f t="shared" si="183"/>
        <v>0</v>
      </c>
      <c r="Q428" s="14">
        <f t="shared" si="184"/>
        <v>50454</v>
      </c>
      <c r="R428" s="14">
        <f t="shared" si="185"/>
        <v>0</v>
      </c>
      <c r="S428" s="14">
        <f t="shared" si="186"/>
        <v>0</v>
      </c>
      <c r="T428" s="14">
        <f t="shared" si="187"/>
        <v>0</v>
      </c>
      <c r="U428" s="14">
        <f t="shared" si="188"/>
        <v>50454</v>
      </c>
      <c r="V428" s="39" t="str">
        <f t="shared" si="189"/>
        <v>ok</v>
      </c>
    </row>
    <row r="429" spans="1:22" s="9" customFormat="1" x14ac:dyDescent="0.2">
      <c r="A429" s="13">
        <v>893</v>
      </c>
      <c r="B429" s="9" t="s">
        <v>457</v>
      </c>
      <c r="C429" s="4" t="s">
        <v>139</v>
      </c>
      <c r="D429" s="4" t="s">
        <v>45</v>
      </c>
      <c r="E429" s="4"/>
      <c r="F429" s="64">
        <v>177602</v>
      </c>
      <c r="G429" s="14">
        <f t="shared" si="174"/>
        <v>0</v>
      </c>
      <c r="H429" s="14">
        <f t="shared" si="175"/>
        <v>0</v>
      </c>
      <c r="I429" s="14">
        <f t="shared" si="176"/>
        <v>0</v>
      </c>
      <c r="J429" s="14">
        <f t="shared" si="177"/>
        <v>0</v>
      </c>
      <c r="K429" s="14">
        <f t="shared" si="178"/>
        <v>0</v>
      </c>
      <c r="L429" s="14">
        <f t="shared" si="179"/>
        <v>0</v>
      </c>
      <c r="M429" s="14">
        <f t="shared" si="180"/>
        <v>0</v>
      </c>
      <c r="N429" s="14">
        <f t="shared" si="181"/>
        <v>0</v>
      </c>
      <c r="O429" s="14">
        <f t="shared" si="182"/>
        <v>0</v>
      </c>
      <c r="P429" s="14">
        <f t="shared" si="183"/>
        <v>0</v>
      </c>
      <c r="Q429" s="14">
        <f t="shared" si="184"/>
        <v>0</v>
      </c>
      <c r="R429" s="14">
        <f t="shared" si="185"/>
        <v>177602</v>
      </c>
      <c r="S429" s="14">
        <f t="shared" si="186"/>
        <v>0</v>
      </c>
      <c r="T429" s="14">
        <f t="shared" si="187"/>
        <v>0</v>
      </c>
      <c r="U429" s="14">
        <f t="shared" si="188"/>
        <v>177602</v>
      </c>
      <c r="V429" s="39" t="str">
        <f t="shared" si="189"/>
        <v>ok</v>
      </c>
    </row>
    <row r="430" spans="1:22" s="9" customFormat="1" x14ac:dyDescent="0.2">
      <c r="A430" s="13">
        <v>894</v>
      </c>
      <c r="B430" s="9" t="s">
        <v>458</v>
      </c>
      <c r="C430" s="4" t="s">
        <v>140</v>
      </c>
      <c r="D430" s="4" t="s">
        <v>203</v>
      </c>
      <c r="E430" s="4"/>
      <c r="F430" s="64">
        <v>188033</v>
      </c>
      <c r="G430" s="14">
        <f t="shared" si="174"/>
        <v>0</v>
      </c>
      <c r="H430" s="14">
        <f t="shared" si="175"/>
        <v>0</v>
      </c>
      <c r="I430" s="14">
        <f t="shared" si="176"/>
        <v>0</v>
      </c>
      <c r="J430" s="14">
        <f t="shared" si="177"/>
        <v>0</v>
      </c>
      <c r="K430" s="14">
        <f t="shared" si="178"/>
        <v>0</v>
      </c>
      <c r="L430" s="14">
        <f t="shared" si="179"/>
        <v>0</v>
      </c>
      <c r="M430" s="14">
        <f t="shared" si="180"/>
        <v>0</v>
      </c>
      <c r="N430" s="14">
        <f t="shared" si="181"/>
        <v>4461.2667761230041</v>
      </c>
      <c r="O430" s="14">
        <f t="shared" si="182"/>
        <v>36385.803210277903</v>
      </c>
      <c r="P430" s="14">
        <f t="shared" si="183"/>
        <v>89429.560587363536</v>
      </c>
      <c r="Q430" s="14">
        <f t="shared" si="184"/>
        <v>29692.541079807663</v>
      </c>
      <c r="R430" s="14">
        <f t="shared" si="185"/>
        <v>28063.828346427883</v>
      </c>
      <c r="S430" s="14">
        <f t="shared" si="186"/>
        <v>0</v>
      </c>
      <c r="T430" s="14">
        <f t="shared" si="187"/>
        <v>0</v>
      </c>
      <c r="U430" s="14">
        <f t="shared" si="188"/>
        <v>188033</v>
      </c>
      <c r="V430" s="39" t="str">
        <f t="shared" si="189"/>
        <v>ok</v>
      </c>
    </row>
    <row r="431" spans="1:22" s="9" customFormat="1" x14ac:dyDescent="0.2">
      <c r="A431" s="13">
        <v>898</v>
      </c>
      <c r="B431" s="9" t="s">
        <v>689</v>
      </c>
      <c r="C431" s="4" t="s">
        <v>690</v>
      </c>
      <c r="D431" s="4" t="s">
        <v>203</v>
      </c>
      <c r="E431" s="4"/>
      <c r="F431" s="64">
        <v>0</v>
      </c>
      <c r="G431" s="14">
        <f t="shared" si="174"/>
        <v>0</v>
      </c>
      <c r="H431" s="14">
        <f t="shared" si="175"/>
        <v>0</v>
      </c>
      <c r="I431" s="14">
        <f t="shared" si="176"/>
        <v>0</v>
      </c>
      <c r="J431" s="14">
        <f t="shared" si="177"/>
        <v>0</v>
      </c>
      <c r="K431" s="14">
        <f t="shared" si="178"/>
        <v>0</v>
      </c>
      <c r="L431" s="14">
        <f t="shared" si="179"/>
        <v>0</v>
      </c>
      <c r="M431" s="14">
        <f t="shared" si="180"/>
        <v>0</v>
      </c>
      <c r="N431" s="14">
        <f t="shared" si="181"/>
        <v>0</v>
      </c>
      <c r="O431" s="14">
        <f t="shared" si="182"/>
        <v>0</v>
      </c>
      <c r="P431" s="14">
        <f t="shared" si="183"/>
        <v>0</v>
      </c>
      <c r="Q431" s="14">
        <f t="shared" si="184"/>
        <v>0</v>
      </c>
      <c r="R431" s="14">
        <f t="shared" si="185"/>
        <v>0</v>
      </c>
      <c r="S431" s="14">
        <f t="shared" si="186"/>
        <v>0</v>
      </c>
      <c r="T431" s="14">
        <f t="shared" si="187"/>
        <v>0</v>
      </c>
      <c r="U431" s="14">
        <f>SUM(G431:T431)</f>
        <v>0</v>
      </c>
      <c r="V431" s="39" t="str">
        <f>IF(ABS(U431-F431)&lt;1,"ok","err")</f>
        <v>ok</v>
      </c>
    </row>
    <row r="432" spans="1:22" s="9" customFormat="1" x14ac:dyDescent="0.2">
      <c r="A432" s="13">
        <v>900</v>
      </c>
      <c r="B432" s="9" t="s">
        <v>691</v>
      </c>
      <c r="C432" s="4" t="s">
        <v>692</v>
      </c>
      <c r="D432" s="31" t="s">
        <v>694</v>
      </c>
      <c r="E432" s="4"/>
      <c r="F432" s="64">
        <v>0</v>
      </c>
      <c r="G432" s="14">
        <f t="shared" si="174"/>
        <v>0</v>
      </c>
      <c r="H432" s="14">
        <f t="shared" si="175"/>
        <v>0</v>
      </c>
      <c r="I432" s="14">
        <f t="shared" si="176"/>
        <v>0</v>
      </c>
      <c r="J432" s="14">
        <f t="shared" si="177"/>
        <v>0</v>
      </c>
      <c r="K432" s="14">
        <f t="shared" si="178"/>
        <v>0</v>
      </c>
      <c r="L432" s="14">
        <f t="shared" si="179"/>
        <v>0</v>
      </c>
      <c r="M432" s="14">
        <f t="shared" si="180"/>
        <v>0</v>
      </c>
      <c r="N432" s="14">
        <f t="shared" si="181"/>
        <v>0</v>
      </c>
      <c r="O432" s="14">
        <f t="shared" si="182"/>
        <v>0</v>
      </c>
      <c r="P432" s="14">
        <f t="shared" si="183"/>
        <v>0</v>
      </c>
      <c r="Q432" s="14">
        <f t="shared" si="184"/>
        <v>0</v>
      </c>
      <c r="R432" s="14">
        <f t="shared" si="185"/>
        <v>0</v>
      </c>
      <c r="S432" s="14">
        <f t="shared" si="186"/>
        <v>0</v>
      </c>
      <c r="T432" s="14">
        <f t="shared" si="187"/>
        <v>0</v>
      </c>
      <c r="U432" s="14">
        <f>SUM(G432:T432)</f>
        <v>0</v>
      </c>
      <c r="V432" s="39" t="str">
        <f>IF(ABS(U432-F432)&lt;1,"ok","err")</f>
        <v>ok</v>
      </c>
    </row>
    <row r="433" spans="1:22" s="9" customFormat="1" x14ac:dyDescent="0.2">
      <c r="A433" s="19"/>
      <c r="C433" s="4"/>
      <c r="D433" s="4"/>
      <c r="E433" s="4"/>
      <c r="F433" s="65"/>
    </row>
    <row r="434" spans="1:22" s="9" customFormat="1" x14ac:dyDescent="0.2">
      <c r="A434" s="13" t="s">
        <v>469</v>
      </c>
      <c r="C434" s="4" t="s">
        <v>568</v>
      </c>
      <c r="D434" s="4"/>
      <c r="E434" s="4"/>
      <c r="F434" s="65">
        <f>SUM(F421:F432)</f>
        <v>490935.17424278904</v>
      </c>
      <c r="G434" s="12">
        <f t="shared" ref="G434:U434" si="190">SUM(G421:G432)</f>
        <v>0</v>
      </c>
      <c r="H434" s="12">
        <f t="shared" si="190"/>
        <v>0</v>
      </c>
      <c r="I434" s="12">
        <f t="shared" si="190"/>
        <v>0</v>
      </c>
      <c r="J434" s="12">
        <f t="shared" si="190"/>
        <v>0</v>
      </c>
      <c r="K434" s="12">
        <f t="shared" si="190"/>
        <v>0</v>
      </c>
      <c r="L434" s="12">
        <f t="shared" si="190"/>
        <v>0</v>
      </c>
      <c r="M434" s="12">
        <f t="shared" si="190"/>
        <v>0</v>
      </c>
      <c r="N434" s="12">
        <f t="shared" si="190"/>
        <v>46501.136485306895</v>
      </c>
      <c r="O434" s="12">
        <f t="shared" si="190"/>
        <v>26154.066303531254</v>
      </c>
      <c r="P434" s="12">
        <f t="shared" si="190"/>
        <v>64281.847609094111</v>
      </c>
      <c r="Q434" s="12">
        <f t="shared" si="190"/>
        <v>99266.960460327551</v>
      </c>
      <c r="R434" s="12">
        <f t="shared" si="190"/>
        <v>254731.16338452924</v>
      </c>
      <c r="S434" s="12">
        <f t="shared" si="190"/>
        <v>0</v>
      </c>
      <c r="T434" s="12">
        <f t="shared" si="190"/>
        <v>0</v>
      </c>
      <c r="U434" s="12">
        <f t="shared" si="190"/>
        <v>490935.17424278904</v>
      </c>
      <c r="V434" s="39" t="str">
        <f>IF(ABS(U434-F434)&lt;1,"ok","err")</f>
        <v>ok</v>
      </c>
    </row>
    <row r="435" spans="1:22" s="9" customFormat="1" x14ac:dyDescent="0.2">
      <c r="A435" s="13"/>
      <c r="C435" s="4"/>
      <c r="D435" s="4"/>
      <c r="E435" s="4"/>
      <c r="F435" s="65"/>
      <c r="G435" s="4"/>
      <c r="H435" s="4"/>
      <c r="I435" s="4"/>
      <c r="J435" s="4"/>
      <c r="K435" s="4"/>
      <c r="L435" s="4"/>
      <c r="M435" s="4"/>
      <c r="N435" s="4"/>
    </row>
    <row r="436" spans="1:22" s="9" customFormat="1" x14ac:dyDescent="0.2">
      <c r="A436" s="13" t="s">
        <v>594</v>
      </c>
      <c r="C436" s="4" t="s">
        <v>589</v>
      </c>
      <c r="D436" s="4"/>
      <c r="E436" s="4"/>
      <c r="F436" s="59">
        <f>F330+F377+F403+F434</f>
        <v>6315787.5181917697</v>
      </c>
      <c r="G436" s="15">
        <f t="shared" ref="G436:U436" si="191">G330+G377+G403+G434</f>
        <v>0</v>
      </c>
      <c r="H436" s="15">
        <f t="shared" si="191"/>
        <v>0</v>
      </c>
      <c r="I436" s="15">
        <f t="shared" si="191"/>
        <v>0</v>
      </c>
      <c r="J436" s="15">
        <f t="shared" si="191"/>
        <v>0</v>
      </c>
      <c r="K436" s="15">
        <f t="shared" si="191"/>
        <v>3672419.9326086398</v>
      </c>
      <c r="L436" s="15">
        <f t="shared" si="191"/>
        <v>38105.001376240827</v>
      </c>
      <c r="M436" s="15">
        <f t="shared" si="191"/>
        <v>394373.70244088955</v>
      </c>
      <c r="N436" s="15">
        <f t="shared" si="191"/>
        <v>56211.13950469932</v>
      </c>
      <c r="O436" s="15">
        <f t="shared" si="191"/>
        <v>343239.33111563895</v>
      </c>
      <c r="P436" s="15">
        <f t="shared" si="191"/>
        <v>843618.66029390099</v>
      </c>
      <c r="Q436" s="15">
        <f t="shared" si="191"/>
        <v>358023.57486909576</v>
      </c>
      <c r="R436" s="15">
        <f t="shared" si="191"/>
        <v>609796.17598266504</v>
      </c>
      <c r="S436" s="15">
        <f t="shared" si="191"/>
        <v>0</v>
      </c>
      <c r="T436" s="15">
        <f t="shared" si="191"/>
        <v>0</v>
      </c>
      <c r="U436" s="15">
        <f t="shared" si="191"/>
        <v>6315787.5181917697</v>
      </c>
    </row>
    <row r="437" spans="1:22" s="9" customFormat="1" x14ac:dyDescent="0.2">
      <c r="A437" s="13"/>
      <c r="C437" s="4"/>
      <c r="D437" s="4"/>
      <c r="E437" s="4"/>
      <c r="F437" s="59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4"/>
      <c r="V437" s="39"/>
    </row>
    <row r="438" spans="1:22" s="9" customFormat="1" x14ac:dyDescent="0.2">
      <c r="A438" s="13"/>
      <c r="C438" s="4"/>
      <c r="D438" s="4"/>
      <c r="E438" s="4"/>
      <c r="F438" s="59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4"/>
      <c r="V438" s="39"/>
    </row>
    <row r="439" spans="1:22" s="9" customFormat="1" x14ac:dyDescent="0.2">
      <c r="A439" s="10" t="s">
        <v>470</v>
      </c>
      <c r="C439" s="4"/>
      <c r="D439" s="4"/>
      <c r="E439" s="4"/>
      <c r="F439" s="64"/>
      <c r="G439" s="4"/>
      <c r="H439" s="4"/>
      <c r="I439" s="4"/>
      <c r="J439" s="4"/>
      <c r="K439" s="4"/>
      <c r="L439" s="4"/>
      <c r="M439" s="4"/>
      <c r="N439" s="4"/>
    </row>
    <row r="440" spans="1:22" s="9" customFormat="1" x14ac:dyDescent="0.2">
      <c r="A440" s="13">
        <v>901</v>
      </c>
      <c r="B440" s="9" t="s">
        <v>141</v>
      </c>
      <c r="C440" s="4" t="s">
        <v>142</v>
      </c>
      <c r="D440" s="4" t="s">
        <v>48</v>
      </c>
      <c r="E440" s="4"/>
      <c r="F440" s="59">
        <v>0</v>
      </c>
      <c r="G440" s="14">
        <f>(VLOOKUP($D440,$C$5:$AH$1004,5,)/VLOOKUP($D440,$C$5:$AH$1004,4,))*$F440</f>
        <v>0</v>
      </c>
      <c r="H440" s="14">
        <f>(VLOOKUP($D440,$C$5:$AH$1004,6,)/VLOOKUP($D440,$C$5:$AH$1004,4,))*$F440</f>
        <v>0</v>
      </c>
      <c r="I440" s="14">
        <f>(VLOOKUP($D440,$C$5:$AH$1004,7,)/VLOOKUP($D440,$C$5:$AH$1004,4,))*$F440</f>
        <v>0</v>
      </c>
      <c r="J440" s="14">
        <f>(VLOOKUP($D440,$C$5:$AH$1004,8,)/VLOOKUP($D440,$C$5:$AH$1004,4,))*$F440</f>
        <v>0</v>
      </c>
      <c r="K440" s="14">
        <f>(VLOOKUP($D440,$C$5:$AH$1004,9,)/VLOOKUP($D440,$C$5:$AH$1004,4,))*$F440</f>
        <v>0</v>
      </c>
      <c r="L440" s="14">
        <f>(VLOOKUP($D440,$C$5:$AH$1004,10,)/VLOOKUP($D440,$C$5:$AH$1004,4,))*$F440</f>
        <v>0</v>
      </c>
      <c r="M440" s="14">
        <f>(VLOOKUP($D440,$C$5:$AH$1004,11,)/VLOOKUP($D440,$C$5:$AH$1004,4,))*$F440</f>
        <v>0</v>
      </c>
      <c r="N440" s="14">
        <f>(VLOOKUP($D440,$C$5:$AH$1004,12,)/VLOOKUP($D440,$C$5:$AH$1004,4,))*$F440</f>
        <v>0</v>
      </c>
      <c r="O440" s="14">
        <f>(VLOOKUP($D440,$C$5:$AH$1004,13,)/VLOOKUP($D440,$C$5:$AH$1004,4,))*$F440</f>
        <v>0</v>
      </c>
      <c r="P440" s="14">
        <f>(VLOOKUP($D440,$C$5:$AH$1004,14,)/VLOOKUP($D440,$C$5:$AH$1004,4,))*$F440</f>
        <v>0</v>
      </c>
      <c r="Q440" s="14">
        <f>(VLOOKUP($D440,$C$5:$AH$1004,15,)/VLOOKUP($D440,$C$5:$AH$1004,4,))*$F440</f>
        <v>0</v>
      </c>
      <c r="R440" s="14">
        <f>(VLOOKUP($D440,$C$5:$AH$1004,16,)/VLOOKUP($D440,$C$5:$AH$1004,4,))*$F440</f>
        <v>0</v>
      </c>
      <c r="S440" s="14">
        <f>(VLOOKUP($D440,$C$5:$AH$1004,17,)/VLOOKUP($D440,$C$5:$AH$1004,4,))*$F440</f>
        <v>0</v>
      </c>
      <c r="T440" s="14">
        <f>(VLOOKUP($D440,$C$5:$AH$1004,18,)/VLOOKUP($D440,$C$5:$AH$1004,4,))*$F440</f>
        <v>0</v>
      </c>
      <c r="U440" s="14">
        <f>SUM(G440:T440)</f>
        <v>0</v>
      </c>
      <c r="V440" s="39" t="str">
        <f>IF(ABS(U440-F440)&lt;1,"ok","err")</f>
        <v>ok</v>
      </c>
    </row>
    <row r="441" spans="1:22" s="9" customFormat="1" x14ac:dyDescent="0.2">
      <c r="A441" s="13">
        <v>902</v>
      </c>
      <c r="B441" s="9" t="s">
        <v>143</v>
      </c>
      <c r="C441" s="4" t="s">
        <v>144</v>
      </c>
      <c r="D441" s="4" t="s">
        <v>48</v>
      </c>
      <c r="E441" s="4"/>
      <c r="F441" s="64">
        <v>410092</v>
      </c>
      <c r="G441" s="14">
        <f>(VLOOKUP($D441,$C$5:$AH$1004,5,)/VLOOKUP($D441,$C$5:$AH$1004,4,))*$F441</f>
        <v>0</v>
      </c>
      <c r="H441" s="14">
        <f>(VLOOKUP($D441,$C$5:$AH$1004,6,)/VLOOKUP($D441,$C$5:$AH$1004,4,))*$F441</f>
        <v>0</v>
      </c>
      <c r="I441" s="14">
        <f>(VLOOKUP($D441,$C$5:$AH$1004,7,)/VLOOKUP($D441,$C$5:$AH$1004,4,))*$F441</f>
        <v>0</v>
      </c>
      <c r="J441" s="14">
        <f>(VLOOKUP($D441,$C$5:$AH$1004,8,)/VLOOKUP($D441,$C$5:$AH$1004,4,))*$F441</f>
        <v>0</v>
      </c>
      <c r="K441" s="14">
        <f>(VLOOKUP($D441,$C$5:$AH$1004,9,)/VLOOKUP($D441,$C$5:$AH$1004,4,))*$F441</f>
        <v>0</v>
      </c>
      <c r="L441" s="14">
        <f>(VLOOKUP($D441,$C$5:$AH$1004,10,)/VLOOKUP($D441,$C$5:$AH$1004,4,))*$F441</f>
        <v>0</v>
      </c>
      <c r="M441" s="14">
        <f>(VLOOKUP($D441,$C$5:$AH$1004,11,)/VLOOKUP($D441,$C$5:$AH$1004,4,))*$F441</f>
        <v>0</v>
      </c>
      <c r="N441" s="14">
        <f>(VLOOKUP($D441,$C$5:$AH$1004,12,)/VLOOKUP($D441,$C$5:$AH$1004,4,))*$F441</f>
        <v>0</v>
      </c>
      <c r="O441" s="14">
        <f>(VLOOKUP($D441,$C$5:$AH$1004,13,)/VLOOKUP($D441,$C$5:$AH$1004,4,))*$F441</f>
        <v>0</v>
      </c>
      <c r="P441" s="14">
        <f>(VLOOKUP($D441,$C$5:$AH$1004,14,)/VLOOKUP($D441,$C$5:$AH$1004,4,))*$F441</f>
        <v>0</v>
      </c>
      <c r="Q441" s="14">
        <f>(VLOOKUP($D441,$C$5:$AH$1004,15,)/VLOOKUP($D441,$C$5:$AH$1004,4,))*$F441</f>
        <v>0</v>
      </c>
      <c r="R441" s="14">
        <f>(VLOOKUP($D441,$C$5:$AH$1004,16,)/VLOOKUP($D441,$C$5:$AH$1004,4,))*$F441</f>
        <v>0</v>
      </c>
      <c r="S441" s="14">
        <f>(VLOOKUP($D441,$C$5:$AH$1004,17,)/VLOOKUP($D441,$C$5:$AH$1004,4,))*$F441</f>
        <v>410092</v>
      </c>
      <c r="T441" s="14">
        <f>(VLOOKUP($D441,$C$5:$AH$1004,18,)/VLOOKUP($D441,$C$5:$AH$1004,4,))*$F441</f>
        <v>0</v>
      </c>
      <c r="U441" s="14">
        <f>SUM(G441:T441)</f>
        <v>410092</v>
      </c>
      <c r="V441" s="39" t="str">
        <f>IF(ABS(U441-F441)&lt;1,"ok","err")</f>
        <v>ok</v>
      </c>
    </row>
    <row r="442" spans="1:22" s="9" customFormat="1" x14ac:dyDescent="0.2">
      <c r="A442" s="13">
        <v>903</v>
      </c>
      <c r="B442" s="9" t="s">
        <v>439</v>
      </c>
      <c r="C442" s="4" t="s">
        <v>145</v>
      </c>
      <c r="D442" s="4" t="s">
        <v>48</v>
      </c>
      <c r="E442" s="4"/>
      <c r="F442" s="59">
        <v>896661.14897515823</v>
      </c>
      <c r="G442" s="14">
        <f>(VLOOKUP($D442,$C$5:$AH$1004,5,)/VLOOKUP($D442,$C$5:$AH$1004,4,))*$F442</f>
        <v>0</v>
      </c>
      <c r="H442" s="14">
        <f>(VLOOKUP($D442,$C$5:$AH$1004,6,)/VLOOKUP($D442,$C$5:$AH$1004,4,))*$F442</f>
        <v>0</v>
      </c>
      <c r="I442" s="14">
        <f>(VLOOKUP($D442,$C$5:$AH$1004,7,)/VLOOKUP($D442,$C$5:$AH$1004,4,))*$F442</f>
        <v>0</v>
      </c>
      <c r="J442" s="14">
        <f>(VLOOKUP($D442,$C$5:$AH$1004,8,)/VLOOKUP($D442,$C$5:$AH$1004,4,))*$F442</f>
        <v>0</v>
      </c>
      <c r="K442" s="14">
        <f>(VLOOKUP($D442,$C$5:$AH$1004,9,)/VLOOKUP($D442,$C$5:$AH$1004,4,))*$F442</f>
        <v>0</v>
      </c>
      <c r="L442" s="14">
        <f>(VLOOKUP($D442,$C$5:$AH$1004,10,)/VLOOKUP($D442,$C$5:$AH$1004,4,))*$F442</f>
        <v>0</v>
      </c>
      <c r="M442" s="14">
        <f>(VLOOKUP($D442,$C$5:$AH$1004,11,)/VLOOKUP($D442,$C$5:$AH$1004,4,))*$F442</f>
        <v>0</v>
      </c>
      <c r="N442" s="14">
        <f>(VLOOKUP($D442,$C$5:$AH$1004,12,)/VLOOKUP($D442,$C$5:$AH$1004,4,))*$F442</f>
        <v>0</v>
      </c>
      <c r="O442" s="14">
        <f>(VLOOKUP($D442,$C$5:$AH$1004,13,)/VLOOKUP($D442,$C$5:$AH$1004,4,))*$F442</f>
        <v>0</v>
      </c>
      <c r="P442" s="14">
        <f>(VLOOKUP($D442,$C$5:$AH$1004,14,)/VLOOKUP($D442,$C$5:$AH$1004,4,))*$F442</f>
        <v>0</v>
      </c>
      <c r="Q442" s="14">
        <f>(VLOOKUP($D442,$C$5:$AH$1004,15,)/VLOOKUP($D442,$C$5:$AH$1004,4,))*$F442</f>
        <v>0</v>
      </c>
      <c r="R442" s="14">
        <f>(VLOOKUP($D442,$C$5:$AH$1004,16,)/VLOOKUP($D442,$C$5:$AH$1004,4,))*$F442</f>
        <v>0</v>
      </c>
      <c r="S442" s="14">
        <f>(VLOOKUP($D442,$C$5:$AH$1004,17,)/VLOOKUP($D442,$C$5:$AH$1004,4,))*$F442</f>
        <v>896661.14897515823</v>
      </c>
      <c r="T442" s="14">
        <f>(VLOOKUP($D442,$C$5:$AH$1004,18,)/VLOOKUP($D442,$C$5:$AH$1004,4,))*$F442</f>
        <v>0</v>
      </c>
      <c r="U442" s="14">
        <f>SUM(G442:T442)</f>
        <v>896661.14897515823</v>
      </c>
      <c r="V442" s="39" t="str">
        <f>IF(ABS(U442-F442)&lt;1,"ok","err")</f>
        <v>ok</v>
      </c>
    </row>
    <row r="443" spans="1:22" s="9" customFormat="1" x14ac:dyDescent="0.2">
      <c r="A443" s="13">
        <v>904</v>
      </c>
      <c r="B443" s="9" t="s">
        <v>146</v>
      </c>
      <c r="C443" s="4" t="s">
        <v>147</v>
      </c>
      <c r="D443" s="4" t="s">
        <v>48</v>
      </c>
      <c r="E443" s="4"/>
      <c r="F443" s="64">
        <v>161710</v>
      </c>
      <c r="G443" s="14">
        <f>(VLOOKUP($D443,$C$5:$AH$1004,5,)/VLOOKUP($D443,$C$5:$AH$1004,4,))*$F443</f>
        <v>0</v>
      </c>
      <c r="H443" s="14">
        <f>(VLOOKUP($D443,$C$5:$AH$1004,6,)/VLOOKUP($D443,$C$5:$AH$1004,4,))*$F443</f>
        <v>0</v>
      </c>
      <c r="I443" s="14">
        <f>(VLOOKUP($D443,$C$5:$AH$1004,7,)/VLOOKUP($D443,$C$5:$AH$1004,4,))*$F443</f>
        <v>0</v>
      </c>
      <c r="J443" s="14">
        <f>(VLOOKUP($D443,$C$5:$AH$1004,8,)/VLOOKUP($D443,$C$5:$AH$1004,4,))*$F443</f>
        <v>0</v>
      </c>
      <c r="K443" s="14">
        <f>(VLOOKUP($D443,$C$5:$AH$1004,9,)/VLOOKUP($D443,$C$5:$AH$1004,4,))*$F443</f>
        <v>0</v>
      </c>
      <c r="L443" s="14">
        <f>(VLOOKUP($D443,$C$5:$AH$1004,10,)/VLOOKUP($D443,$C$5:$AH$1004,4,))*$F443</f>
        <v>0</v>
      </c>
      <c r="M443" s="14">
        <f>(VLOOKUP($D443,$C$5:$AH$1004,11,)/VLOOKUP($D443,$C$5:$AH$1004,4,))*$F443</f>
        <v>0</v>
      </c>
      <c r="N443" s="14">
        <f>(VLOOKUP($D443,$C$5:$AH$1004,12,)/VLOOKUP($D443,$C$5:$AH$1004,4,))*$F443</f>
        <v>0</v>
      </c>
      <c r="O443" s="14">
        <f>(VLOOKUP($D443,$C$5:$AH$1004,13,)/VLOOKUP($D443,$C$5:$AH$1004,4,))*$F443</f>
        <v>0</v>
      </c>
      <c r="P443" s="14">
        <f>(VLOOKUP($D443,$C$5:$AH$1004,14,)/VLOOKUP($D443,$C$5:$AH$1004,4,))*$F443</f>
        <v>0</v>
      </c>
      <c r="Q443" s="14">
        <f>(VLOOKUP($D443,$C$5:$AH$1004,15,)/VLOOKUP($D443,$C$5:$AH$1004,4,))*$F443</f>
        <v>0</v>
      </c>
      <c r="R443" s="14">
        <f>(VLOOKUP($D443,$C$5:$AH$1004,16,)/VLOOKUP($D443,$C$5:$AH$1004,4,))*$F443</f>
        <v>0</v>
      </c>
      <c r="S443" s="14">
        <f>(VLOOKUP($D443,$C$5:$AH$1004,17,)/VLOOKUP($D443,$C$5:$AH$1004,4,))*$F443</f>
        <v>161710</v>
      </c>
      <c r="T443" s="14">
        <f>(VLOOKUP($D443,$C$5:$AH$1004,18,)/VLOOKUP($D443,$C$5:$AH$1004,4,))*$F443</f>
        <v>0</v>
      </c>
      <c r="U443" s="14">
        <f>SUM(G443:T443)</f>
        <v>161710</v>
      </c>
      <c r="V443" s="39" t="str">
        <f>IF(ABS(U443-F443)&lt;1,"ok","err")</f>
        <v>ok</v>
      </c>
    </row>
    <row r="444" spans="1:22" s="9" customFormat="1" x14ac:dyDescent="0.2">
      <c r="A444" s="13">
        <v>905</v>
      </c>
      <c r="B444" s="9" t="s">
        <v>440</v>
      </c>
      <c r="C444" s="4" t="s">
        <v>148</v>
      </c>
      <c r="D444" s="4" t="s">
        <v>48</v>
      </c>
      <c r="E444" s="4"/>
      <c r="F444" s="64">
        <v>0</v>
      </c>
      <c r="G444" s="14">
        <f>(VLOOKUP($D444,$C$5:$AH$1004,5,)/VLOOKUP($D444,$C$5:$AH$1004,4,))*$F444</f>
        <v>0</v>
      </c>
      <c r="H444" s="14">
        <f>(VLOOKUP($D444,$C$5:$AH$1004,6,)/VLOOKUP($D444,$C$5:$AH$1004,4,))*$F444</f>
        <v>0</v>
      </c>
      <c r="I444" s="14">
        <f>(VLOOKUP($D444,$C$5:$AH$1004,7,)/VLOOKUP($D444,$C$5:$AH$1004,4,))*$F444</f>
        <v>0</v>
      </c>
      <c r="J444" s="14">
        <f>(VLOOKUP($D444,$C$5:$AH$1004,8,)/VLOOKUP($D444,$C$5:$AH$1004,4,))*$F444</f>
        <v>0</v>
      </c>
      <c r="K444" s="14">
        <f>(VLOOKUP($D444,$C$5:$AH$1004,9,)/VLOOKUP($D444,$C$5:$AH$1004,4,))*$F444</f>
        <v>0</v>
      </c>
      <c r="L444" s="14">
        <f>(VLOOKUP($D444,$C$5:$AH$1004,10,)/VLOOKUP($D444,$C$5:$AH$1004,4,))*$F444</f>
        <v>0</v>
      </c>
      <c r="M444" s="14">
        <f>(VLOOKUP($D444,$C$5:$AH$1004,11,)/VLOOKUP($D444,$C$5:$AH$1004,4,))*$F444</f>
        <v>0</v>
      </c>
      <c r="N444" s="14">
        <f>(VLOOKUP($D444,$C$5:$AH$1004,12,)/VLOOKUP($D444,$C$5:$AH$1004,4,))*$F444</f>
        <v>0</v>
      </c>
      <c r="O444" s="14">
        <f>(VLOOKUP($D444,$C$5:$AH$1004,13,)/VLOOKUP($D444,$C$5:$AH$1004,4,))*$F444</f>
        <v>0</v>
      </c>
      <c r="P444" s="14">
        <f>(VLOOKUP($D444,$C$5:$AH$1004,14,)/VLOOKUP($D444,$C$5:$AH$1004,4,))*$F444</f>
        <v>0</v>
      </c>
      <c r="Q444" s="14">
        <f>(VLOOKUP($D444,$C$5:$AH$1004,15,)/VLOOKUP($D444,$C$5:$AH$1004,4,))*$F444</f>
        <v>0</v>
      </c>
      <c r="R444" s="14">
        <f>(VLOOKUP($D444,$C$5:$AH$1004,16,)/VLOOKUP($D444,$C$5:$AH$1004,4,))*$F444</f>
        <v>0</v>
      </c>
      <c r="S444" s="14">
        <f>(VLOOKUP($D444,$C$5:$AH$1004,17,)/VLOOKUP($D444,$C$5:$AH$1004,4,))*$F444</f>
        <v>0</v>
      </c>
      <c r="T444" s="14">
        <f>(VLOOKUP($D444,$C$5:$AH$1004,18,)/VLOOKUP($D444,$C$5:$AH$1004,4,))*$F444</f>
        <v>0</v>
      </c>
      <c r="U444" s="14">
        <f>SUM(G444:T444)</f>
        <v>0</v>
      </c>
      <c r="V444" s="39" t="str">
        <f>IF(ABS(U444-F444)&lt;1,"ok","err")</f>
        <v>ok</v>
      </c>
    </row>
    <row r="445" spans="1:22" s="9" customFormat="1" x14ac:dyDescent="0.2">
      <c r="A445" s="13"/>
      <c r="C445" s="4"/>
      <c r="D445" s="4"/>
      <c r="E445" s="4"/>
      <c r="F445" s="64"/>
      <c r="G445" s="4"/>
      <c r="H445" s="4"/>
      <c r="I445" s="4"/>
      <c r="J445" s="4"/>
      <c r="K445" s="4"/>
      <c r="L445" s="4"/>
      <c r="M445" s="4"/>
      <c r="N445" s="4"/>
    </row>
    <row r="446" spans="1:22" s="9" customFormat="1" x14ac:dyDescent="0.2">
      <c r="A446" s="13" t="s">
        <v>476</v>
      </c>
      <c r="C446" s="4" t="s">
        <v>149</v>
      </c>
      <c r="D446" s="4"/>
      <c r="E446" s="4"/>
      <c r="F446" s="59">
        <f>SUM(F440:F444)</f>
        <v>1468463.1489751581</v>
      </c>
      <c r="G446" s="15">
        <f t="shared" ref="G446:T446" si="192">SUM(G440:G444)</f>
        <v>0</v>
      </c>
      <c r="H446" s="15">
        <f t="shared" si="192"/>
        <v>0</v>
      </c>
      <c r="I446" s="15">
        <f t="shared" si="192"/>
        <v>0</v>
      </c>
      <c r="J446" s="15">
        <f t="shared" si="192"/>
        <v>0</v>
      </c>
      <c r="K446" s="15">
        <f t="shared" si="192"/>
        <v>0</v>
      </c>
      <c r="L446" s="15">
        <f t="shared" si="192"/>
        <v>0</v>
      </c>
      <c r="M446" s="15">
        <f t="shared" si="192"/>
        <v>0</v>
      </c>
      <c r="N446" s="15">
        <f t="shared" si="192"/>
        <v>0</v>
      </c>
      <c r="O446" s="15">
        <f t="shared" si="192"/>
        <v>0</v>
      </c>
      <c r="P446" s="15">
        <f t="shared" si="192"/>
        <v>0</v>
      </c>
      <c r="Q446" s="15">
        <f t="shared" si="192"/>
        <v>0</v>
      </c>
      <c r="R446" s="15">
        <f t="shared" si="192"/>
        <v>0</v>
      </c>
      <c r="S446" s="15">
        <f t="shared" si="192"/>
        <v>1468463.1489751581</v>
      </c>
      <c r="T446" s="15">
        <f t="shared" si="192"/>
        <v>0</v>
      </c>
      <c r="U446" s="14">
        <f>SUM(G446:T446)</f>
        <v>1468463.1489751581</v>
      </c>
      <c r="V446" s="39" t="str">
        <f>IF(ABS(U446-F446)&lt;1,"ok","err")</f>
        <v>ok</v>
      </c>
    </row>
    <row r="447" spans="1:22" s="9" customFormat="1" x14ac:dyDescent="0.2">
      <c r="A447" s="13"/>
      <c r="C447" s="4"/>
      <c r="D447" s="4"/>
      <c r="E447" s="4"/>
      <c r="F447" s="59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4"/>
      <c r="V447" s="39"/>
    </row>
    <row r="448" spans="1:22" s="9" customFormat="1" x14ac:dyDescent="0.2">
      <c r="A448" s="8" t="s">
        <v>151</v>
      </c>
      <c r="C448" s="4"/>
      <c r="D448" s="4"/>
      <c r="E448" s="4"/>
      <c r="F448" s="59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4"/>
      <c r="V448" s="39"/>
    </row>
    <row r="449" spans="1:22" s="9" customFormat="1" x14ac:dyDescent="0.2">
      <c r="A449" s="13" t="s">
        <v>150</v>
      </c>
      <c r="B449" s="9" t="s">
        <v>12</v>
      </c>
      <c r="C449" s="4" t="s">
        <v>152</v>
      </c>
      <c r="D449" s="4" t="s">
        <v>51</v>
      </c>
      <c r="E449" s="4"/>
      <c r="F449" s="59">
        <v>592</v>
      </c>
      <c r="G449" s="14">
        <f>(VLOOKUP($D449,$C$5:$AH$1004,5,)/VLOOKUP($D449,$C$5:$AH$1004,4,))*$F449</f>
        <v>0</v>
      </c>
      <c r="H449" s="14">
        <f>(VLOOKUP($D449,$C$5:$AH$1004,6,)/VLOOKUP($D449,$C$5:$AH$1004,4,))*$F449</f>
        <v>0</v>
      </c>
      <c r="I449" s="14">
        <f>(VLOOKUP($D449,$C$5:$AH$1004,7,)/VLOOKUP($D449,$C$5:$AH$1004,4,))*$F449</f>
        <v>0</v>
      </c>
      <c r="J449" s="14">
        <f>(VLOOKUP($D449,$C$5:$AH$1004,8,)/VLOOKUP($D449,$C$5:$AH$1004,4,))*$F449</f>
        <v>0</v>
      </c>
      <c r="K449" s="14">
        <f>(VLOOKUP($D449,$C$5:$AH$1004,9,)/VLOOKUP($D449,$C$5:$AH$1004,4,))*$F449</f>
        <v>0</v>
      </c>
      <c r="L449" s="14">
        <f>(VLOOKUP($D449,$C$5:$AH$1004,10,)/VLOOKUP($D449,$C$5:$AH$1004,4,))*$F449</f>
        <v>0</v>
      </c>
      <c r="M449" s="14">
        <f>(VLOOKUP($D449,$C$5:$AH$1004,11,)/VLOOKUP($D449,$C$5:$AH$1004,4,))*$F449</f>
        <v>0</v>
      </c>
      <c r="N449" s="14">
        <f>(VLOOKUP($D449,$C$5:$AH$1004,12,)/VLOOKUP($D449,$C$5:$AH$1004,4,))*$F449</f>
        <v>0</v>
      </c>
      <c r="O449" s="14">
        <f>(VLOOKUP($D449,$C$5:$AH$1004,13,)/VLOOKUP($D449,$C$5:$AH$1004,4,))*$F449</f>
        <v>0</v>
      </c>
      <c r="P449" s="14">
        <f>(VLOOKUP($D449,$C$5:$AH$1004,14,)/VLOOKUP($D449,$C$5:$AH$1004,4,))*$F449</f>
        <v>0</v>
      </c>
      <c r="Q449" s="14">
        <f>(VLOOKUP($D449,$C$5:$AH$1004,15,)/VLOOKUP($D449,$C$5:$AH$1004,4,))*$F449</f>
        <v>0</v>
      </c>
      <c r="R449" s="14">
        <f>(VLOOKUP($D449,$C$5:$AH$1004,16,)/VLOOKUP($D449,$C$5:$AH$1004,4,))*$F449</f>
        <v>0</v>
      </c>
      <c r="S449" s="14">
        <f>(VLOOKUP($D449,$C$5:$AH$1004,17,)/VLOOKUP($D449,$C$5:$AH$1004,4,))*$F449</f>
        <v>0</v>
      </c>
      <c r="T449" s="14">
        <f>(VLOOKUP($D449,$C$5:$AH$1004,18,)/VLOOKUP($D449,$C$5:$AH$1004,4,))*$F449</f>
        <v>592</v>
      </c>
      <c r="U449" s="14">
        <f>SUM(G449:T449)</f>
        <v>592</v>
      </c>
      <c r="V449" s="39" t="str">
        <f>IF(ABS(U449-F449)&lt;1,"ok","err")</f>
        <v>ok</v>
      </c>
    </row>
    <row r="450" spans="1:22" s="9" customFormat="1" x14ac:dyDescent="0.2">
      <c r="A450" s="13"/>
      <c r="C450" s="4"/>
      <c r="D450" s="4"/>
      <c r="E450" s="4"/>
      <c r="F450" s="59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4"/>
      <c r="V450" s="39"/>
    </row>
    <row r="451" spans="1:22" s="9" customFormat="1" x14ac:dyDescent="0.2">
      <c r="A451" s="8" t="s">
        <v>154</v>
      </c>
      <c r="C451" s="4"/>
      <c r="D451" s="4"/>
      <c r="E451" s="4"/>
      <c r="F451" s="59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4"/>
      <c r="V451" s="39"/>
    </row>
    <row r="452" spans="1:22" s="9" customFormat="1" x14ac:dyDescent="0.2">
      <c r="A452" s="13" t="s">
        <v>153</v>
      </c>
      <c r="B452" s="9" t="s">
        <v>154</v>
      </c>
      <c r="C452" s="4" t="s">
        <v>155</v>
      </c>
      <c r="D452" s="4" t="s">
        <v>51</v>
      </c>
      <c r="E452" s="4"/>
      <c r="F452" s="59">
        <v>553</v>
      </c>
      <c r="G452" s="14">
        <f>(VLOOKUP($D452,$C$5:$AH$1004,5,)/VLOOKUP($D452,$C$5:$AH$1004,4,))*$F452</f>
        <v>0</v>
      </c>
      <c r="H452" s="14">
        <f>(VLOOKUP($D452,$C$5:$AH$1004,6,)/VLOOKUP($D452,$C$5:$AH$1004,4,))*$F452</f>
        <v>0</v>
      </c>
      <c r="I452" s="14">
        <f>(VLOOKUP($D452,$C$5:$AH$1004,7,)/VLOOKUP($D452,$C$5:$AH$1004,4,))*$F452</f>
        <v>0</v>
      </c>
      <c r="J452" s="14">
        <f>(VLOOKUP($D452,$C$5:$AH$1004,8,)/VLOOKUP($D452,$C$5:$AH$1004,4,))*$F452</f>
        <v>0</v>
      </c>
      <c r="K452" s="14">
        <f>(VLOOKUP($D452,$C$5:$AH$1004,9,)/VLOOKUP($D452,$C$5:$AH$1004,4,))*$F452</f>
        <v>0</v>
      </c>
      <c r="L452" s="14">
        <f>(VLOOKUP($D452,$C$5:$AH$1004,10,)/VLOOKUP($D452,$C$5:$AH$1004,4,))*$F452</f>
        <v>0</v>
      </c>
      <c r="M452" s="14">
        <f>(VLOOKUP($D452,$C$5:$AH$1004,11,)/VLOOKUP($D452,$C$5:$AH$1004,4,))*$F452</f>
        <v>0</v>
      </c>
      <c r="N452" s="14">
        <f>(VLOOKUP($D452,$C$5:$AH$1004,12,)/VLOOKUP($D452,$C$5:$AH$1004,4,))*$F452</f>
        <v>0</v>
      </c>
      <c r="O452" s="14">
        <f>(VLOOKUP($D452,$C$5:$AH$1004,13,)/VLOOKUP($D452,$C$5:$AH$1004,4,))*$F452</f>
        <v>0</v>
      </c>
      <c r="P452" s="14">
        <f>(VLOOKUP($D452,$C$5:$AH$1004,14,)/VLOOKUP($D452,$C$5:$AH$1004,4,))*$F452</f>
        <v>0</v>
      </c>
      <c r="Q452" s="14">
        <f>(VLOOKUP($D452,$C$5:$AH$1004,15,)/VLOOKUP($D452,$C$5:$AH$1004,4,))*$F452</f>
        <v>0</v>
      </c>
      <c r="R452" s="14">
        <f>(VLOOKUP($D452,$C$5:$AH$1004,16,)/VLOOKUP($D452,$C$5:$AH$1004,4,))*$F452</f>
        <v>0</v>
      </c>
      <c r="S452" s="14">
        <f>(VLOOKUP($D452,$C$5:$AH$1004,17,)/VLOOKUP($D452,$C$5:$AH$1004,4,))*$F452</f>
        <v>0</v>
      </c>
      <c r="T452" s="14">
        <f>(VLOOKUP($D452,$C$5:$AH$1004,18,)/VLOOKUP($D452,$C$5:$AH$1004,4,))*$F452</f>
        <v>553</v>
      </c>
      <c r="U452" s="14">
        <f>SUM(G452:T452)</f>
        <v>553</v>
      </c>
      <c r="V452" s="39" t="str">
        <f>IF(ABS(U452-F452)&lt;1,"ok","err")</f>
        <v>ok</v>
      </c>
    </row>
    <row r="453" spans="1:22" s="9" customFormat="1" x14ac:dyDescent="0.2">
      <c r="A453" s="13"/>
      <c r="C453" s="4"/>
      <c r="D453" s="4"/>
      <c r="E453" s="4"/>
      <c r="F453" s="59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39"/>
    </row>
    <row r="454" spans="1:22" s="9" customFormat="1" x14ac:dyDescent="0.2">
      <c r="A454" s="13"/>
      <c r="C454" s="4"/>
      <c r="D454" s="4"/>
      <c r="E454" s="4"/>
      <c r="F454" s="59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39"/>
    </row>
    <row r="455" spans="1:22" s="9" customFormat="1" x14ac:dyDescent="0.2">
      <c r="A455" s="13"/>
      <c r="C455" s="4"/>
      <c r="D455" s="4"/>
      <c r="E455" s="4"/>
      <c r="F455" s="59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39"/>
    </row>
    <row r="456" spans="1:22" s="9" customFormat="1" x14ac:dyDescent="0.2">
      <c r="A456" s="13"/>
      <c r="C456" s="4"/>
      <c r="D456" s="4"/>
      <c r="E456" s="4"/>
      <c r="F456" s="59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39"/>
    </row>
    <row r="457" spans="1:22" s="9" customFormat="1" x14ac:dyDescent="0.2">
      <c r="A457" s="13"/>
      <c r="C457" s="4"/>
      <c r="D457" s="4"/>
      <c r="E457" s="4"/>
      <c r="F457" s="59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39"/>
    </row>
    <row r="458" spans="1:22" s="9" customFormat="1" x14ac:dyDescent="0.2">
      <c r="A458" s="13"/>
      <c r="C458" s="4"/>
      <c r="D458" s="4"/>
      <c r="E458" s="4"/>
      <c r="F458" s="59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39"/>
    </row>
    <row r="459" spans="1:22" s="9" customFormat="1" x14ac:dyDescent="0.2">
      <c r="A459" s="13"/>
      <c r="C459" s="4"/>
      <c r="D459" s="4"/>
      <c r="E459" s="4"/>
      <c r="F459" s="59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39"/>
    </row>
    <row r="460" spans="1:22" s="9" customFormat="1" x14ac:dyDescent="0.2">
      <c r="A460" s="13"/>
      <c r="C460" s="4"/>
      <c r="D460" s="4"/>
      <c r="E460" s="4"/>
      <c r="F460" s="59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39"/>
    </row>
    <row r="461" spans="1:22" s="9" customFormat="1" x14ac:dyDescent="0.2">
      <c r="A461" s="11" t="s">
        <v>475</v>
      </c>
      <c r="C461" s="4"/>
      <c r="D461" s="4"/>
      <c r="E461" s="4"/>
      <c r="F461" s="59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39"/>
    </row>
    <row r="462" spans="1:22" s="9" customFormat="1" x14ac:dyDescent="0.2">
      <c r="A462" s="13"/>
      <c r="C462" s="4"/>
      <c r="D462" s="4"/>
      <c r="E462" s="4"/>
      <c r="F462" s="59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39"/>
    </row>
    <row r="463" spans="1:22" s="9" customFormat="1" x14ac:dyDescent="0.2">
      <c r="A463" s="13"/>
      <c r="C463" s="4"/>
      <c r="D463" s="4"/>
      <c r="E463" s="4"/>
      <c r="F463" s="64"/>
      <c r="G463" s="4"/>
      <c r="H463" s="4"/>
      <c r="I463" s="4"/>
      <c r="J463" s="4"/>
      <c r="K463" s="4"/>
      <c r="L463" s="4"/>
      <c r="M463" s="4"/>
      <c r="N463" s="4"/>
    </row>
    <row r="464" spans="1:22" s="9" customFormat="1" x14ac:dyDescent="0.2">
      <c r="A464" s="8" t="s">
        <v>174</v>
      </c>
      <c r="C464" s="4"/>
      <c r="D464" s="4"/>
      <c r="E464" s="4"/>
      <c r="F464" s="64"/>
      <c r="G464" s="4"/>
      <c r="H464" s="4"/>
      <c r="I464" s="4"/>
      <c r="J464" s="4"/>
      <c r="K464" s="4"/>
      <c r="L464" s="4"/>
      <c r="M464" s="4"/>
      <c r="N464" s="4"/>
    </row>
    <row r="465" spans="1:22" s="9" customFormat="1" x14ac:dyDescent="0.2">
      <c r="A465" s="13">
        <v>920</v>
      </c>
      <c r="B465" s="19" t="s">
        <v>441</v>
      </c>
      <c r="C465" s="4" t="s">
        <v>156</v>
      </c>
      <c r="D465" s="4" t="s">
        <v>157</v>
      </c>
      <c r="E465" s="4"/>
      <c r="F465" s="59">
        <v>2195735.8246401511</v>
      </c>
      <c r="G465" s="14">
        <f t="shared" ref="G465:G478" si="193">(VLOOKUP($D465,$C$5:$AH$1004,5,)/VLOOKUP($D465,$C$5:$AH$1004,4,))*$F465</f>
        <v>0</v>
      </c>
      <c r="H465" s="14">
        <f t="shared" ref="H465:H478" si="194">(VLOOKUP($D465,$C$5:$AH$1004,6,)/VLOOKUP($D465,$C$5:$AH$1004,4,))*$F465</f>
        <v>0</v>
      </c>
      <c r="I465" s="14">
        <f t="shared" ref="I465:I478" si="195">(VLOOKUP($D465,$C$5:$AH$1004,7,)/VLOOKUP($D465,$C$5:$AH$1004,4,))*$F465</f>
        <v>27067.94047405582</v>
      </c>
      <c r="J465" s="14">
        <f t="shared" ref="J465:J478" si="196">(VLOOKUP($D465,$C$5:$AH$1004,8,)/VLOOKUP($D465,$C$5:$AH$1004,4,))*$F465</f>
        <v>0</v>
      </c>
      <c r="K465" s="14">
        <f t="shared" ref="K465:K478" si="197">(VLOOKUP($D465,$C$5:$AH$1004,9,)/VLOOKUP($D465,$C$5:$AH$1004,4,))*$F465</f>
        <v>1359459.8249741914</v>
      </c>
      <c r="L465" s="14">
        <f t="shared" ref="L465:L478" si="198">(VLOOKUP($D465,$C$5:$AH$1004,10,)/VLOOKUP($D465,$C$5:$AH$1004,4,))*$F465</f>
        <v>57839.70871171922</v>
      </c>
      <c r="M465" s="14">
        <f t="shared" ref="M465:M478" si="199">(VLOOKUP($D465,$C$5:$AH$1004,11,)/VLOOKUP($D465,$C$5:$AH$1004,4,))*$F465</f>
        <v>102888.5819166889</v>
      </c>
      <c r="N465" s="14">
        <f t="shared" ref="N465:N478" si="200">(VLOOKUP($D465,$C$5:$AH$1004,12,)/VLOOKUP($D465,$C$5:$AH$1004,4,))*$F465</f>
        <v>4887.1223031267627</v>
      </c>
      <c r="O465" s="14">
        <f t="shared" ref="O465:O478" si="201">(VLOOKUP($D465,$C$5:$AH$1004,13,)/VLOOKUP($D465,$C$5:$AH$1004,4,))*$F465</f>
        <v>83448.144500165348</v>
      </c>
      <c r="P465" s="14">
        <f t="shared" ref="P465:P478" si="202">(VLOOKUP($D465,$C$5:$AH$1004,14,)/VLOOKUP($D465,$C$5:$AH$1004,4,))*$F465</f>
        <v>205100.07299694858</v>
      </c>
      <c r="Q465" s="14">
        <f t="shared" ref="Q465:Q478" si="203">(VLOOKUP($D465,$C$5:$AH$1004,15,)/VLOOKUP($D465,$C$5:$AH$1004,4,))*$F465</f>
        <v>71326.967652394218</v>
      </c>
      <c r="R465" s="14">
        <f t="shared" ref="R465:R478" si="204">(VLOOKUP($D465,$C$5:$AH$1004,16,)/VLOOKUP($D465,$C$5:$AH$1004,4,))*$F465</f>
        <v>103999.24490878668</v>
      </c>
      <c r="S465" s="14">
        <f t="shared" ref="S465:S478" si="205">(VLOOKUP($D465,$C$5:$AH$1004,17,)/VLOOKUP($D465,$C$5:$AH$1004,4,))*$F465</f>
        <v>179718.21620207431</v>
      </c>
      <c r="T465" s="14">
        <f t="shared" ref="T465:T478" si="206">(VLOOKUP($D465,$C$5:$AH$1004,18,)/VLOOKUP($D465,$C$5:$AH$1004,4,))*$F465</f>
        <v>0</v>
      </c>
      <c r="U465" s="14">
        <f t="shared" ref="U465:U472" si="207">SUM(G465:T465)</f>
        <v>2195735.8246401511</v>
      </c>
      <c r="V465" s="39" t="str">
        <f t="shared" ref="V465:V472" si="208">IF(ABS(U465-F465)&lt;1,"ok","err")</f>
        <v>ok</v>
      </c>
    </row>
    <row r="466" spans="1:22" s="9" customFormat="1" x14ac:dyDescent="0.2">
      <c r="A466" s="13">
        <v>921</v>
      </c>
      <c r="B466" s="9" t="s">
        <v>442</v>
      </c>
      <c r="C466" s="4" t="s">
        <v>158</v>
      </c>
      <c r="D466" s="4" t="s">
        <v>157</v>
      </c>
      <c r="E466" s="4"/>
      <c r="F466" s="64">
        <v>2115310</v>
      </c>
      <c r="G466" s="14">
        <f t="shared" si="193"/>
        <v>0</v>
      </c>
      <c r="H466" s="14">
        <f t="shared" si="194"/>
        <v>0</v>
      </c>
      <c r="I466" s="14">
        <f t="shared" si="195"/>
        <v>26076.490860897902</v>
      </c>
      <c r="J466" s="14">
        <f t="shared" si="196"/>
        <v>0</v>
      </c>
      <c r="K466" s="14">
        <f t="shared" si="197"/>
        <v>1309665.2748913628</v>
      </c>
      <c r="L466" s="14">
        <f t="shared" si="198"/>
        <v>55721.144985662366</v>
      </c>
      <c r="M466" s="14">
        <f t="shared" si="199"/>
        <v>99119.95959252493</v>
      </c>
      <c r="N466" s="14">
        <f t="shared" si="200"/>
        <v>4708.1158685022056</v>
      </c>
      <c r="O466" s="14">
        <f t="shared" si="201"/>
        <v>80391.590172999786</v>
      </c>
      <c r="P466" s="14">
        <f t="shared" si="202"/>
        <v>197587.628959088</v>
      </c>
      <c r="Q466" s="14">
        <f t="shared" si="203"/>
        <v>68714.390069904155</v>
      </c>
      <c r="R466" s="14">
        <f t="shared" si="204"/>
        <v>100189.94101171475</v>
      </c>
      <c r="S466" s="14">
        <f t="shared" si="205"/>
        <v>173135.46358734317</v>
      </c>
      <c r="T466" s="14">
        <f t="shared" si="206"/>
        <v>0</v>
      </c>
      <c r="U466" s="14">
        <f t="shared" si="207"/>
        <v>2115310</v>
      </c>
      <c r="V466" s="39" t="str">
        <f t="shared" si="208"/>
        <v>ok</v>
      </c>
    </row>
    <row r="467" spans="1:22" s="9" customFormat="1" x14ac:dyDescent="0.2">
      <c r="A467" s="13">
        <v>922</v>
      </c>
      <c r="B467" s="9" t="s">
        <v>443</v>
      </c>
      <c r="C467" s="4" t="s">
        <v>159</v>
      </c>
      <c r="D467" s="4" t="s">
        <v>157</v>
      </c>
      <c r="E467" s="4"/>
      <c r="F467" s="64">
        <v>-1930381</v>
      </c>
      <c r="G467" s="14">
        <f t="shared" si="193"/>
        <v>0</v>
      </c>
      <c r="H467" s="14">
        <f t="shared" si="194"/>
        <v>0</v>
      </c>
      <c r="I467" s="14">
        <f t="shared" si="195"/>
        <v>-23796.778015775915</v>
      </c>
      <c r="J467" s="14">
        <f t="shared" si="196"/>
        <v>0</v>
      </c>
      <c r="K467" s="14">
        <f t="shared" si="197"/>
        <v>-1195169.0121117302</v>
      </c>
      <c r="L467" s="14">
        <f t="shared" si="198"/>
        <v>-50849.775956511294</v>
      </c>
      <c r="M467" s="14">
        <f t="shared" si="199"/>
        <v>-90454.48975241353</v>
      </c>
      <c r="N467" s="14">
        <f t="shared" si="200"/>
        <v>-4296.5132384166654</v>
      </c>
      <c r="O467" s="14">
        <f t="shared" si="201"/>
        <v>-73363.430527792851</v>
      </c>
      <c r="P467" s="14">
        <f t="shared" si="202"/>
        <v>-180313.71514230693</v>
      </c>
      <c r="Q467" s="14">
        <f t="shared" si="203"/>
        <v>-62707.098731406579</v>
      </c>
      <c r="R467" s="14">
        <f t="shared" si="204"/>
        <v>-91430.929045924669</v>
      </c>
      <c r="S467" s="14">
        <f t="shared" si="205"/>
        <v>-157999.25747772149</v>
      </c>
      <c r="T467" s="14">
        <f t="shared" si="206"/>
        <v>0</v>
      </c>
      <c r="U467" s="14">
        <f t="shared" si="207"/>
        <v>-1930380.9999999998</v>
      </c>
      <c r="V467" s="39" t="str">
        <f t="shared" si="208"/>
        <v>ok</v>
      </c>
    </row>
    <row r="468" spans="1:22" s="9" customFormat="1" x14ac:dyDescent="0.2">
      <c r="A468" s="13">
        <v>923</v>
      </c>
      <c r="B468" s="9" t="s">
        <v>160</v>
      </c>
      <c r="C468" s="4" t="s">
        <v>161</v>
      </c>
      <c r="D468" s="4" t="s">
        <v>162</v>
      </c>
      <c r="E468" s="4"/>
      <c r="F468" s="64">
        <v>1316913</v>
      </c>
      <c r="G468" s="14">
        <f t="shared" si="193"/>
        <v>0</v>
      </c>
      <c r="H468" s="14">
        <f t="shared" si="194"/>
        <v>0</v>
      </c>
      <c r="I468" s="14">
        <f t="shared" si="195"/>
        <v>23341.739511314347</v>
      </c>
      <c r="J468" s="14">
        <f t="shared" si="196"/>
        <v>33110.783892117732</v>
      </c>
      <c r="K468" s="14">
        <f t="shared" si="197"/>
        <v>594567.10697955755</v>
      </c>
      <c r="L468" s="14">
        <f t="shared" si="198"/>
        <v>6169.2237939767101</v>
      </c>
      <c r="M468" s="14">
        <f t="shared" si="199"/>
        <v>63849.351553469161</v>
      </c>
      <c r="N468" s="14">
        <f t="shared" si="200"/>
        <v>9100.6189947327603</v>
      </c>
      <c r="O468" s="14">
        <f t="shared" si="201"/>
        <v>55570.664534014773</v>
      </c>
      <c r="P468" s="14">
        <f t="shared" si="202"/>
        <v>136582.39402066977</v>
      </c>
      <c r="Q468" s="14">
        <f t="shared" si="203"/>
        <v>57964.242936996976</v>
      </c>
      <c r="R468" s="14">
        <f t="shared" si="204"/>
        <v>98726.386103581754</v>
      </c>
      <c r="S468" s="14">
        <f t="shared" si="205"/>
        <v>237745.11145626515</v>
      </c>
      <c r="T468" s="14">
        <f t="shared" si="206"/>
        <v>185.37622330352986</v>
      </c>
      <c r="U468" s="14">
        <f t="shared" si="207"/>
        <v>1316913.0000000002</v>
      </c>
      <c r="V468" s="39" t="str">
        <f t="shared" si="208"/>
        <v>ok</v>
      </c>
    </row>
    <row r="469" spans="1:22" s="9" customFormat="1" x14ac:dyDescent="0.2">
      <c r="A469" s="13">
        <v>924</v>
      </c>
      <c r="B469" s="9" t="s">
        <v>163</v>
      </c>
      <c r="C469" s="4" t="s">
        <v>164</v>
      </c>
      <c r="D469" s="4" t="s">
        <v>73</v>
      </c>
      <c r="E469" s="4"/>
      <c r="F469" s="64">
        <v>256870</v>
      </c>
      <c r="G469" s="14">
        <f t="shared" si="193"/>
        <v>0</v>
      </c>
      <c r="H469" s="14">
        <f t="shared" si="194"/>
        <v>0</v>
      </c>
      <c r="I469" s="14">
        <f t="shared" si="195"/>
        <v>32859.429777076308</v>
      </c>
      <c r="J469" s="14">
        <f t="shared" si="196"/>
        <v>0</v>
      </c>
      <c r="K469" s="14">
        <f t="shared" si="197"/>
        <v>70033.781230144901</v>
      </c>
      <c r="L469" s="14">
        <f t="shared" si="198"/>
        <v>0</v>
      </c>
      <c r="M469" s="14">
        <f t="shared" si="199"/>
        <v>0</v>
      </c>
      <c r="N469" s="14">
        <f t="shared" si="200"/>
        <v>3570.3741621274153</v>
      </c>
      <c r="O469" s="14">
        <f t="shared" si="201"/>
        <v>30129.926874842513</v>
      </c>
      <c r="P469" s="14">
        <f t="shared" si="202"/>
        <v>74053.776011888171</v>
      </c>
      <c r="Q469" s="14">
        <f t="shared" si="203"/>
        <v>23763.089454018605</v>
      </c>
      <c r="R469" s="14">
        <f t="shared" si="204"/>
        <v>22459.622489902053</v>
      </c>
      <c r="S469" s="14">
        <f t="shared" si="205"/>
        <v>0</v>
      </c>
      <c r="T469" s="14">
        <f t="shared" si="206"/>
        <v>0</v>
      </c>
      <c r="U469" s="14">
        <f t="shared" si="207"/>
        <v>256869.99999999994</v>
      </c>
      <c r="V469" s="39" t="str">
        <f t="shared" si="208"/>
        <v>ok</v>
      </c>
    </row>
    <row r="470" spans="1:22" s="9" customFormat="1" x14ac:dyDescent="0.2">
      <c r="A470" s="13">
        <v>925</v>
      </c>
      <c r="B470" s="9" t="s">
        <v>165</v>
      </c>
      <c r="C470" s="4" t="s">
        <v>166</v>
      </c>
      <c r="D470" s="4" t="s">
        <v>73</v>
      </c>
      <c r="E470" s="4"/>
      <c r="F470" s="64">
        <v>1093498</v>
      </c>
      <c r="G470" s="14">
        <f t="shared" si="193"/>
        <v>0</v>
      </c>
      <c r="H470" s="14">
        <f t="shared" si="194"/>
        <v>0</v>
      </c>
      <c r="I470" s="14">
        <f t="shared" si="195"/>
        <v>139882.90085402495</v>
      </c>
      <c r="J470" s="14">
        <f t="shared" si="196"/>
        <v>0</v>
      </c>
      <c r="K470" s="14">
        <f t="shared" si="197"/>
        <v>298134.46376611118</v>
      </c>
      <c r="L470" s="14">
        <f t="shared" si="198"/>
        <v>0</v>
      </c>
      <c r="M470" s="14">
        <f t="shared" si="199"/>
        <v>0</v>
      </c>
      <c r="N470" s="14">
        <f t="shared" si="200"/>
        <v>15199.116306061449</v>
      </c>
      <c r="O470" s="14">
        <f t="shared" si="201"/>
        <v>128263.38139053427</v>
      </c>
      <c r="P470" s="14">
        <f t="shared" si="202"/>
        <v>315247.61926829792</v>
      </c>
      <c r="Q470" s="14">
        <f t="shared" si="203"/>
        <v>101159.69475528647</v>
      </c>
      <c r="R470" s="14">
        <f t="shared" si="204"/>
        <v>95610.823659683563</v>
      </c>
      <c r="S470" s="14">
        <f t="shared" si="205"/>
        <v>0</v>
      </c>
      <c r="T470" s="14">
        <f t="shared" si="206"/>
        <v>0</v>
      </c>
      <c r="U470" s="14">
        <f t="shared" si="207"/>
        <v>1093497.9999999998</v>
      </c>
      <c r="V470" s="39" t="str">
        <f t="shared" si="208"/>
        <v>ok</v>
      </c>
    </row>
    <row r="471" spans="1:22" s="9" customFormat="1" x14ac:dyDescent="0.2">
      <c r="A471" s="13">
        <v>926</v>
      </c>
      <c r="B471" s="19" t="s">
        <v>444</v>
      </c>
      <c r="C471" s="4" t="s">
        <v>167</v>
      </c>
      <c r="D471" s="4" t="s">
        <v>157</v>
      </c>
      <c r="E471" s="4"/>
      <c r="F471" s="64">
        <v>2449030.5120000001</v>
      </c>
      <c r="G471" s="14">
        <f t="shared" si="193"/>
        <v>0</v>
      </c>
      <c r="H471" s="14">
        <f t="shared" si="194"/>
        <v>0</v>
      </c>
      <c r="I471" s="14">
        <f t="shared" si="195"/>
        <v>30190.431551038906</v>
      </c>
      <c r="J471" s="14">
        <f t="shared" si="196"/>
        <v>0</v>
      </c>
      <c r="K471" s="14">
        <f t="shared" si="197"/>
        <v>1516283.7686749531</v>
      </c>
      <c r="L471" s="14">
        <f t="shared" si="198"/>
        <v>64511.955332061472</v>
      </c>
      <c r="M471" s="14">
        <f t="shared" si="199"/>
        <v>114757.55581465631</v>
      </c>
      <c r="N471" s="14">
        <f t="shared" si="200"/>
        <v>5450.8887189080006</v>
      </c>
      <c r="O471" s="14">
        <f t="shared" si="201"/>
        <v>93074.517324588756</v>
      </c>
      <c r="P471" s="14">
        <f t="shared" si="202"/>
        <v>228759.91325835994</v>
      </c>
      <c r="Q471" s="14">
        <f t="shared" si="203"/>
        <v>79555.071310902465</v>
      </c>
      <c r="R471" s="14">
        <f t="shared" si="204"/>
        <v>115996.34215938541</v>
      </c>
      <c r="S471" s="14">
        <f t="shared" si="205"/>
        <v>200450.06785514575</v>
      </c>
      <c r="T471" s="14">
        <f t="shared" si="206"/>
        <v>0</v>
      </c>
      <c r="U471" s="14">
        <f t="shared" si="207"/>
        <v>2449030.5120000001</v>
      </c>
      <c r="V471" s="39" t="str">
        <f t="shared" si="208"/>
        <v>ok</v>
      </c>
    </row>
    <row r="472" spans="1:22" s="9" customFormat="1" x14ac:dyDescent="0.2">
      <c r="A472" s="13">
        <v>927</v>
      </c>
      <c r="B472" s="9" t="s">
        <v>758</v>
      </c>
      <c r="C472" s="4" t="s">
        <v>168</v>
      </c>
      <c r="D472" s="4" t="s">
        <v>73</v>
      </c>
      <c r="E472" s="4"/>
      <c r="F472" s="64">
        <v>0</v>
      </c>
      <c r="G472" s="14">
        <f t="shared" si="193"/>
        <v>0</v>
      </c>
      <c r="H472" s="14">
        <f t="shared" si="194"/>
        <v>0</v>
      </c>
      <c r="I472" s="14">
        <f t="shared" si="195"/>
        <v>0</v>
      </c>
      <c r="J472" s="14">
        <f t="shared" si="196"/>
        <v>0</v>
      </c>
      <c r="K472" s="14">
        <f t="shared" si="197"/>
        <v>0</v>
      </c>
      <c r="L472" s="14">
        <f t="shared" si="198"/>
        <v>0</v>
      </c>
      <c r="M472" s="14">
        <f t="shared" si="199"/>
        <v>0</v>
      </c>
      <c r="N472" s="14">
        <f t="shared" si="200"/>
        <v>0</v>
      </c>
      <c r="O472" s="14">
        <f t="shared" si="201"/>
        <v>0</v>
      </c>
      <c r="P472" s="14">
        <f t="shared" si="202"/>
        <v>0</v>
      </c>
      <c r="Q472" s="14">
        <f t="shared" si="203"/>
        <v>0</v>
      </c>
      <c r="R472" s="14">
        <f t="shared" si="204"/>
        <v>0</v>
      </c>
      <c r="S472" s="14">
        <f t="shared" si="205"/>
        <v>0</v>
      </c>
      <c r="T472" s="14">
        <f t="shared" si="206"/>
        <v>0</v>
      </c>
      <c r="U472" s="14">
        <f t="shared" si="207"/>
        <v>0</v>
      </c>
      <c r="V472" s="39" t="str">
        <f t="shared" si="208"/>
        <v>ok</v>
      </c>
    </row>
    <row r="473" spans="1:22" s="9" customFormat="1" x14ac:dyDescent="0.2">
      <c r="A473" s="13">
        <v>928</v>
      </c>
      <c r="B473" s="9" t="s">
        <v>169</v>
      </c>
      <c r="C473" s="4" t="s">
        <v>170</v>
      </c>
      <c r="D473" s="4" t="s">
        <v>73</v>
      </c>
      <c r="E473" s="4"/>
      <c r="F473" s="64">
        <v>199612</v>
      </c>
      <c r="G473" s="14">
        <f t="shared" si="193"/>
        <v>0</v>
      </c>
      <c r="H473" s="14">
        <f t="shared" si="194"/>
        <v>0</v>
      </c>
      <c r="I473" s="14">
        <f t="shared" si="195"/>
        <v>25534.848353882335</v>
      </c>
      <c r="J473" s="14">
        <f t="shared" si="196"/>
        <v>0</v>
      </c>
      <c r="K473" s="14">
        <f t="shared" si="197"/>
        <v>54422.794171805515</v>
      </c>
      <c r="L473" s="14">
        <f t="shared" si="198"/>
        <v>0</v>
      </c>
      <c r="M473" s="14">
        <f t="shared" si="199"/>
        <v>0</v>
      </c>
      <c r="N473" s="14">
        <f t="shared" si="200"/>
        <v>2774.5144518650586</v>
      </c>
      <c r="O473" s="14">
        <f t="shared" si="201"/>
        <v>23413.769468373353</v>
      </c>
      <c r="P473" s="14">
        <f t="shared" si="202"/>
        <v>57546.705871783481</v>
      </c>
      <c r="Q473" s="14">
        <f t="shared" si="203"/>
        <v>18466.141675149149</v>
      </c>
      <c r="R473" s="14">
        <f t="shared" si="204"/>
        <v>17453.226007141078</v>
      </c>
      <c r="S473" s="14">
        <f t="shared" si="205"/>
        <v>0</v>
      </c>
      <c r="T473" s="14">
        <f t="shared" si="206"/>
        <v>0</v>
      </c>
      <c r="U473" s="14">
        <f t="shared" ref="U473:U478" si="209">SUM(G473:T473)</f>
        <v>199611.99999999997</v>
      </c>
      <c r="V473" s="39" t="str">
        <f t="shared" ref="V473:V478" si="210">IF(ABS(U473-F473)&lt;1,"ok","err")</f>
        <v>ok</v>
      </c>
    </row>
    <row r="474" spans="1:22" s="9" customFormat="1" x14ac:dyDescent="0.2">
      <c r="A474" s="13">
        <v>929</v>
      </c>
      <c r="B474" s="9" t="s">
        <v>446</v>
      </c>
      <c r="C474" s="4" t="s">
        <v>171</v>
      </c>
      <c r="D474" s="4" t="s">
        <v>73</v>
      </c>
      <c r="E474" s="4"/>
      <c r="F474" s="64">
        <v>0</v>
      </c>
      <c r="G474" s="14">
        <f t="shared" si="193"/>
        <v>0</v>
      </c>
      <c r="H474" s="14">
        <f t="shared" si="194"/>
        <v>0</v>
      </c>
      <c r="I474" s="14">
        <f t="shared" si="195"/>
        <v>0</v>
      </c>
      <c r="J474" s="14">
        <f t="shared" si="196"/>
        <v>0</v>
      </c>
      <c r="K474" s="14">
        <f t="shared" si="197"/>
        <v>0</v>
      </c>
      <c r="L474" s="14">
        <f t="shared" si="198"/>
        <v>0</v>
      </c>
      <c r="M474" s="14">
        <f t="shared" si="199"/>
        <v>0</v>
      </c>
      <c r="N474" s="14">
        <f t="shared" si="200"/>
        <v>0</v>
      </c>
      <c r="O474" s="14">
        <f t="shared" si="201"/>
        <v>0</v>
      </c>
      <c r="P474" s="14">
        <f t="shared" si="202"/>
        <v>0</v>
      </c>
      <c r="Q474" s="14">
        <f t="shared" si="203"/>
        <v>0</v>
      </c>
      <c r="R474" s="14">
        <f t="shared" si="204"/>
        <v>0</v>
      </c>
      <c r="S474" s="14">
        <f t="shared" si="205"/>
        <v>0</v>
      </c>
      <c r="T474" s="14">
        <f t="shared" si="206"/>
        <v>0</v>
      </c>
      <c r="U474" s="14">
        <f t="shared" si="209"/>
        <v>0</v>
      </c>
      <c r="V474" s="39" t="str">
        <f t="shared" si="210"/>
        <v>ok</v>
      </c>
    </row>
    <row r="475" spans="1:22" s="9" customFormat="1" x14ac:dyDescent="0.2">
      <c r="A475" s="13">
        <v>930.1</v>
      </c>
      <c r="B475" s="9" t="s">
        <v>447</v>
      </c>
      <c r="C475" s="4" t="s">
        <v>590</v>
      </c>
      <c r="D475" s="4" t="s">
        <v>73</v>
      </c>
      <c r="E475" s="4"/>
      <c r="F475" s="64">
        <v>0</v>
      </c>
      <c r="G475" s="14">
        <f t="shared" si="193"/>
        <v>0</v>
      </c>
      <c r="H475" s="14">
        <f t="shared" si="194"/>
        <v>0</v>
      </c>
      <c r="I475" s="14">
        <f t="shared" si="195"/>
        <v>0</v>
      </c>
      <c r="J475" s="14">
        <f t="shared" si="196"/>
        <v>0</v>
      </c>
      <c r="K475" s="14">
        <f t="shared" si="197"/>
        <v>0</v>
      </c>
      <c r="L475" s="14">
        <f t="shared" si="198"/>
        <v>0</v>
      </c>
      <c r="M475" s="14">
        <f t="shared" si="199"/>
        <v>0</v>
      </c>
      <c r="N475" s="14">
        <f t="shared" si="200"/>
        <v>0</v>
      </c>
      <c r="O475" s="14">
        <f t="shared" si="201"/>
        <v>0</v>
      </c>
      <c r="P475" s="14">
        <f t="shared" si="202"/>
        <v>0</v>
      </c>
      <c r="Q475" s="14">
        <f t="shared" si="203"/>
        <v>0</v>
      </c>
      <c r="R475" s="14">
        <f t="shared" si="204"/>
        <v>0</v>
      </c>
      <c r="S475" s="14">
        <f t="shared" si="205"/>
        <v>0</v>
      </c>
      <c r="T475" s="14">
        <f t="shared" si="206"/>
        <v>0</v>
      </c>
      <c r="U475" s="14">
        <f t="shared" si="209"/>
        <v>0</v>
      </c>
      <c r="V475" s="39" t="str">
        <f t="shared" si="210"/>
        <v>ok</v>
      </c>
    </row>
    <row r="476" spans="1:22" s="9" customFormat="1" x14ac:dyDescent="0.2">
      <c r="A476" s="13">
        <v>930.2</v>
      </c>
      <c r="B476" s="9" t="s">
        <v>448</v>
      </c>
      <c r="C476" s="4" t="s">
        <v>591</v>
      </c>
      <c r="D476" s="4" t="s">
        <v>162</v>
      </c>
      <c r="E476" s="4"/>
      <c r="F476" s="64">
        <v>111482</v>
      </c>
      <c r="G476" s="14">
        <f t="shared" si="193"/>
        <v>0</v>
      </c>
      <c r="H476" s="14">
        <f t="shared" si="194"/>
        <v>0</v>
      </c>
      <c r="I476" s="14">
        <f t="shared" si="195"/>
        <v>1975.9724478385026</v>
      </c>
      <c r="J476" s="14">
        <f t="shared" si="196"/>
        <v>2802.96147874694</v>
      </c>
      <c r="K476" s="14">
        <f t="shared" si="197"/>
        <v>50332.505048013823</v>
      </c>
      <c r="L476" s="14">
        <f t="shared" si="198"/>
        <v>522.24969075414367</v>
      </c>
      <c r="M476" s="14">
        <f t="shared" si="199"/>
        <v>5405.1052802150552</v>
      </c>
      <c r="N476" s="14">
        <f t="shared" si="200"/>
        <v>770.40412447200197</v>
      </c>
      <c r="O476" s="14">
        <f t="shared" si="201"/>
        <v>4704.2810144489686</v>
      </c>
      <c r="P476" s="14">
        <f t="shared" si="202"/>
        <v>11562.250847407769</v>
      </c>
      <c r="Q476" s="14">
        <f t="shared" si="203"/>
        <v>4906.90708581531</v>
      </c>
      <c r="R476" s="14">
        <f t="shared" si="204"/>
        <v>8357.5870050637368</v>
      </c>
      <c r="S476" s="14">
        <f t="shared" si="205"/>
        <v>20126.083131814594</v>
      </c>
      <c r="T476" s="14">
        <f t="shared" si="206"/>
        <v>15.692845409168347</v>
      </c>
      <c r="U476" s="14">
        <f t="shared" si="209"/>
        <v>111482</v>
      </c>
      <c r="V476" s="39" t="str">
        <f t="shared" si="210"/>
        <v>ok</v>
      </c>
    </row>
    <row r="477" spans="1:22" s="9" customFormat="1" x14ac:dyDescent="0.2">
      <c r="A477" s="13">
        <v>931</v>
      </c>
      <c r="B477" s="9" t="s">
        <v>112</v>
      </c>
      <c r="C477" s="4" t="s">
        <v>172</v>
      </c>
      <c r="D477" s="4" t="s">
        <v>73</v>
      </c>
      <c r="E477" s="4"/>
      <c r="F477" s="64">
        <v>7828</v>
      </c>
      <c r="G477" s="14">
        <f t="shared" si="193"/>
        <v>0</v>
      </c>
      <c r="H477" s="14">
        <f t="shared" si="194"/>
        <v>0</v>
      </c>
      <c r="I477" s="14">
        <f t="shared" si="195"/>
        <v>1001.3766352433266</v>
      </c>
      <c r="J477" s="14">
        <f t="shared" si="196"/>
        <v>0</v>
      </c>
      <c r="K477" s="14">
        <f t="shared" si="197"/>
        <v>2134.248606180458</v>
      </c>
      <c r="L477" s="14">
        <f t="shared" si="198"/>
        <v>0</v>
      </c>
      <c r="M477" s="14">
        <f t="shared" si="199"/>
        <v>0</v>
      </c>
      <c r="N477" s="14">
        <f t="shared" si="200"/>
        <v>108.80557846822676</v>
      </c>
      <c r="O477" s="14">
        <f t="shared" si="201"/>
        <v>918.19623769325801</v>
      </c>
      <c r="P477" s="14">
        <f t="shared" si="202"/>
        <v>2256.7561748007188</v>
      </c>
      <c r="Q477" s="14">
        <f t="shared" si="203"/>
        <v>724.16967433354478</v>
      </c>
      <c r="R477" s="14">
        <f t="shared" si="204"/>
        <v>684.44709328046588</v>
      </c>
      <c r="S477" s="14">
        <f t="shared" si="205"/>
        <v>0</v>
      </c>
      <c r="T477" s="14">
        <f t="shared" si="206"/>
        <v>0</v>
      </c>
      <c r="U477" s="14">
        <f t="shared" si="209"/>
        <v>7827.9999999999991</v>
      </c>
      <c r="V477" s="39" t="str">
        <f t="shared" si="210"/>
        <v>ok</v>
      </c>
    </row>
    <row r="478" spans="1:22" s="9" customFormat="1" x14ac:dyDescent="0.2">
      <c r="A478" s="13">
        <v>932</v>
      </c>
      <c r="B478" s="9" t="s">
        <v>191</v>
      </c>
      <c r="C478" s="4" t="s">
        <v>695</v>
      </c>
      <c r="D478" s="4" t="s">
        <v>62</v>
      </c>
      <c r="E478" s="4"/>
      <c r="F478" s="64">
        <v>56968</v>
      </c>
      <c r="G478" s="14">
        <f t="shared" si="193"/>
        <v>0</v>
      </c>
      <c r="H478" s="14">
        <f t="shared" si="194"/>
        <v>0</v>
      </c>
      <c r="I478" s="14">
        <f t="shared" si="195"/>
        <v>6675.7603164009925</v>
      </c>
      <c r="J478" s="14">
        <f t="shared" si="196"/>
        <v>0</v>
      </c>
      <c r="K478" s="14">
        <f t="shared" si="197"/>
        <v>15972.225219263886</v>
      </c>
      <c r="L478" s="14">
        <f t="shared" si="198"/>
        <v>0</v>
      </c>
      <c r="M478" s="14">
        <f t="shared" si="199"/>
        <v>0</v>
      </c>
      <c r="N478" s="14">
        <f t="shared" si="200"/>
        <v>814.27589989948149</v>
      </c>
      <c r="O478" s="14">
        <f t="shared" si="201"/>
        <v>6641.1815610727326</v>
      </c>
      <c r="P478" s="14">
        <f t="shared" si="202"/>
        <v>16322.793408058427</v>
      </c>
      <c r="Q478" s="14">
        <f t="shared" si="203"/>
        <v>5419.5191234616468</v>
      </c>
      <c r="R478" s="14">
        <f t="shared" si="204"/>
        <v>5122.2444718428305</v>
      </c>
      <c r="S478" s="14">
        <f t="shared" si="205"/>
        <v>0</v>
      </c>
      <c r="T478" s="14">
        <f t="shared" si="206"/>
        <v>0</v>
      </c>
      <c r="U478" s="14">
        <f t="shared" si="209"/>
        <v>56968</v>
      </c>
      <c r="V478" s="39" t="str">
        <f t="shared" si="210"/>
        <v>ok</v>
      </c>
    </row>
    <row r="479" spans="1:22" s="9" customFormat="1" x14ac:dyDescent="0.2">
      <c r="A479" s="13"/>
      <c r="C479" s="4"/>
      <c r="D479" s="4"/>
      <c r="E479" s="4"/>
      <c r="F479" s="64"/>
      <c r="G479" s="16"/>
      <c r="H479" s="4"/>
      <c r="I479" s="4"/>
      <c r="J479" s="4"/>
      <c r="K479" s="4"/>
      <c r="L479" s="4"/>
      <c r="M479" s="4"/>
      <c r="N479" s="4"/>
    </row>
    <row r="480" spans="1:22" s="9" customFormat="1" x14ac:dyDescent="0.2">
      <c r="A480" s="13" t="s">
        <v>477</v>
      </c>
      <c r="C480" s="4" t="s">
        <v>592</v>
      </c>
      <c r="D480" s="4"/>
      <c r="E480" s="4"/>
      <c r="F480" s="59">
        <f>SUM(F465:F478)</f>
        <v>7872866.3366401512</v>
      </c>
      <c r="G480" s="15">
        <f t="shared" ref="G480:T480" si="211">SUM(G465:G478)</f>
        <v>0</v>
      </c>
      <c r="H480" s="15">
        <f t="shared" si="211"/>
        <v>0</v>
      </c>
      <c r="I480" s="15">
        <f t="shared" si="211"/>
        <v>290810.11276599742</v>
      </c>
      <c r="J480" s="15">
        <f t="shared" si="211"/>
        <v>35913.745370864672</v>
      </c>
      <c r="K480" s="15">
        <f t="shared" si="211"/>
        <v>4075836.9814498536</v>
      </c>
      <c r="L480" s="15">
        <f t="shared" si="211"/>
        <v>133914.50655766262</v>
      </c>
      <c r="M480" s="15">
        <f t="shared" si="211"/>
        <v>295566.06440514082</v>
      </c>
      <c r="N480" s="15">
        <f t="shared" si="211"/>
        <v>43087.723169746692</v>
      </c>
      <c r="O480" s="15">
        <f t="shared" si="211"/>
        <v>433192.22255094082</v>
      </c>
      <c r="P480" s="15">
        <f t="shared" si="211"/>
        <v>1064706.1956749959</v>
      </c>
      <c r="Q480" s="15">
        <f t="shared" si="211"/>
        <v>369293.0950068559</v>
      </c>
      <c r="R480" s="15">
        <f t="shared" si="211"/>
        <v>477168.93586445757</v>
      </c>
      <c r="S480" s="15">
        <f t="shared" si="211"/>
        <v>653175.68475492147</v>
      </c>
      <c r="T480" s="15">
        <f t="shared" si="211"/>
        <v>201.0690687126982</v>
      </c>
      <c r="U480" s="14">
        <f>SUM(G480:T480)</f>
        <v>7872866.3366401512</v>
      </c>
      <c r="V480" s="39" t="str">
        <f>IF(ABS(U480-F480)&lt;1,"ok","err")</f>
        <v>ok</v>
      </c>
    </row>
    <row r="481" spans="1:22" s="9" customFormat="1" x14ac:dyDescent="0.2">
      <c r="A481" s="13"/>
      <c r="C481" s="4"/>
      <c r="D481" s="4"/>
      <c r="E481" s="4"/>
      <c r="F481" s="6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</row>
    <row r="482" spans="1:22" s="9" customFormat="1" x14ac:dyDescent="0.2">
      <c r="A482" s="13" t="s">
        <v>478</v>
      </c>
      <c r="C482" s="4" t="s">
        <v>93</v>
      </c>
      <c r="D482" s="4"/>
      <c r="E482" s="4"/>
      <c r="F482" s="59">
        <f>F332+F367+F436+F446+F449+F452+F480</f>
        <v>16006948.249243706</v>
      </c>
      <c r="G482" s="15">
        <f t="shared" ref="G482:U482" si="212">G332+G367+G436+G446+G449+G452+G480</f>
        <v>0</v>
      </c>
      <c r="H482" s="15">
        <f t="shared" si="212"/>
        <v>0</v>
      </c>
      <c r="I482" s="15">
        <f t="shared" si="212"/>
        <v>434983.35820262518</v>
      </c>
      <c r="J482" s="15">
        <f t="shared" si="212"/>
        <v>240426.74537086466</v>
      </c>
      <c r="K482" s="15">
        <f t="shared" si="212"/>
        <v>7748256.9140584935</v>
      </c>
      <c r="L482" s="15">
        <f t="shared" si="212"/>
        <v>172019.50793390346</v>
      </c>
      <c r="M482" s="15">
        <f t="shared" si="212"/>
        <v>689939.76684603037</v>
      </c>
      <c r="N482" s="15">
        <f t="shared" si="212"/>
        <v>99298.86267444602</v>
      </c>
      <c r="O482" s="15">
        <f t="shared" si="212"/>
        <v>776431.55366657977</v>
      </c>
      <c r="P482" s="15">
        <f t="shared" si="212"/>
        <v>1908324.8559688968</v>
      </c>
      <c r="Q482" s="15">
        <f t="shared" si="212"/>
        <v>727316.66987595172</v>
      </c>
      <c r="R482" s="15">
        <f t="shared" si="212"/>
        <v>1086965.1118471227</v>
      </c>
      <c r="S482" s="15">
        <f t="shared" si="212"/>
        <v>2121638.8337300797</v>
      </c>
      <c r="T482" s="15">
        <f t="shared" si="212"/>
        <v>1346.0690687126983</v>
      </c>
      <c r="U482" s="15">
        <f t="shared" si="212"/>
        <v>16006948.249243706</v>
      </c>
      <c r="V482" s="39" t="str">
        <f>IF(ABS(U482-F482)&lt;1,"ok","err")</f>
        <v>ok</v>
      </c>
    </row>
    <row r="483" spans="1:22" s="9" customFormat="1" x14ac:dyDescent="0.2">
      <c r="A483" s="13"/>
      <c r="C483" s="4"/>
      <c r="D483" s="4"/>
      <c r="E483" s="4"/>
      <c r="F483" s="65"/>
      <c r="G483" s="4"/>
      <c r="H483" s="4"/>
      <c r="I483" s="4"/>
      <c r="J483" s="4"/>
      <c r="K483" s="4"/>
      <c r="L483" s="4"/>
      <c r="M483" s="4"/>
      <c r="N483" s="4"/>
    </row>
    <row r="484" spans="1:22" s="9" customFormat="1" x14ac:dyDescent="0.2">
      <c r="A484" s="13"/>
      <c r="C484" s="4"/>
      <c r="D484" s="4"/>
      <c r="E484" s="4"/>
      <c r="F484" s="65">
        <f>SUM(F468:F478)+F465+F466-F477</f>
        <v>9795419.3366401512</v>
      </c>
      <c r="G484" s="4"/>
      <c r="H484" s="4"/>
      <c r="I484" s="4"/>
      <c r="J484" s="4"/>
      <c r="K484" s="4"/>
      <c r="L484" s="4"/>
      <c r="M484" s="4"/>
      <c r="N484" s="4"/>
    </row>
    <row r="485" spans="1:22" x14ac:dyDescent="0.2">
      <c r="F485" s="48"/>
    </row>
    <row r="486" spans="1:22" x14ac:dyDescent="0.2">
      <c r="F486" s="70"/>
    </row>
    <row r="487" spans="1:22" x14ac:dyDescent="0.2">
      <c r="F487" s="48"/>
    </row>
    <row r="488" spans="1:22" x14ac:dyDescent="0.2">
      <c r="F488" s="48"/>
    </row>
    <row r="489" spans="1:22" x14ac:dyDescent="0.2">
      <c r="F489" s="48"/>
    </row>
    <row r="490" spans="1:22" x14ac:dyDescent="0.2">
      <c r="F490" s="48"/>
    </row>
    <row r="491" spans="1:22" x14ac:dyDescent="0.2">
      <c r="F491" s="48"/>
    </row>
    <row r="492" spans="1:22" x14ac:dyDescent="0.2">
      <c r="F492" s="48"/>
    </row>
    <row r="493" spans="1:22" x14ac:dyDescent="0.2">
      <c r="F493" s="48"/>
    </row>
    <row r="494" spans="1:22" x14ac:dyDescent="0.2">
      <c r="F494" s="48"/>
    </row>
    <row r="495" spans="1:22" x14ac:dyDescent="0.2">
      <c r="F495" s="48"/>
    </row>
    <row r="496" spans="1:22" x14ac:dyDescent="0.2">
      <c r="F496" s="48"/>
    </row>
    <row r="497" spans="1:22" x14ac:dyDescent="0.2">
      <c r="F497" s="48"/>
    </row>
    <row r="498" spans="1:22" x14ac:dyDescent="0.2">
      <c r="F498" s="48"/>
    </row>
    <row r="499" spans="1:22" x14ac:dyDescent="0.2">
      <c r="F499" s="48"/>
    </row>
    <row r="500" spans="1:22" x14ac:dyDescent="0.2">
      <c r="F500" s="48"/>
    </row>
    <row r="501" spans="1:22" x14ac:dyDescent="0.2">
      <c r="F501" s="48"/>
    </row>
    <row r="502" spans="1:22" x14ac:dyDescent="0.2">
      <c r="F502" s="48"/>
    </row>
    <row r="503" spans="1:22" x14ac:dyDescent="0.2">
      <c r="F503" s="48"/>
    </row>
    <row r="504" spans="1:22" x14ac:dyDescent="0.2">
      <c r="A504" s="11" t="s">
        <v>175</v>
      </c>
      <c r="F504" s="48"/>
    </row>
    <row r="505" spans="1:22" x14ac:dyDescent="0.2">
      <c r="F505" s="48"/>
    </row>
    <row r="506" spans="1:22" x14ac:dyDescent="0.2">
      <c r="A506" s="8"/>
      <c r="F506" s="48"/>
    </row>
    <row r="507" spans="1:22" x14ac:dyDescent="0.2">
      <c r="A507" s="1" t="s">
        <v>397</v>
      </c>
      <c r="F507" s="48"/>
    </row>
    <row r="508" spans="1:22" s="28" customFormat="1" x14ac:dyDescent="0.2">
      <c r="A508" s="19" t="s">
        <v>21</v>
      </c>
      <c r="B508" s="19" t="s">
        <v>395</v>
      </c>
      <c r="C508" s="21" t="s">
        <v>604</v>
      </c>
      <c r="D508" s="21" t="s">
        <v>24</v>
      </c>
      <c r="E508" s="21"/>
      <c r="F508" s="204">
        <v>788193</v>
      </c>
      <c r="G508" s="14">
        <f>(VLOOKUP($D508,$C$5:$AH$1004,5,)/VLOOKUP($D508,$C$5:$AH$1004,4,))*$F508</f>
        <v>0</v>
      </c>
      <c r="H508" s="14">
        <f>(VLOOKUP($D508,$C$5:$AH$1004,6,)/VLOOKUP($D508,$C$5:$AH$1004,4,))*$F508</f>
        <v>0</v>
      </c>
      <c r="I508" s="14">
        <f>(VLOOKUP($D508,$C$5:$AH$1004,7,)/VLOOKUP($D508,$C$5:$AH$1004,4,))*$F508</f>
        <v>788193</v>
      </c>
      <c r="J508" s="14">
        <f>(VLOOKUP($D508,$C$5:$AH$1004,8,)/VLOOKUP($D508,$C$5:$AH$1004,4,))*$F508</f>
        <v>0</v>
      </c>
      <c r="K508" s="14">
        <f>(VLOOKUP($D508,$C$5:$AH$1004,9,)/VLOOKUP($D508,$C$5:$AH$1004,4,))*$F508</f>
        <v>0</v>
      </c>
      <c r="L508" s="14">
        <f>(VLOOKUP($D508,$C$5:$AH$1004,10,)/VLOOKUP($D508,$C$5:$AH$1004,4,))*$F508</f>
        <v>0</v>
      </c>
      <c r="M508" s="14">
        <f>(VLOOKUP($D508,$C$5:$AH$1004,11,)/VLOOKUP($D508,$C$5:$AH$1004,4,))*$F508</f>
        <v>0</v>
      </c>
      <c r="N508" s="14">
        <f>(VLOOKUP($D508,$C$5:$AH$1004,12,)/VLOOKUP($D508,$C$5:$AH$1004,4,))*$F508</f>
        <v>0</v>
      </c>
      <c r="O508" s="14">
        <f>(VLOOKUP($D508,$C$5:$AH$1004,13,)/VLOOKUP($D508,$C$5:$AH$1004,4,))*$F508</f>
        <v>0</v>
      </c>
      <c r="P508" s="14">
        <f>(VLOOKUP($D508,$C$5:$AH$1004,14,)/VLOOKUP($D508,$C$5:$AH$1004,4,))*$F508</f>
        <v>0</v>
      </c>
      <c r="Q508" s="14">
        <f>(VLOOKUP($D508,$C$5:$AH$1004,15,)/VLOOKUP($D508,$C$5:$AH$1004,4,))*$F508</f>
        <v>0</v>
      </c>
      <c r="R508" s="14">
        <f>(VLOOKUP($D508,$C$5:$AH$1004,16,)/VLOOKUP($D508,$C$5:$AH$1004,4,))*$F508</f>
        <v>0</v>
      </c>
      <c r="S508" s="14">
        <f>(VLOOKUP($D508,$C$5:$AH$1004,17,)/VLOOKUP($D508,$C$5:$AH$1004,4,))*$F508</f>
        <v>0</v>
      </c>
      <c r="T508" s="14">
        <f>(VLOOKUP($D508,$C$5:$AH$1004,18,)/VLOOKUP($D508,$C$5:$AH$1004,4,))*$F508</f>
        <v>0</v>
      </c>
      <c r="U508" s="14">
        <f>SUM(G508:T508)</f>
        <v>788193</v>
      </c>
      <c r="V508" s="39" t="str">
        <f>IF(ABS(U508-F508)&lt;1,"ok","err")</f>
        <v>ok</v>
      </c>
    </row>
    <row r="509" spans="1:22" s="28" customFormat="1" x14ac:dyDescent="0.2">
      <c r="A509" s="19"/>
      <c r="B509" s="19"/>
      <c r="C509" s="21"/>
      <c r="D509" s="21"/>
      <c r="E509" s="21"/>
      <c r="F509" s="20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39"/>
    </row>
    <row r="510" spans="1:22" s="28" customFormat="1" x14ac:dyDescent="0.2">
      <c r="A510" s="1" t="s">
        <v>3</v>
      </c>
      <c r="B510" s="19"/>
      <c r="C510" s="21"/>
      <c r="D510" s="21"/>
      <c r="E510" s="21"/>
      <c r="F510" s="20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39"/>
    </row>
    <row r="511" spans="1:22" s="28" customFormat="1" x14ac:dyDescent="0.2">
      <c r="A511" s="19" t="s">
        <v>394</v>
      </c>
      <c r="B511" s="19" t="s">
        <v>390</v>
      </c>
      <c r="C511" s="21" t="s">
        <v>605</v>
      </c>
      <c r="D511" s="21" t="s">
        <v>27</v>
      </c>
      <c r="E511" s="21"/>
      <c r="F511" s="204">
        <v>1968476</v>
      </c>
      <c r="G511" s="14">
        <f>(VLOOKUP($D511,$C$5:$AH$1004,5,)/VLOOKUP($D511,$C$5:$AH$1004,4,))*$F511</f>
        <v>0</v>
      </c>
      <c r="H511" s="14">
        <f>(VLOOKUP($D511,$C$5:$AH$1004,6,)/VLOOKUP($D511,$C$5:$AH$1004,4,))*$F511</f>
        <v>0</v>
      </c>
      <c r="I511" s="14">
        <f>(VLOOKUP($D511,$C$5:$AH$1004,7,)/VLOOKUP($D511,$C$5:$AH$1004,4,))*$F511</f>
        <v>0</v>
      </c>
      <c r="J511" s="14">
        <f>(VLOOKUP($D511,$C$5:$AH$1004,8,)/VLOOKUP($D511,$C$5:$AH$1004,4,))*$F511</f>
        <v>0</v>
      </c>
      <c r="K511" s="14">
        <f>(VLOOKUP($D511,$C$5:$AH$1004,9,)/VLOOKUP($D511,$C$5:$AH$1004,4,))*$F511</f>
        <v>1968476</v>
      </c>
      <c r="L511" s="14">
        <f>(VLOOKUP($D511,$C$5:$AH$1004,10,)/VLOOKUP($D511,$C$5:$AH$1004,4,))*$F511</f>
        <v>0</v>
      </c>
      <c r="M511" s="14">
        <f>(VLOOKUP($D511,$C$5:$AH$1004,11,)/VLOOKUP($D511,$C$5:$AH$1004,4,))*$F511</f>
        <v>0</v>
      </c>
      <c r="N511" s="14">
        <f>(VLOOKUP($D511,$C$5:$AH$1004,12,)/VLOOKUP($D511,$C$5:$AH$1004,4,))*$F511</f>
        <v>0</v>
      </c>
      <c r="O511" s="14">
        <f>(VLOOKUP($D511,$C$5:$AH$1004,13,)/VLOOKUP($D511,$C$5:$AH$1004,4,))*$F511</f>
        <v>0</v>
      </c>
      <c r="P511" s="14">
        <f>(VLOOKUP($D511,$C$5:$AH$1004,14,)/VLOOKUP($D511,$C$5:$AH$1004,4,))*$F511</f>
        <v>0</v>
      </c>
      <c r="Q511" s="14">
        <f>(VLOOKUP($D511,$C$5:$AH$1004,15,)/VLOOKUP($D511,$C$5:$AH$1004,4,))*$F511</f>
        <v>0</v>
      </c>
      <c r="R511" s="14">
        <f>(VLOOKUP($D511,$C$5:$AH$1004,16,)/VLOOKUP($D511,$C$5:$AH$1004,4,))*$F511</f>
        <v>0</v>
      </c>
      <c r="S511" s="14">
        <f>(VLOOKUP($D511,$C$5:$AH$1004,17,)/VLOOKUP($D511,$C$5:$AH$1004,4,))*$F511</f>
        <v>0</v>
      </c>
      <c r="T511" s="14">
        <f>(VLOOKUP($D511,$C$5:$AH$1004,18,)/VLOOKUP($D511,$C$5:$AH$1004,4,))*$F511</f>
        <v>0</v>
      </c>
      <c r="U511" s="14">
        <f>SUM(G511:T511)</f>
        <v>1968476</v>
      </c>
      <c r="V511" s="39" t="str">
        <f>IF(ABS(U511-F511)&lt;1,"ok","err")</f>
        <v>ok</v>
      </c>
    </row>
    <row r="512" spans="1:22" s="28" customFormat="1" x14ac:dyDescent="0.2">
      <c r="A512" s="19"/>
      <c r="B512" s="19"/>
      <c r="C512" s="21"/>
      <c r="D512" s="21"/>
      <c r="E512" s="21"/>
      <c r="F512" s="20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39"/>
    </row>
    <row r="513" spans="1:22" s="28" customFormat="1" x14ac:dyDescent="0.2">
      <c r="A513" s="1" t="s">
        <v>4</v>
      </c>
      <c r="B513" s="19"/>
      <c r="C513" s="21"/>
      <c r="D513" s="21"/>
      <c r="E513" s="21"/>
      <c r="F513" s="20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39"/>
    </row>
    <row r="514" spans="1:22" s="28" customFormat="1" x14ac:dyDescent="0.2">
      <c r="A514" s="22">
        <v>374</v>
      </c>
      <c r="B514" s="19" t="s">
        <v>606</v>
      </c>
      <c r="C514" s="21" t="s">
        <v>610</v>
      </c>
      <c r="D514" s="21" t="s">
        <v>38</v>
      </c>
      <c r="E514" s="21"/>
      <c r="F514" s="204">
        <v>0</v>
      </c>
      <c r="G514" s="14">
        <f t="shared" ref="G514:G526" si="213">(VLOOKUP($D514,$C$5:$AH$1004,5,)/VLOOKUP($D514,$C$5:$AH$1004,4,))*$F514</f>
        <v>0</v>
      </c>
      <c r="H514" s="14">
        <f t="shared" ref="H514:H526" si="214">(VLOOKUP($D514,$C$5:$AH$1004,6,)/VLOOKUP($D514,$C$5:$AH$1004,4,))*$F514</f>
        <v>0</v>
      </c>
      <c r="I514" s="14">
        <f t="shared" ref="I514:I526" si="215">(VLOOKUP($D514,$C$5:$AH$1004,7,)/VLOOKUP($D514,$C$5:$AH$1004,4,))*$F514</f>
        <v>0</v>
      </c>
      <c r="J514" s="14">
        <f t="shared" ref="J514:J526" si="216">(VLOOKUP($D514,$C$5:$AH$1004,8,)/VLOOKUP($D514,$C$5:$AH$1004,4,))*$F514</f>
        <v>0</v>
      </c>
      <c r="K514" s="14">
        <f t="shared" ref="K514:K526" si="217">(VLOOKUP($D514,$C$5:$AH$1004,9,)/VLOOKUP($D514,$C$5:$AH$1004,4,))*$F514</f>
        <v>0</v>
      </c>
      <c r="L514" s="14">
        <f t="shared" ref="L514:L526" si="218">(VLOOKUP($D514,$C$5:$AH$1004,10,)/VLOOKUP($D514,$C$5:$AH$1004,4,))*$F514</f>
        <v>0</v>
      </c>
      <c r="M514" s="14">
        <f t="shared" ref="M514:M526" si="219">(VLOOKUP($D514,$C$5:$AH$1004,11,)/VLOOKUP($D514,$C$5:$AH$1004,4,))*$F514</f>
        <v>0</v>
      </c>
      <c r="N514" s="14">
        <f t="shared" ref="N514:N526" si="220">(VLOOKUP($D514,$C$5:$AH$1004,12,)/VLOOKUP($D514,$C$5:$AH$1004,4,))*$F514</f>
        <v>0</v>
      </c>
      <c r="O514" s="14">
        <f t="shared" ref="O514:O526" si="221">(VLOOKUP($D514,$C$5:$AH$1004,13,)/VLOOKUP($D514,$C$5:$AH$1004,4,))*$F514</f>
        <v>0</v>
      </c>
      <c r="P514" s="14">
        <f t="shared" ref="P514:P526" si="222">(VLOOKUP($D514,$C$5:$AH$1004,14,)/VLOOKUP($D514,$C$5:$AH$1004,4,))*$F514</f>
        <v>0</v>
      </c>
      <c r="Q514" s="14">
        <f t="shared" ref="Q514:Q526" si="223">(VLOOKUP($D514,$C$5:$AH$1004,15,)/VLOOKUP($D514,$C$5:$AH$1004,4,))*$F514</f>
        <v>0</v>
      </c>
      <c r="R514" s="14">
        <f t="shared" ref="R514:R526" si="224">(VLOOKUP($D514,$C$5:$AH$1004,16,)/VLOOKUP($D514,$C$5:$AH$1004,4,))*$F514</f>
        <v>0</v>
      </c>
      <c r="S514" s="14">
        <f t="shared" ref="S514:S526" si="225">(VLOOKUP($D514,$C$5:$AH$1004,17,)/VLOOKUP($D514,$C$5:$AH$1004,4,))*$F514</f>
        <v>0</v>
      </c>
      <c r="T514" s="14">
        <f t="shared" ref="T514:T526" si="226">(VLOOKUP($D514,$C$5:$AH$1004,18,)/VLOOKUP($D514,$C$5:$AH$1004,4,))*$F514</f>
        <v>0</v>
      </c>
      <c r="U514" s="14">
        <f>SUM(G514:T514)</f>
        <v>0</v>
      </c>
      <c r="V514" s="39" t="str">
        <f>IF(ABS(U514-F514)&lt;1,"ok","err")</f>
        <v>ok</v>
      </c>
    </row>
    <row r="515" spans="1:22" s="28" customFormat="1" x14ac:dyDescent="0.2">
      <c r="A515" s="22">
        <v>375</v>
      </c>
      <c r="B515" s="19" t="s">
        <v>28</v>
      </c>
      <c r="C515" s="21" t="s">
        <v>611</v>
      </c>
      <c r="D515" s="31" t="s">
        <v>38</v>
      </c>
      <c r="E515" s="21"/>
      <c r="F515" s="49">
        <v>2747</v>
      </c>
      <c r="G515" s="14">
        <f t="shared" si="213"/>
        <v>0</v>
      </c>
      <c r="H515" s="14">
        <f t="shared" si="214"/>
        <v>0</v>
      </c>
      <c r="I515" s="14">
        <f t="shared" si="215"/>
        <v>0</v>
      </c>
      <c r="J515" s="14">
        <f t="shared" si="216"/>
        <v>0</v>
      </c>
      <c r="K515" s="14">
        <f t="shared" si="217"/>
        <v>0</v>
      </c>
      <c r="L515" s="14">
        <f t="shared" si="218"/>
        <v>0</v>
      </c>
      <c r="M515" s="14">
        <f t="shared" si="219"/>
        <v>0</v>
      </c>
      <c r="N515" s="14">
        <f t="shared" si="220"/>
        <v>2747</v>
      </c>
      <c r="O515" s="14">
        <f t="shared" si="221"/>
        <v>0</v>
      </c>
      <c r="P515" s="14">
        <f t="shared" si="222"/>
        <v>0</v>
      </c>
      <c r="Q515" s="14">
        <f t="shared" si="223"/>
        <v>0</v>
      </c>
      <c r="R515" s="14">
        <f t="shared" si="224"/>
        <v>0</v>
      </c>
      <c r="S515" s="14">
        <f t="shared" si="225"/>
        <v>0</v>
      </c>
      <c r="T515" s="14">
        <f t="shared" si="226"/>
        <v>0</v>
      </c>
      <c r="U515" s="14">
        <f t="shared" ref="U515:U525" si="227">SUM(G515:T515)</f>
        <v>2747</v>
      </c>
      <c r="V515" s="39" t="str">
        <f t="shared" ref="V515:V528" si="228">IF(ABS(U515-F515)&lt;1,"ok","err")</f>
        <v>ok</v>
      </c>
    </row>
    <row r="516" spans="1:22" s="28" customFormat="1" x14ac:dyDescent="0.2">
      <c r="A516" s="22">
        <v>376</v>
      </c>
      <c r="B516" s="19" t="s">
        <v>30</v>
      </c>
      <c r="C516" s="21" t="s">
        <v>612</v>
      </c>
      <c r="D516" s="31" t="s">
        <v>40</v>
      </c>
      <c r="E516" s="21"/>
      <c r="F516" s="49">
        <v>3208703</v>
      </c>
      <c r="G516" s="14">
        <f t="shared" si="213"/>
        <v>0</v>
      </c>
      <c r="H516" s="14">
        <f t="shared" si="214"/>
        <v>0</v>
      </c>
      <c r="I516" s="14">
        <f t="shared" si="215"/>
        <v>0</v>
      </c>
      <c r="J516" s="14">
        <f t="shared" si="216"/>
        <v>0</v>
      </c>
      <c r="K516" s="14">
        <f t="shared" si="217"/>
        <v>0</v>
      </c>
      <c r="L516" s="14">
        <f t="shared" si="218"/>
        <v>0</v>
      </c>
      <c r="M516" s="14">
        <f t="shared" si="219"/>
        <v>0</v>
      </c>
      <c r="N516" s="14">
        <f t="shared" si="220"/>
        <v>0</v>
      </c>
      <c r="O516" s="14">
        <f t="shared" si="221"/>
        <v>927956.90760000004</v>
      </c>
      <c r="P516" s="14">
        <f t="shared" si="222"/>
        <v>2280746.0924</v>
      </c>
      <c r="Q516" s="14">
        <f t="shared" si="223"/>
        <v>0</v>
      </c>
      <c r="R516" s="14">
        <f t="shared" si="224"/>
        <v>0</v>
      </c>
      <c r="S516" s="14">
        <f t="shared" si="225"/>
        <v>0</v>
      </c>
      <c r="T516" s="14">
        <f t="shared" si="226"/>
        <v>0</v>
      </c>
      <c r="U516" s="14">
        <f t="shared" si="227"/>
        <v>3208703</v>
      </c>
      <c r="V516" s="39" t="str">
        <f t="shared" si="228"/>
        <v>ok</v>
      </c>
    </row>
    <row r="517" spans="1:22" s="28" customFormat="1" x14ac:dyDescent="0.2">
      <c r="A517" s="22">
        <v>378</v>
      </c>
      <c r="B517" s="19" t="s">
        <v>608</v>
      </c>
      <c r="C517" s="21" t="s">
        <v>613</v>
      </c>
      <c r="D517" s="31" t="s">
        <v>38</v>
      </c>
      <c r="E517" s="21"/>
      <c r="F517" s="49">
        <v>72582</v>
      </c>
      <c r="G517" s="14">
        <f t="shared" si="213"/>
        <v>0</v>
      </c>
      <c r="H517" s="14">
        <f t="shared" si="214"/>
        <v>0</v>
      </c>
      <c r="I517" s="14">
        <f t="shared" si="215"/>
        <v>0</v>
      </c>
      <c r="J517" s="14">
        <f t="shared" si="216"/>
        <v>0</v>
      </c>
      <c r="K517" s="14">
        <f t="shared" si="217"/>
        <v>0</v>
      </c>
      <c r="L517" s="14">
        <f t="shared" si="218"/>
        <v>0</v>
      </c>
      <c r="M517" s="14">
        <f t="shared" si="219"/>
        <v>0</v>
      </c>
      <c r="N517" s="14">
        <f t="shared" si="220"/>
        <v>72582</v>
      </c>
      <c r="O517" s="14">
        <f t="shared" si="221"/>
        <v>0</v>
      </c>
      <c r="P517" s="14">
        <f t="shared" si="222"/>
        <v>0</v>
      </c>
      <c r="Q517" s="14">
        <f t="shared" si="223"/>
        <v>0</v>
      </c>
      <c r="R517" s="14">
        <f t="shared" si="224"/>
        <v>0</v>
      </c>
      <c r="S517" s="14">
        <f t="shared" si="225"/>
        <v>0</v>
      </c>
      <c r="T517" s="14">
        <f t="shared" si="226"/>
        <v>0</v>
      </c>
      <c r="U517" s="14">
        <f t="shared" si="227"/>
        <v>72582</v>
      </c>
      <c r="V517" s="39" t="str">
        <f t="shared" si="228"/>
        <v>ok</v>
      </c>
    </row>
    <row r="518" spans="1:22" s="28" customFormat="1" x14ac:dyDescent="0.2">
      <c r="A518" s="22">
        <v>379</v>
      </c>
      <c r="B518" s="19" t="s">
        <v>607</v>
      </c>
      <c r="C518" s="21" t="s">
        <v>614</v>
      </c>
      <c r="D518" s="31" t="s">
        <v>38</v>
      </c>
      <c r="E518" s="21"/>
      <c r="F518" s="49">
        <v>20954</v>
      </c>
      <c r="G518" s="14">
        <f t="shared" si="213"/>
        <v>0</v>
      </c>
      <c r="H518" s="14">
        <f t="shared" si="214"/>
        <v>0</v>
      </c>
      <c r="I518" s="14">
        <f t="shared" si="215"/>
        <v>0</v>
      </c>
      <c r="J518" s="14">
        <f t="shared" si="216"/>
        <v>0</v>
      </c>
      <c r="K518" s="14">
        <f t="shared" si="217"/>
        <v>0</v>
      </c>
      <c r="L518" s="14">
        <f t="shared" si="218"/>
        <v>0</v>
      </c>
      <c r="M518" s="14">
        <f t="shared" si="219"/>
        <v>0</v>
      </c>
      <c r="N518" s="14">
        <f t="shared" si="220"/>
        <v>20954</v>
      </c>
      <c r="O518" s="14">
        <f t="shared" si="221"/>
        <v>0</v>
      </c>
      <c r="P518" s="14">
        <f t="shared" si="222"/>
        <v>0</v>
      </c>
      <c r="Q518" s="14">
        <f t="shared" si="223"/>
        <v>0</v>
      </c>
      <c r="R518" s="14">
        <f t="shared" si="224"/>
        <v>0</v>
      </c>
      <c r="S518" s="14">
        <f t="shared" si="225"/>
        <v>0</v>
      </c>
      <c r="T518" s="14">
        <f t="shared" si="226"/>
        <v>0</v>
      </c>
      <c r="U518" s="14">
        <f t="shared" si="227"/>
        <v>20954</v>
      </c>
      <c r="V518" s="39" t="str">
        <f t="shared" si="228"/>
        <v>ok</v>
      </c>
    </row>
    <row r="519" spans="1:22" s="28" customFormat="1" x14ac:dyDescent="0.2">
      <c r="A519" s="22">
        <v>380</v>
      </c>
      <c r="B519" s="19" t="s">
        <v>9</v>
      </c>
      <c r="C519" s="21" t="s">
        <v>615</v>
      </c>
      <c r="D519" s="31" t="s">
        <v>42</v>
      </c>
      <c r="E519" s="21"/>
      <c r="F519" s="49">
        <v>769671</v>
      </c>
      <c r="G519" s="14">
        <f t="shared" si="213"/>
        <v>0</v>
      </c>
      <c r="H519" s="14">
        <f t="shared" si="214"/>
        <v>0</v>
      </c>
      <c r="I519" s="14">
        <f t="shared" si="215"/>
        <v>0</v>
      </c>
      <c r="J519" s="14">
        <f t="shared" si="216"/>
        <v>0</v>
      </c>
      <c r="K519" s="14">
        <f t="shared" si="217"/>
        <v>0</v>
      </c>
      <c r="L519" s="14">
        <f t="shared" si="218"/>
        <v>0</v>
      </c>
      <c r="M519" s="14">
        <f t="shared" si="219"/>
        <v>0</v>
      </c>
      <c r="N519" s="14">
        <f t="shared" si="220"/>
        <v>0</v>
      </c>
      <c r="O519" s="14">
        <f t="shared" si="221"/>
        <v>0</v>
      </c>
      <c r="P519" s="14">
        <f t="shared" si="222"/>
        <v>0</v>
      </c>
      <c r="Q519" s="14">
        <f t="shared" si="223"/>
        <v>769671</v>
      </c>
      <c r="R519" s="14">
        <f t="shared" si="224"/>
        <v>0</v>
      </c>
      <c r="S519" s="14">
        <f t="shared" si="225"/>
        <v>0</v>
      </c>
      <c r="T519" s="14">
        <f t="shared" si="226"/>
        <v>0</v>
      </c>
      <c r="U519" s="14">
        <f t="shared" si="227"/>
        <v>769671</v>
      </c>
      <c r="V519" s="39" t="str">
        <f t="shared" si="228"/>
        <v>ok</v>
      </c>
    </row>
    <row r="520" spans="1:22" s="28" customFormat="1" x14ac:dyDescent="0.2">
      <c r="A520" s="22">
        <v>381</v>
      </c>
      <c r="B520" s="19" t="s">
        <v>10</v>
      </c>
      <c r="C520" s="21" t="s">
        <v>616</v>
      </c>
      <c r="D520" s="31" t="s">
        <v>45</v>
      </c>
      <c r="E520" s="21"/>
      <c r="F520" s="49">
        <v>319301</v>
      </c>
      <c r="G520" s="14">
        <f t="shared" si="213"/>
        <v>0</v>
      </c>
      <c r="H520" s="14">
        <f t="shared" si="214"/>
        <v>0</v>
      </c>
      <c r="I520" s="14">
        <f t="shared" si="215"/>
        <v>0</v>
      </c>
      <c r="J520" s="14">
        <f t="shared" si="216"/>
        <v>0</v>
      </c>
      <c r="K520" s="14">
        <f t="shared" si="217"/>
        <v>0</v>
      </c>
      <c r="L520" s="14">
        <f t="shared" si="218"/>
        <v>0</v>
      </c>
      <c r="M520" s="14">
        <f t="shared" si="219"/>
        <v>0</v>
      </c>
      <c r="N520" s="14">
        <f t="shared" si="220"/>
        <v>0</v>
      </c>
      <c r="O520" s="14">
        <f t="shared" si="221"/>
        <v>0</v>
      </c>
      <c r="P520" s="14">
        <f t="shared" si="222"/>
        <v>0</v>
      </c>
      <c r="Q520" s="14">
        <f t="shared" si="223"/>
        <v>0</v>
      </c>
      <c r="R520" s="14">
        <f t="shared" si="224"/>
        <v>319301</v>
      </c>
      <c r="S520" s="14">
        <f t="shared" si="225"/>
        <v>0</v>
      </c>
      <c r="T520" s="14">
        <f t="shared" si="226"/>
        <v>0</v>
      </c>
      <c r="U520" s="14">
        <f t="shared" si="227"/>
        <v>319301</v>
      </c>
      <c r="V520" s="39" t="str">
        <f t="shared" si="228"/>
        <v>ok</v>
      </c>
    </row>
    <row r="521" spans="1:22" s="28" customFormat="1" x14ac:dyDescent="0.2">
      <c r="A521" s="22">
        <v>382</v>
      </c>
      <c r="B521" s="19" t="s">
        <v>43</v>
      </c>
      <c r="C521" s="21" t="s">
        <v>617</v>
      </c>
      <c r="D521" s="31" t="s">
        <v>45</v>
      </c>
      <c r="E521" s="21"/>
      <c r="F521" s="49">
        <v>231967</v>
      </c>
      <c r="G521" s="14">
        <f t="shared" si="213"/>
        <v>0</v>
      </c>
      <c r="H521" s="14">
        <f t="shared" si="214"/>
        <v>0</v>
      </c>
      <c r="I521" s="14">
        <f t="shared" si="215"/>
        <v>0</v>
      </c>
      <c r="J521" s="14">
        <f t="shared" si="216"/>
        <v>0</v>
      </c>
      <c r="K521" s="14">
        <f t="shared" si="217"/>
        <v>0</v>
      </c>
      <c r="L521" s="14">
        <f t="shared" si="218"/>
        <v>0</v>
      </c>
      <c r="M521" s="14">
        <f t="shared" si="219"/>
        <v>0</v>
      </c>
      <c r="N521" s="14">
        <f t="shared" si="220"/>
        <v>0</v>
      </c>
      <c r="O521" s="14">
        <f t="shared" si="221"/>
        <v>0</v>
      </c>
      <c r="P521" s="14">
        <f t="shared" si="222"/>
        <v>0</v>
      </c>
      <c r="Q521" s="14">
        <f t="shared" si="223"/>
        <v>0</v>
      </c>
      <c r="R521" s="14">
        <f t="shared" si="224"/>
        <v>231967</v>
      </c>
      <c r="S521" s="14">
        <f t="shared" si="225"/>
        <v>0</v>
      </c>
      <c r="T521" s="14">
        <f t="shared" si="226"/>
        <v>0</v>
      </c>
      <c r="U521" s="14">
        <f t="shared" si="227"/>
        <v>231967</v>
      </c>
      <c r="V521" s="39" t="str">
        <f t="shared" si="228"/>
        <v>ok</v>
      </c>
    </row>
    <row r="522" spans="1:22" s="28" customFormat="1" x14ac:dyDescent="0.2">
      <c r="A522" s="22">
        <v>383</v>
      </c>
      <c r="B522" s="19" t="s">
        <v>46</v>
      </c>
      <c r="C522" s="21" t="s">
        <v>618</v>
      </c>
      <c r="D522" s="31" t="s">
        <v>45</v>
      </c>
      <c r="E522" s="21"/>
      <c r="F522" s="49">
        <v>184499</v>
      </c>
      <c r="G522" s="14">
        <f t="shared" si="213"/>
        <v>0</v>
      </c>
      <c r="H522" s="14">
        <f t="shared" si="214"/>
        <v>0</v>
      </c>
      <c r="I522" s="14">
        <f t="shared" si="215"/>
        <v>0</v>
      </c>
      <c r="J522" s="14">
        <f t="shared" si="216"/>
        <v>0</v>
      </c>
      <c r="K522" s="14">
        <f t="shared" si="217"/>
        <v>0</v>
      </c>
      <c r="L522" s="14">
        <f t="shared" si="218"/>
        <v>0</v>
      </c>
      <c r="M522" s="14">
        <f t="shared" si="219"/>
        <v>0</v>
      </c>
      <c r="N522" s="14">
        <f t="shared" si="220"/>
        <v>0</v>
      </c>
      <c r="O522" s="14">
        <f t="shared" si="221"/>
        <v>0</v>
      </c>
      <c r="P522" s="14">
        <f t="shared" si="222"/>
        <v>0</v>
      </c>
      <c r="Q522" s="14">
        <f t="shared" si="223"/>
        <v>0</v>
      </c>
      <c r="R522" s="14">
        <f t="shared" si="224"/>
        <v>184499</v>
      </c>
      <c r="S522" s="14">
        <f t="shared" si="225"/>
        <v>0</v>
      </c>
      <c r="T522" s="14">
        <f t="shared" si="226"/>
        <v>0</v>
      </c>
      <c r="U522" s="14">
        <f t="shared" si="227"/>
        <v>184499</v>
      </c>
      <c r="V522" s="39" t="str">
        <f t="shared" si="228"/>
        <v>ok</v>
      </c>
    </row>
    <row r="523" spans="1:22" s="28" customFormat="1" x14ac:dyDescent="0.2">
      <c r="A523" s="22">
        <v>384</v>
      </c>
      <c r="B523" s="19" t="s">
        <v>49</v>
      </c>
      <c r="C523" s="21" t="s">
        <v>619</v>
      </c>
      <c r="D523" s="31" t="s">
        <v>45</v>
      </c>
      <c r="E523" s="21"/>
      <c r="F523" s="49">
        <v>0</v>
      </c>
      <c r="G523" s="14">
        <f t="shared" si="213"/>
        <v>0</v>
      </c>
      <c r="H523" s="14">
        <f t="shared" si="214"/>
        <v>0</v>
      </c>
      <c r="I523" s="14">
        <f t="shared" si="215"/>
        <v>0</v>
      </c>
      <c r="J523" s="14">
        <f t="shared" si="216"/>
        <v>0</v>
      </c>
      <c r="K523" s="14">
        <f t="shared" si="217"/>
        <v>0</v>
      </c>
      <c r="L523" s="14">
        <f t="shared" si="218"/>
        <v>0</v>
      </c>
      <c r="M523" s="14">
        <f t="shared" si="219"/>
        <v>0</v>
      </c>
      <c r="N523" s="14">
        <f t="shared" si="220"/>
        <v>0</v>
      </c>
      <c r="O523" s="14">
        <f t="shared" si="221"/>
        <v>0</v>
      </c>
      <c r="P523" s="14">
        <f t="shared" si="222"/>
        <v>0</v>
      </c>
      <c r="Q523" s="14">
        <f t="shared" si="223"/>
        <v>0</v>
      </c>
      <c r="R523" s="14">
        <f t="shared" si="224"/>
        <v>0</v>
      </c>
      <c r="S523" s="14">
        <f t="shared" si="225"/>
        <v>0</v>
      </c>
      <c r="T523" s="14">
        <f t="shared" si="226"/>
        <v>0</v>
      </c>
      <c r="U523" s="14">
        <f t="shared" si="227"/>
        <v>0</v>
      </c>
      <c r="V523" s="39" t="str">
        <f t="shared" si="228"/>
        <v>ok</v>
      </c>
    </row>
    <row r="524" spans="1:22" s="28" customFormat="1" x14ac:dyDescent="0.2">
      <c r="A524" s="29">
        <v>385</v>
      </c>
      <c r="B524" s="28" t="s">
        <v>609</v>
      </c>
      <c r="C524" s="21" t="s">
        <v>620</v>
      </c>
      <c r="D524" s="31" t="s">
        <v>45</v>
      </c>
      <c r="E524" s="31"/>
      <c r="F524" s="46">
        <v>48672</v>
      </c>
      <c r="G524" s="14">
        <f t="shared" si="213"/>
        <v>0</v>
      </c>
      <c r="H524" s="14">
        <f t="shared" si="214"/>
        <v>0</v>
      </c>
      <c r="I524" s="14">
        <f t="shared" si="215"/>
        <v>0</v>
      </c>
      <c r="J524" s="14">
        <f t="shared" si="216"/>
        <v>0</v>
      </c>
      <c r="K524" s="14">
        <f t="shared" si="217"/>
        <v>0</v>
      </c>
      <c r="L524" s="14">
        <f t="shared" si="218"/>
        <v>0</v>
      </c>
      <c r="M524" s="14">
        <f t="shared" si="219"/>
        <v>0</v>
      </c>
      <c r="N524" s="14">
        <f t="shared" si="220"/>
        <v>0</v>
      </c>
      <c r="O524" s="14">
        <f t="shared" si="221"/>
        <v>0</v>
      </c>
      <c r="P524" s="14">
        <f t="shared" si="222"/>
        <v>0</v>
      </c>
      <c r="Q524" s="14">
        <f t="shared" si="223"/>
        <v>0</v>
      </c>
      <c r="R524" s="14">
        <f t="shared" si="224"/>
        <v>48672</v>
      </c>
      <c r="S524" s="14">
        <f t="shared" si="225"/>
        <v>0</v>
      </c>
      <c r="T524" s="14">
        <f t="shared" si="226"/>
        <v>0</v>
      </c>
      <c r="U524" s="14">
        <f t="shared" si="227"/>
        <v>48672</v>
      </c>
      <c r="V524" s="39" t="str">
        <f t="shared" si="228"/>
        <v>ok</v>
      </c>
    </row>
    <row r="525" spans="1:22" s="28" customFormat="1" x14ac:dyDescent="0.2">
      <c r="A525" s="29">
        <v>387</v>
      </c>
      <c r="B525" s="28" t="s">
        <v>54</v>
      </c>
      <c r="C525" s="21" t="s">
        <v>621</v>
      </c>
      <c r="D525" s="31" t="s">
        <v>45</v>
      </c>
      <c r="E525" s="31"/>
      <c r="F525" s="46">
        <v>0</v>
      </c>
      <c r="G525" s="14">
        <f t="shared" si="213"/>
        <v>0</v>
      </c>
      <c r="H525" s="14">
        <f t="shared" si="214"/>
        <v>0</v>
      </c>
      <c r="I525" s="14">
        <f t="shared" si="215"/>
        <v>0</v>
      </c>
      <c r="J525" s="14">
        <f t="shared" si="216"/>
        <v>0</v>
      </c>
      <c r="K525" s="14">
        <f t="shared" si="217"/>
        <v>0</v>
      </c>
      <c r="L525" s="14">
        <f t="shared" si="218"/>
        <v>0</v>
      </c>
      <c r="M525" s="14">
        <f t="shared" si="219"/>
        <v>0</v>
      </c>
      <c r="N525" s="14">
        <f t="shared" si="220"/>
        <v>0</v>
      </c>
      <c r="O525" s="14">
        <f t="shared" si="221"/>
        <v>0</v>
      </c>
      <c r="P525" s="14">
        <f t="shared" si="222"/>
        <v>0</v>
      </c>
      <c r="Q525" s="14">
        <f t="shared" si="223"/>
        <v>0</v>
      </c>
      <c r="R525" s="14">
        <f t="shared" si="224"/>
        <v>0</v>
      </c>
      <c r="S525" s="14">
        <f t="shared" si="225"/>
        <v>0</v>
      </c>
      <c r="T525" s="14">
        <f t="shared" si="226"/>
        <v>0</v>
      </c>
      <c r="U525" s="14">
        <f t="shared" si="227"/>
        <v>0</v>
      </c>
      <c r="V525" s="39" t="str">
        <f t="shared" si="228"/>
        <v>ok</v>
      </c>
    </row>
    <row r="526" spans="1:22" s="28" customFormat="1" x14ac:dyDescent="0.2">
      <c r="A526" s="29"/>
      <c r="B526" s="28" t="s">
        <v>246</v>
      </c>
      <c r="C526" s="21"/>
      <c r="D526" s="31" t="s">
        <v>56</v>
      </c>
      <c r="E526" s="31"/>
      <c r="F526" s="46">
        <v>0</v>
      </c>
      <c r="G526" s="14">
        <f t="shared" si="213"/>
        <v>0</v>
      </c>
      <c r="H526" s="14">
        <f t="shared" si="214"/>
        <v>0</v>
      </c>
      <c r="I526" s="14">
        <f t="shared" si="215"/>
        <v>0</v>
      </c>
      <c r="J526" s="14">
        <f t="shared" si="216"/>
        <v>0</v>
      </c>
      <c r="K526" s="14">
        <f t="shared" si="217"/>
        <v>0</v>
      </c>
      <c r="L526" s="14">
        <f t="shared" si="218"/>
        <v>0</v>
      </c>
      <c r="M526" s="14">
        <f t="shared" si="219"/>
        <v>0</v>
      </c>
      <c r="N526" s="14">
        <f t="shared" si="220"/>
        <v>0</v>
      </c>
      <c r="O526" s="14">
        <f t="shared" si="221"/>
        <v>0</v>
      </c>
      <c r="P526" s="14">
        <f t="shared" si="222"/>
        <v>0</v>
      </c>
      <c r="Q526" s="14">
        <f t="shared" si="223"/>
        <v>0</v>
      </c>
      <c r="R526" s="14">
        <f t="shared" si="224"/>
        <v>0</v>
      </c>
      <c r="S526" s="14">
        <f t="shared" si="225"/>
        <v>0</v>
      </c>
      <c r="T526" s="14">
        <f t="shared" si="226"/>
        <v>0</v>
      </c>
      <c r="U526" s="14">
        <f>SUM(G526:T526)</f>
        <v>0</v>
      </c>
      <c r="V526" s="39" t="str">
        <f>IF(ABS(U526-F526)&lt;1,"ok","err")</f>
        <v>ok</v>
      </c>
    </row>
    <row r="527" spans="1:22" s="28" customFormat="1" x14ac:dyDescent="0.2">
      <c r="C527" s="31"/>
      <c r="D527" s="31"/>
      <c r="E527" s="31"/>
      <c r="F527" s="57"/>
      <c r="G527" s="4"/>
      <c r="H527" s="4"/>
      <c r="I527" s="4"/>
      <c r="J527" s="4"/>
      <c r="K527" s="4"/>
      <c r="L527" s="4"/>
      <c r="M527" s="4"/>
      <c r="N527" s="4"/>
      <c r="O527" s="9"/>
      <c r="P527" s="9"/>
      <c r="Q527" s="9"/>
      <c r="R527" s="9"/>
      <c r="S527" s="9"/>
      <c r="T527" s="9"/>
      <c r="U527" s="9"/>
      <c r="V527" s="9"/>
    </row>
    <row r="528" spans="1:22" s="28" customFormat="1" x14ac:dyDescent="0.2">
      <c r="A528" s="28" t="s">
        <v>622</v>
      </c>
      <c r="C528" s="31"/>
      <c r="D528" s="31"/>
      <c r="E528" s="31"/>
      <c r="F528" s="133">
        <f>SUM(F514:F527)</f>
        <v>4859096</v>
      </c>
      <c r="G528" s="35">
        <f t="shared" ref="G528:U528" si="229">SUM(G514:G527)</f>
        <v>0</v>
      </c>
      <c r="H528" s="35">
        <f t="shared" si="229"/>
        <v>0</v>
      </c>
      <c r="I528" s="35">
        <f t="shared" si="229"/>
        <v>0</v>
      </c>
      <c r="J528" s="35">
        <f t="shared" si="229"/>
        <v>0</v>
      </c>
      <c r="K528" s="35">
        <f t="shared" si="229"/>
        <v>0</v>
      </c>
      <c r="L528" s="35">
        <f t="shared" si="229"/>
        <v>0</v>
      </c>
      <c r="M528" s="35">
        <f t="shared" si="229"/>
        <v>0</v>
      </c>
      <c r="N528" s="35">
        <f t="shared" si="229"/>
        <v>96283</v>
      </c>
      <c r="O528" s="35">
        <f t="shared" si="229"/>
        <v>927956.90760000004</v>
      </c>
      <c r="P528" s="35">
        <f t="shared" si="229"/>
        <v>2280746.0924</v>
      </c>
      <c r="Q528" s="35">
        <f t="shared" si="229"/>
        <v>769671</v>
      </c>
      <c r="R528" s="35">
        <f t="shared" si="229"/>
        <v>784439</v>
      </c>
      <c r="S528" s="35">
        <f t="shared" si="229"/>
        <v>0</v>
      </c>
      <c r="T528" s="35">
        <f t="shared" si="229"/>
        <v>0</v>
      </c>
      <c r="U528" s="35">
        <f t="shared" si="229"/>
        <v>4859096</v>
      </c>
      <c r="V528" s="39" t="str">
        <f t="shared" si="228"/>
        <v>ok</v>
      </c>
    </row>
    <row r="529" spans="1:22" s="28" customFormat="1" x14ac:dyDescent="0.2">
      <c r="C529" s="31"/>
      <c r="D529" s="31"/>
      <c r="E529" s="31"/>
      <c r="F529" s="133"/>
      <c r="G529" s="4"/>
      <c r="H529" s="4"/>
      <c r="I529" s="4"/>
      <c r="J529" s="4"/>
      <c r="K529" s="4"/>
      <c r="L529" s="4"/>
      <c r="M529" s="4"/>
      <c r="N529" s="4"/>
      <c r="O529" s="9"/>
      <c r="P529" s="9"/>
      <c r="Q529" s="9"/>
      <c r="R529" s="9"/>
      <c r="S529" s="9"/>
      <c r="T529" s="9"/>
      <c r="U529" s="9"/>
      <c r="V529" s="9"/>
    </row>
    <row r="530" spans="1:22" s="28" customFormat="1" x14ac:dyDescent="0.2">
      <c r="A530" s="29">
        <v>117</v>
      </c>
      <c r="B530" s="28" t="s">
        <v>89</v>
      </c>
      <c r="C530" s="31" t="s">
        <v>623</v>
      </c>
      <c r="D530" s="31" t="s">
        <v>24</v>
      </c>
      <c r="E530" s="31"/>
      <c r="F530" s="133">
        <v>0</v>
      </c>
      <c r="G530" s="14">
        <f>(VLOOKUP($D530,$C$5:$AH$1004,5,)/VLOOKUP($D530,$C$5:$AH$1004,4,))*$F530</f>
        <v>0</v>
      </c>
      <c r="H530" s="14">
        <f>(VLOOKUP($D530,$C$5:$AH$1004,6,)/VLOOKUP($D530,$C$5:$AH$1004,4,))*$F530</f>
        <v>0</v>
      </c>
      <c r="I530" s="14">
        <f>(VLOOKUP($D530,$C$5:$AH$1004,7,)/VLOOKUP($D530,$C$5:$AH$1004,4,))*$F530</f>
        <v>0</v>
      </c>
      <c r="J530" s="14">
        <f>(VLOOKUP($D530,$C$5:$AH$1004,8,)/VLOOKUP($D530,$C$5:$AH$1004,4,))*$F530</f>
        <v>0</v>
      </c>
      <c r="K530" s="14">
        <f>(VLOOKUP($D530,$C$5:$AH$1004,9,)/VLOOKUP($D530,$C$5:$AH$1004,4,))*$F530</f>
        <v>0</v>
      </c>
      <c r="L530" s="14">
        <f>(VLOOKUP($D530,$C$5:$AH$1004,10,)/VLOOKUP($D530,$C$5:$AH$1004,4,))*$F530</f>
        <v>0</v>
      </c>
      <c r="M530" s="14">
        <f>(VLOOKUP($D530,$C$5:$AH$1004,11,)/VLOOKUP($D530,$C$5:$AH$1004,4,))*$F530</f>
        <v>0</v>
      </c>
      <c r="N530" s="14">
        <f>(VLOOKUP($D530,$C$5:$AH$1004,12,)/VLOOKUP($D530,$C$5:$AH$1004,4,))*$F530</f>
        <v>0</v>
      </c>
      <c r="O530" s="14">
        <f>(VLOOKUP($D530,$C$5:$AH$1004,13,)/VLOOKUP($D530,$C$5:$AH$1004,4,))*$F530</f>
        <v>0</v>
      </c>
      <c r="P530" s="14">
        <f>(VLOOKUP($D530,$C$5:$AH$1004,14,)/VLOOKUP($D530,$C$5:$AH$1004,4,))*$F530</f>
        <v>0</v>
      </c>
      <c r="Q530" s="14">
        <f>(VLOOKUP($D530,$C$5:$AH$1004,15,)/VLOOKUP($D530,$C$5:$AH$1004,4,))*$F530</f>
        <v>0</v>
      </c>
      <c r="R530" s="14">
        <f>(VLOOKUP($D530,$C$5:$AH$1004,16,)/VLOOKUP($D530,$C$5:$AH$1004,4,))*$F530</f>
        <v>0</v>
      </c>
      <c r="S530" s="14">
        <f>(VLOOKUP($D530,$C$5:$AH$1004,17,)/VLOOKUP($D530,$C$5:$AH$1004,4,))*$F530</f>
        <v>0</v>
      </c>
      <c r="T530" s="14">
        <f>(VLOOKUP($D530,$C$5:$AH$1004,18,)/VLOOKUP($D530,$C$5:$AH$1004,4,))*$F530</f>
        <v>0</v>
      </c>
      <c r="U530" s="14">
        <f>SUM(G530:T530)</f>
        <v>0</v>
      </c>
      <c r="V530" s="39" t="str">
        <f>IF(ABS(U530-F530)&lt;1,"ok","err")</f>
        <v>ok</v>
      </c>
    </row>
    <row r="531" spans="1:22" s="28" customFormat="1" x14ac:dyDescent="0.2">
      <c r="A531" s="29" t="s">
        <v>57</v>
      </c>
      <c r="B531" s="28" t="s">
        <v>58</v>
      </c>
      <c r="C531" s="31" t="s">
        <v>624</v>
      </c>
      <c r="D531" s="31" t="s">
        <v>56</v>
      </c>
      <c r="E531" s="31"/>
      <c r="F531" s="46">
        <v>625853</v>
      </c>
      <c r="G531" s="14">
        <f>(VLOOKUP($D531,$C$5:$AH$1004,5,)/VLOOKUP($D531,$C$5:$AH$1004,4,))*$F531</f>
        <v>0</v>
      </c>
      <c r="H531" s="14">
        <f>(VLOOKUP($D531,$C$5:$AH$1004,6,)/VLOOKUP($D531,$C$5:$AH$1004,4,))*$F531</f>
        <v>0</v>
      </c>
      <c r="I531" s="14">
        <f>(VLOOKUP($D531,$C$5:$AH$1004,7,)/VLOOKUP($D531,$C$5:$AH$1004,4,))*$F531</f>
        <v>73340.201890544005</v>
      </c>
      <c r="J531" s="14">
        <f>(VLOOKUP($D531,$C$5:$AH$1004,8,)/VLOOKUP($D531,$C$5:$AH$1004,4,))*$F531</f>
        <v>0</v>
      </c>
      <c r="K531" s="14">
        <f>(VLOOKUP($D531,$C$5:$AH$1004,9,)/VLOOKUP($D531,$C$5:$AH$1004,4,))*$F531</f>
        <v>175471.58176786901</v>
      </c>
      <c r="L531" s="14">
        <f>(VLOOKUP($D531,$C$5:$AH$1004,10,)/VLOOKUP($D531,$C$5:$AH$1004,4,))*$F531</f>
        <v>0</v>
      </c>
      <c r="M531" s="14">
        <f>(VLOOKUP($D531,$C$5:$AH$1004,11,)/VLOOKUP($D531,$C$5:$AH$1004,4,))*$F531</f>
        <v>0</v>
      </c>
      <c r="N531" s="14">
        <f>(VLOOKUP($D531,$C$5:$AH$1004,12,)/VLOOKUP($D531,$C$5:$AH$1004,4,))*$F531</f>
        <v>8945.6715134775714</v>
      </c>
      <c r="O531" s="14">
        <f>(VLOOKUP($D531,$C$5:$AH$1004,13,)/VLOOKUP($D531,$C$5:$AH$1004,4,))*$F531</f>
        <v>72960.318135480484</v>
      </c>
      <c r="P531" s="14">
        <f>(VLOOKUP($D531,$C$5:$AH$1004,14,)/VLOOKUP($D531,$C$5:$AH$1004,4,))*$F531</f>
        <v>179322.93959439668</v>
      </c>
      <c r="Q531" s="14">
        <f>(VLOOKUP($D531,$C$5:$AH$1004,15,)/VLOOKUP($D531,$C$5:$AH$1004,4,))*$F531</f>
        <v>59539.079868976296</v>
      </c>
      <c r="R531" s="14">
        <f>(VLOOKUP($D531,$C$5:$AH$1004,16,)/VLOOKUP($D531,$C$5:$AH$1004,4,))*$F531</f>
        <v>56273.207229255917</v>
      </c>
      <c r="S531" s="14">
        <f>(VLOOKUP($D531,$C$5:$AH$1004,17,)/VLOOKUP($D531,$C$5:$AH$1004,4,))*$F531</f>
        <v>0</v>
      </c>
      <c r="T531" s="14">
        <f>(VLOOKUP($D531,$C$5:$AH$1004,18,)/VLOOKUP($D531,$C$5:$AH$1004,4,))*$F531</f>
        <v>0</v>
      </c>
      <c r="U531" s="14">
        <f>SUM(G531:T531)</f>
        <v>625853</v>
      </c>
      <c r="V531" s="39" t="str">
        <f>IF(ABS(U531-F531)&lt;1,"ok","err")</f>
        <v>ok</v>
      </c>
    </row>
    <row r="532" spans="1:22" s="28" customFormat="1" x14ac:dyDescent="0.2">
      <c r="A532" s="29" t="s">
        <v>60</v>
      </c>
      <c r="B532" s="28" t="s">
        <v>61</v>
      </c>
      <c r="C532" s="31" t="s">
        <v>625</v>
      </c>
      <c r="D532" s="31" t="s">
        <v>56</v>
      </c>
      <c r="E532" s="31"/>
      <c r="F532" s="46">
        <v>1127741</v>
      </c>
      <c r="G532" s="14">
        <f>(VLOOKUP($D532,$C$5:$AH$1004,5,)/VLOOKUP($D532,$C$5:$AH$1004,4,))*$F532</f>
        <v>0</v>
      </c>
      <c r="H532" s="14">
        <f>(VLOOKUP($D532,$C$5:$AH$1004,6,)/VLOOKUP($D532,$C$5:$AH$1004,4,))*$F532</f>
        <v>0</v>
      </c>
      <c r="I532" s="14">
        <f>(VLOOKUP($D532,$C$5:$AH$1004,7,)/VLOOKUP($D532,$C$5:$AH$1004,4,))*$F532</f>
        <v>132153.64090328556</v>
      </c>
      <c r="J532" s="14">
        <f>(VLOOKUP($D532,$C$5:$AH$1004,8,)/VLOOKUP($D532,$C$5:$AH$1004,4,))*$F532</f>
        <v>0</v>
      </c>
      <c r="K532" s="14">
        <f>(VLOOKUP($D532,$C$5:$AH$1004,9,)/VLOOKUP($D532,$C$5:$AH$1004,4,))*$F532</f>
        <v>316186.86351983348</v>
      </c>
      <c r="L532" s="14">
        <f>(VLOOKUP($D532,$C$5:$AH$1004,10,)/VLOOKUP($D532,$C$5:$AH$1004,4,))*$F532</f>
        <v>0</v>
      </c>
      <c r="M532" s="14">
        <f>(VLOOKUP($D532,$C$5:$AH$1004,11,)/VLOOKUP($D532,$C$5:$AH$1004,4,))*$F532</f>
        <v>0</v>
      </c>
      <c r="N532" s="14">
        <f>(VLOOKUP($D532,$C$5:$AH$1004,12,)/VLOOKUP($D532,$C$5:$AH$1004,4,))*$F532</f>
        <v>16119.441048106679</v>
      </c>
      <c r="O532" s="14">
        <f>(VLOOKUP($D532,$C$5:$AH$1004,13,)/VLOOKUP($D532,$C$5:$AH$1004,4,))*$F532</f>
        <v>131469.11836233892</v>
      </c>
      <c r="P532" s="14">
        <f>(VLOOKUP($D532,$C$5:$AH$1004,14,)/VLOOKUP($D532,$C$5:$AH$1004,4,))*$F532</f>
        <v>323126.72659733921</v>
      </c>
      <c r="Q532" s="14">
        <f>(VLOOKUP($D532,$C$5:$AH$1004,15,)/VLOOKUP($D532,$C$5:$AH$1004,4,))*$F532</f>
        <v>107285.03573605815</v>
      </c>
      <c r="R532" s="14">
        <f>(VLOOKUP($D532,$C$5:$AH$1004,16,)/VLOOKUP($D532,$C$5:$AH$1004,4,))*$F532</f>
        <v>101400.17383303794</v>
      </c>
      <c r="S532" s="14">
        <f>(VLOOKUP($D532,$C$5:$AH$1004,17,)/VLOOKUP($D532,$C$5:$AH$1004,4,))*$F532</f>
        <v>0</v>
      </c>
      <c r="T532" s="14">
        <f>(VLOOKUP($D532,$C$5:$AH$1004,18,)/VLOOKUP($D532,$C$5:$AH$1004,4,))*$F532</f>
        <v>0</v>
      </c>
      <c r="U532" s="14">
        <f>SUM(G532:T532)</f>
        <v>1127741</v>
      </c>
      <c r="V532" s="39" t="str">
        <f>IF(ABS(U532-F532)&lt;1,"ok","err")</f>
        <v>ok</v>
      </c>
    </row>
    <row r="533" spans="1:22" s="28" customFormat="1" x14ac:dyDescent="0.2">
      <c r="A533" s="225" t="s">
        <v>891</v>
      </c>
      <c r="B533" s="17" t="s">
        <v>890</v>
      </c>
      <c r="C533" s="31" t="s">
        <v>626</v>
      </c>
      <c r="D533" s="31" t="s">
        <v>56</v>
      </c>
      <c r="E533" s="31"/>
      <c r="F533" s="46">
        <v>103893</v>
      </c>
      <c r="G533" s="14">
        <f>(VLOOKUP($D533,$C$5:$AH$1004,5,)/VLOOKUP($D533,$C$5:$AH$1004,4,))*$F533</f>
        <v>0</v>
      </c>
      <c r="H533" s="14">
        <f>(VLOOKUP($D533,$C$5:$AH$1004,6,)/VLOOKUP($D533,$C$5:$AH$1004,4,))*$F533</f>
        <v>0</v>
      </c>
      <c r="I533" s="14">
        <f>(VLOOKUP($D533,$C$5:$AH$1004,7,)/VLOOKUP($D533,$C$5:$AH$1004,4,))*$F533</f>
        <v>12174.637806344761</v>
      </c>
      <c r="J533" s="14">
        <f>(VLOOKUP($D533,$C$5:$AH$1004,8,)/VLOOKUP($D533,$C$5:$AH$1004,4,))*$F533</f>
        <v>0</v>
      </c>
      <c r="K533" s="14">
        <f>(VLOOKUP($D533,$C$5:$AH$1004,9,)/VLOOKUP($D533,$C$5:$AH$1004,4,))*$F533</f>
        <v>29128.675654841016</v>
      </c>
      <c r="L533" s="14">
        <f>(VLOOKUP($D533,$C$5:$AH$1004,10,)/VLOOKUP($D533,$C$5:$AH$1004,4,))*$F533</f>
        <v>0</v>
      </c>
      <c r="M533" s="14">
        <f>(VLOOKUP($D533,$C$5:$AH$1004,11,)/VLOOKUP($D533,$C$5:$AH$1004,4,))*$F533</f>
        <v>0</v>
      </c>
      <c r="N533" s="14">
        <f>(VLOOKUP($D533,$C$5:$AH$1004,12,)/VLOOKUP($D533,$C$5:$AH$1004,4,))*$F533</f>
        <v>1485.0015108175967</v>
      </c>
      <c r="O533" s="14">
        <f>(VLOOKUP($D533,$C$5:$AH$1004,13,)/VLOOKUP($D533,$C$5:$AH$1004,4,))*$F533</f>
        <v>12111.576252010414</v>
      </c>
      <c r="P533" s="14">
        <f>(VLOOKUP($D533,$C$5:$AH$1004,14,)/VLOOKUP($D533,$C$5:$AH$1004,4,))*$F533</f>
        <v>29768.009681635554</v>
      </c>
      <c r="Q533" s="14">
        <f>(VLOOKUP($D533,$C$5:$AH$1004,15,)/VLOOKUP($D533,$C$5:$AH$1004,4,))*$F533</f>
        <v>9883.6206342824189</v>
      </c>
      <c r="R533" s="14">
        <f>(VLOOKUP($D533,$C$5:$AH$1004,16,)/VLOOKUP($D533,$C$5:$AH$1004,4,))*$F533</f>
        <v>9341.4784600682342</v>
      </c>
      <c r="S533" s="14">
        <f>(VLOOKUP($D533,$C$5:$AH$1004,17,)/VLOOKUP($D533,$C$5:$AH$1004,4,))*$F533</f>
        <v>0</v>
      </c>
      <c r="T533" s="14">
        <f>(VLOOKUP($D533,$C$5:$AH$1004,18,)/VLOOKUP($D533,$C$5:$AH$1004,4,))*$F533</f>
        <v>0</v>
      </c>
      <c r="U533" s="14">
        <f>SUM(G533:T533)</f>
        <v>103892.99999999999</v>
      </c>
      <c r="V533" s="39" t="str">
        <f>IF(ABS(U533-F533)&lt;1,"ok","err")</f>
        <v>ok</v>
      </c>
    </row>
    <row r="534" spans="1:22" s="28" customFormat="1" x14ac:dyDescent="0.2">
      <c r="A534" s="29"/>
      <c r="C534" s="31"/>
      <c r="D534" s="31"/>
      <c r="E534" s="31"/>
      <c r="F534" s="46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39"/>
    </row>
    <row r="535" spans="1:22" s="28" customFormat="1" x14ac:dyDescent="0.2">
      <c r="A535" s="29" t="s">
        <v>696</v>
      </c>
      <c r="C535" s="31" t="s">
        <v>697</v>
      </c>
      <c r="D535" s="31" t="s">
        <v>56</v>
      </c>
      <c r="E535" s="31"/>
      <c r="F535" s="46">
        <v>429778</v>
      </c>
      <c r="G535" s="14">
        <f>(VLOOKUP($D535,$C$5:$AH$1004,5,)/VLOOKUP($D535,$C$5:$AH$1004,4,))*$F535</f>
        <v>0</v>
      </c>
      <c r="H535" s="14">
        <f>(VLOOKUP($D535,$C$5:$AH$1004,6,)/VLOOKUP($D535,$C$5:$AH$1004,4,))*$F535</f>
        <v>0</v>
      </c>
      <c r="I535" s="14">
        <f>(VLOOKUP($D535,$C$5:$AH$1004,7,)/VLOOKUP($D535,$C$5:$AH$1004,4,))*$F535</f>
        <v>50363.272666447585</v>
      </c>
      <c r="J535" s="14">
        <f>(VLOOKUP($D535,$C$5:$AH$1004,8,)/VLOOKUP($D535,$C$5:$AH$1004,4,))*$F535</f>
        <v>0</v>
      </c>
      <c r="K535" s="14">
        <f>(VLOOKUP($D535,$C$5:$AH$1004,9,)/VLOOKUP($D535,$C$5:$AH$1004,4,))*$F535</f>
        <v>120497.66553652567</v>
      </c>
      <c r="L535" s="14">
        <f>(VLOOKUP($D535,$C$5:$AH$1004,10,)/VLOOKUP($D535,$C$5:$AH$1004,4,))*$F535</f>
        <v>0</v>
      </c>
      <c r="M535" s="14">
        <f>(VLOOKUP($D535,$C$5:$AH$1004,11,)/VLOOKUP($D535,$C$5:$AH$1004,4,))*$F535</f>
        <v>0</v>
      </c>
      <c r="N535" s="14">
        <f>(VLOOKUP($D535,$C$5:$AH$1004,12,)/VLOOKUP($D535,$C$5:$AH$1004,4,))*$F535</f>
        <v>6143.0604498490275</v>
      </c>
      <c r="O535" s="14">
        <f>(VLOOKUP($D535,$C$5:$AH$1004,13,)/VLOOKUP($D535,$C$5:$AH$1004,4,))*$F535</f>
        <v>50102.403611759524</v>
      </c>
      <c r="P535" s="14">
        <f>(VLOOKUP($D535,$C$5:$AH$1004,14,)/VLOOKUP($D535,$C$5:$AH$1004,4,))*$F535</f>
        <v>123142.42215504379</v>
      </c>
      <c r="Q535" s="14">
        <f>(VLOOKUP($D535,$C$5:$AH$1004,15,)/VLOOKUP($D535,$C$5:$AH$1004,4,))*$F535</f>
        <v>40885.937541130101</v>
      </c>
      <c r="R535" s="14">
        <f>(VLOOKUP($D535,$C$5:$AH$1004,16,)/VLOOKUP($D535,$C$5:$AH$1004,4,))*$F535</f>
        <v>38643.238039244279</v>
      </c>
      <c r="S535" s="14">
        <f>(VLOOKUP($D535,$C$5:$AH$1004,17,)/VLOOKUP($D535,$C$5:$AH$1004,4,))*$F535</f>
        <v>0</v>
      </c>
      <c r="T535" s="14">
        <f>(VLOOKUP($D535,$C$5:$AH$1004,18,)/VLOOKUP($D535,$C$5:$AH$1004,4,))*$F535</f>
        <v>0</v>
      </c>
      <c r="U535" s="14">
        <f>SUM(G535:T535)</f>
        <v>429778</v>
      </c>
      <c r="V535" s="39" t="str">
        <f>IF(ABS(U535-F535)&lt;1,"ok","err")</f>
        <v>ok</v>
      </c>
    </row>
    <row r="536" spans="1:22" s="28" customFormat="1" x14ac:dyDescent="0.2">
      <c r="A536" s="29"/>
      <c r="C536" s="31"/>
      <c r="D536" s="31"/>
      <c r="E536" s="31"/>
      <c r="F536" s="46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39"/>
    </row>
    <row r="537" spans="1:22" s="28" customFormat="1" x14ac:dyDescent="0.2">
      <c r="A537" s="29" t="s">
        <v>698</v>
      </c>
      <c r="C537" s="31" t="s">
        <v>699</v>
      </c>
      <c r="D537" s="31" t="s">
        <v>56</v>
      </c>
      <c r="E537" s="31"/>
      <c r="F537" s="46">
        <v>0</v>
      </c>
      <c r="G537" s="14">
        <f>(VLOOKUP($D537,$C$5:$AH$1004,5,)/VLOOKUP($D537,$C$5:$AH$1004,4,))*$F537</f>
        <v>0</v>
      </c>
      <c r="H537" s="14">
        <f>(VLOOKUP($D537,$C$5:$AH$1004,6,)/VLOOKUP($D537,$C$5:$AH$1004,4,))*$F537</f>
        <v>0</v>
      </c>
      <c r="I537" s="14">
        <f>(VLOOKUP($D537,$C$5:$AH$1004,7,)/VLOOKUP($D537,$C$5:$AH$1004,4,))*$F537</f>
        <v>0</v>
      </c>
      <c r="J537" s="14">
        <f>(VLOOKUP($D537,$C$5:$AH$1004,8,)/VLOOKUP($D537,$C$5:$AH$1004,4,))*$F537</f>
        <v>0</v>
      </c>
      <c r="K537" s="14">
        <f>(VLOOKUP($D537,$C$5:$AH$1004,9,)/VLOOKUP($D537,$C$5:$AH$1004,4,))*$F537</f>
        <v>0</v>
      </c>
      <c r="L537" s="14">
        <f>(VLOOKUP($D537,$C$5:$AH$1004,10,)/VLOOKUP($D537,$C$5:$AH$1004,4,))*$F537</f>
        <v>0</v>
      </c>
      <c r="M537" s="14">
        <f>(VLOOKUP($D537,$C$5:$AH$1004,11,)/VLOOKUP($D537,$C$5:$AH$1004,4,))*$F537</f>
        <v>0</v>
      </c>
      <c r="N537" s="14">
        <f>(VLOOKUP($D537,$C$5:$AH$1004,12,)/VLOOKUP($D537,$C$5:$AH$1004,4,))*$F537</f>
        <v>0</v>
      </c>
      <c r="O537" s="14">
        <f>(VLOOKUP($D537,$C$5:$AH$1004,13,)/VLOOKUP($D537,$C$5:$AH$1004,4,))*$F537</f>
        <v>0</v>
      </c>
      <c r="P537" s="14">
        <f>(VLOOKUP($D537,$C$5:$AH$1004,14,)/VLOOKUP($D537,$C$5:$AH$1004,4,))*$F537</f>
        <v>0</v>
      </c>
      <c r="Q537" s="14">
        <f>(VLOOKUP($D537,$C$5:$AH$1004,15,)/VLOOKUP($D537,$C$5:$AH$1004,4,))*$F537</f>
        <v>0</v>
      </c>
      <c r="R537" s="14">
        <f>(VLOOKUP($D537,$C$5:$AH$1004,16,)/VLOOKUP($D537,$C$5:$AH$1004,4,))*$F537</f>
        <v>0</v>
      </c>
      <c r="S537" s="14">
        <f>(VLOOKUP($D537,$C$5:$AH$1004,17,)/VLOOKUP($D537,$C$5:$AH$1004,4,))*$F537</f>
        <v>0</v>
      </c>
      <c r="T537" s="14">
        <f>(VLOOKUP($D537,$C$5:$AH$1004,18,)/VLOOKUP($D537,$C$5:$AH$1004,4,))*$F537</f>
        <v>0</v>
      </c>
      <c r="U537" s="14">
        <f>SUM(G537:T537)</f>
        <v>0</v>
      </c>
      <c r="V537" s="39" t="str">
        <f>IF(ABS(U537-F537)&lt;1,"ok","err")</f>
        <v>ok</v>
      </c>
    </row>
    <row r="538" spans="1:22" s="28" customFormat="1" x14ac:dyDescent="0.2">
      <c r="A538" s="29"/>
      <c r="C538" s="31"/>
      <c r="D538" s="31"/>
      <c r="E538" s="31"/>
      <c r="F538" s="133"/>
      <c r="G538" s="4"/>
      <c r="H538" s="4"/>
      <c r="I538" s="4"/>
      <c r="J538" s="4"/>
      <c r="K538" s="4"/>
      <c r="L538" s="4"/>
      <c r="M538" s="4"/>
      <c r="N538" s="4"/>
      <c r="O538" s="9"/>
      <c r="P538" s="9"/>
      <c r="Q538" s="9"/>
      <c r="R538" s="9"/>
      <c r="S538" s="9"/>
      <c r="T538" s="9"/>
      <c r="U538" s="9"/>
      <c r="V538" s="9"/>
    </row>
    <row r="539" spans="1:22" s="28" customFormat="1" x14ac:dyDescent="0.2">
      <c r="A539" s="29" t="s">
        <v>627</v>
      </c>
      <c r="C539" s="31" t="s">
        <v>205</v>
      </c>
      <c r="D539" s="31"/>
      <c r="E539" s="31"/>
      <c r="F539" s="133">
        <f>F508+F511+F528+F530+F531+F532+F533+F535+F537</f>
        <v>9903030</v>
      </c>
      <c r="G539" s="35">
        <f t="shared" ref="G539:U539" si="230">G508+G511+G528+G530+G531+G532+G533+G535+G537</f>
        <v>0</v>
      </c>
      <c r="H539" s="35">
        <f t="shared" si="230"/>
        <v>0</v>
      </c>
      <c r="I539" s="35">
        <f t="shared" si="230"/>
        <v>1056224.7532666221</v>
      </c>
      <c r="J539" s="35">
        <f t="shared" si="230"/>
        <v>0</v>
      </c>
      <c r="K539" s="35">
        <f t="shared" si="230"/>
        <v>2609760.7864790694</v>
      </c>
      <c r="L539" s="35">
        <f t="shared" si="230"/>
        <v>0</v>
      </c>
      <c r="M539" s="35">
        <f t="shared" si="230"/>
        <v>0</v>
      </c>
      <c r="N539" s="35">
        <f t="shared" si="230"/>
        <v>128976.17452225088</v>
      </c>
      <c r="O539" s="35">
        <f t="shared" si="230"/>
        <v>1194600.3239615893</v>
      </c>
      <c r="P539" s="35">
        <f t="shared" si="230"/>
        <v>2936106.1904284153</v>
      </c>
      <c r="Q539" s="35">
        <f t="shared" si="230"/>
        <v>987264.67378044699</v>
      </c>
      <c r="R539" s="35">
        <f t="shared" si="230"/>
        <v>990097.09756160644</v>
      </c>
      <c r="S539" s="35">
        <f t="shared" si="230"/>
        <v>0</v>
      </c>
      <c r="T539" s="35">
        <f t="shared" si="230"/>
        <v>0</v>
      </c>
      <c r="U539" s="35">
        <f t="shared" si="230"/>
        <v>9903030</v>
      </c>
      <c r="V539" s="39" t="str">
        <f>IF(ABS(U539-F539)&lt;1,"ok","err")</f>
        <v>ok</v>
      </c>
    </row>
    <row r="540" spans="1:22" s="28" customFormat="1" x14ac:dyDescent="0.2">
      <c r="A540" s="29"/>
      <c r="C540" s="31"/>
      <c r="D540" s="31"/>
      <c r="E540" s="31"/>
      <c r="F540" s="133"/>
      <c r="G540" s="4"/>
      <c r="H540" s="4"/>
      <c r="I540" s="4"/>
      <c r="J540" s="4"/>
      <c r="K540" s="4"/>
      <c r="L540" s="4"/>
      <c r="M540" s="4"/>
      <c r="N540" s="4"/>
      <c r="O540" s="9"/>
      <c r="P540" s="9"/>
      <c r="Q540" s="9"/>
      <c r="R540" s="9"/>
      <c r="S540" s="9"/>
      <c r="T540" s="9"/>
      <c r="U540" s="9"/>
      <c r="V540" s="9"/>
    </row>
    <row r="541" spans="1:22" s="28" customFormat="1" x14ac:dyDescent="0.2">
      <c r="A541" s="29"/>
      <c r="C541" s="31"/>
      <c r="D541" s="31"/>
      <c r="E541" s="31"/>
      <c r="F541" s="133"/>
      <c r="G541" s="4"/>
      <c r="H541" s="4"/>
      <c r="I541" s="4"/>
      <c r="J541" s="4"/>
      <c r="K541" s="4"/>
      <c r="L541" s="4"/>
      <c r="M541" s="4"/>
      <c r="N541" s="4"/>
      <c r="O541" s="9"/>
      <c r="P541" s="9"/>
      <c r="Q541" s="9"/>
      <c r="R541" s="9"/>
      <c r="S541" s="9"/>
      <c r="T541" s="9"/>
      <c r="U541" s="9"/>
      <c r="V541" s="9"/>
    </row>
    <row r="542" spans="1:22" s="28" customFormat="1" x14ac:dyDescent="0.2">
      <c r="A542" s="29"/>
      <c r="C542" s="31"/>
      <c r="D542" s="31"/>
      <c r="E542" s="31"/>
      <c r="F542" s="133"/>
      <c r="G542" s="4"/>
      <c r="H542" s="4"/>
      <c r="I542" s="4"/>
      <c r="J542" s="4"/>
      <c r="K542" s="4"/>
      <c r="L542" s="4"/>
      <c r="M542" s="4"/>
      <c r="N542" s="4"/>
      <c r="O542" s="9"/>
      <c r="P542" s="9"/>
      <c r="Q542" s="9"/>
      <c r="R542" s="9"/>
      <c r="S542" s="9"/>
      <c r="T542" s="9"/>
      <c r="U542" s="9"/>
      <c r="V542" s="9"/>
    </row>
    <row r="543" spans="1:22" s="28" customFormat="1" x14ac:dyDescent="0.2">
      <c r="C543" s="31"/>
      <c r="D543" s="31"/>
      <c r="E543" s="31"/>
      <c r="F543" s="57"/>
      <c r="G543" s="4"/>
      <c r="H543" s="4"/>
      <c r="I543" s="4"/>
      <c r="J543" s="4"/>
      <c r="K543" s="4"/>
      <c r="L543" s="4"/>
      <c r="M543" s="4"/>
      <c r="N543" s="4"/>
      <c r="O543" s="9"/>
      <c r="P543" s="9"/>
      <c r="Q543" s="9"/>
      <c r="R543" s="9"/>
      <c r="S543" s="9"/>
      <c r="T543" s="9"/>
      <c r="U543" s="9"/>
      <c r="V543" s="9"/>
    </row>
    <row r="544" spans="1:22" s="28" customFormat="1" x14ac:dyDescent="0.2">
      <c r="C544" s="31"/>
      <c r="D544" s="31"/>
      <c r="E544" s="31"/>
      <c r="F544" s="57"/>
      <c r="G544" s="4"/>
      <c r="H544" s="4"/>
      <c r="I544" s="4"/>
      <c r="J544" s="4"/>
      <c r="K544" s="4"/>
      <c r="L544" s="4"/>
      <c r="M544" s="4"/>
      <c r="N544" s="4"/>
      <c r="O544" s="9"/>
      <c r="P544" s="9"/>
      <c r="Q544" s="9"/>
      <c r="R544" s="9"/>
      <c r="S544" s="9"/>
      <c r="T544" s="9"/>
      <c r="U544" s="9"/>
      <c r="V544" s="9"/>
    </row>
    <row r="545" spans="1:22" s="28" customFormat="1" x14ac:dyDescent="0.2">
      <c r="C545" s="31"/>
      <c r="D545" s="31"/>
      <c r="E545" s="31"/>
      <c r="F545" s="57"/>
      <c r="G545" s="4"/>
      <c r="H545" s="4"/>
      <c r="I545" s="4"/>
      <c r="J545" s="4"/>
      <c r="K545" s="4"/>
      <c r="L545" s="4"/>
      <c r="M545" s="4"/>
      <c r="N545" s="4"/>
      <c r="O545" s="9"/>
      <c r="P545" s="9"/>
      <c r="Q545" s="9"/>
      <c r="R545" s="9"/>
      <c r="S545" s="9"/>
      <c r="T545" s="9"/>
      <c r="U545" s="9"/>
      <c r="V545" s="9"/>
    </row>
    <row r="546" spans="1:22" s="28" customFormat="1" x14ac:dyDescent="0.2">
      <c r="C546" s="31"/>
      <c r="D546" s="31"/>
      <c r="E546" s="31"/>
      <c r="F546" s="57"/>
      <c r="G546" s="4"/>
      <c r="H546" s="4"/>
      <c r="I546" s="4"/>
      <c r="J546" s="4"/>
      <c r="K546" s="4"/>
      <c r="L546" s="4"/>
      <c r="M546" s="4"/>
      <c r="N546" s="4"/>
      <c r="O546" s="9"/>
      <c r="P546" s="9"/>
      <c r="Q546" s="9"/>
      <c r="R546" s="9"/>
      <c r="S546" s="9"/>
      <c r="T546" s="9"/>
      <c r="U546" s="9"/>
      <c r="V546" s="9"/>
    </row>
    <row r="547" spans="1:22" s="28" customFormat="1" x14ac:dyDescent="0.2">
      <c r="C547" s="31"/>
      <c r="D547" s="31"/>
      <c r="E547" s="31"/>
      <c r="F547" s="57"/>
      <c r="G547" s="4"/>
      <c r="H547" s="4"/>
      <c r="I547" s="4"/>
      <c r="J547" s="4"/>
      <c r="K547" s="4"/>
      <c r="L547" s="4"/>
      <c r="M547" s="4"/>
      <c r="N547" s="4"/>
      <c r="O547" s="9"/>
      <c r="P547" s="9"/>
      <c r="Q547" s="9"/>
      <c r="R547" s="9"/>
      <c r="S547" s="9"/>
      <c r="T547" s="9"/>
      <c r="U547" s="9"/>
      <c r="V547" s="9"/>
    </row>
    <row r="548" spans="1:22" s="28" customFormat="1" x14ac:dyDescent="0.2">
      <c r="C548" s="31"/>
      <c r="D548" s="31"/>
      <c r="E548" s="31"/>
      <c r="F548" s="57"/>
      <c r="G548" s="4"/>
      <c r="H548" s="4"/>
      <c r="I548" s="4"/>
      <c r="J548" s="4"/>
      <c r="K548" s="4"/>
      <c r="L548" s="4"/>
      <c r="M548" s="4"/>
      <c r="N548" s="4"/>
      <c r="O548" s="9"/>
      <c r="P548" s="9"/>
      <c r="Q548" s="9"/>
      <c r="R548" s="9"/>
      <c r="S548" s="9"/>
      <c r="T548" s="9"/>
      <c r="U548" s="9"/>
      <c r="V548" s="9"/>
    </row>
    <row r="549" spans="1:22" s="28" customFormat="1" x14ac:dyDescent="0.2">
      <c r="C549" s="31"/>
      <c r="D549" s="31"/>
      <c r="E549" s="31"/>
      <c r="F549" s="57"/>
      <c r="G549" s="4"/>
      <c r="H549" s="4"/>
      <c r="I549" s="4"/>
      <c r="J549" s="4"/>
      <c r="K549" s="4"/>
      <c r="L549" s="4"/>
      <c r="M549" s="4"/>
      <c r="N549" s="4"/>
      <c r="O549" s="9"/>
      <c r="P549" s="9"/>
      <c r="Q549" s="9"/>
      <c r="R549" s="9"/>
      <c r="S549" s="9"/>
      <c r="T549" s="9"/>
      <c r="U549" s="9"/>
      <c r="V549" s="9"/>
    </row>
    <row r="550" spans="1:22" s="28" customFormat="1" x14ac:dyDescent="0.2">
      <c r="C550" s="31"/>
      <c r="D550" s="31"/>
      <c r="E550" s="31"/>
      <c r="F550" s="57"/>
      <c r="G550" s="4"/>
      <c r="H550" s="4"/>
      <c r="I550" s="4"/>
      <c r="J550" s="4"/>
      <c r="K550" s="4"/>
      <c r="L550" s="4"/>
      <c r="M550" s="4"/>
      <c r="N550" s="4"/>
      <c r="O550" s="9"/>
      <c r="P550" s="9"/>
      <c r="Q550" s="9"/>
      <c r="R550" s="9"/>
      <c r="S550" s="9"/>
      <c r="T550" s="9"/>
      <c r="U550" s="9"/>
      <c r="V550" s="9"/>
    </row>
    <row r="551" spans="1:22" s="28" customFormat="1" x14ac:dyDescent="0.2">
      <c r="C551" s="31"/>
      <c r="D551" s="31"/>
      <c r="E551" s="31"/>
      <c r="F551" s="57"/>
      <c r="G551" s="4"/>
      <c r="H551" s="4"/>
      <c r="I551" s="4"/>
      <c r="J551" s="4"/>
      <c r="K551" s="4"/>
      <c r="L551" s="4"/>
      <c r="M551" s="4"/>
      <c r="N551" s="4"/>
      <c r="O551" s="9"/>
      <c r="P551" s="9"/>
      <c r="Q551" s="9"/>
      <c r="R551" s="9"/>
      <c r="S551" s="9"/>
      <c r="T551" s="9"/>
      <c r="U551" s="9"/>
      <c r="V551" s="9"/>
    </row>
    <row r="552" spans="1:22" s="9" customFormat="1" x14ac:dyDescent="0.2">
      <c r="A552" s="7" t="s">
        <v>180</v>
      </c>
      <c r="C552" s="4"/>
      <c r="D552" s="4"/>
      <c r="E552" s="4"/>
      <c r="F552" s="61"/>
      <c r="G552" s="4"/>
      <c r="H552" s="4"/>
      <c r="I552" s="4"/>
      <c r="J552" s="4"/>
      <c r="K552" s="4"/>
      <c r="L552" s="4"/>
      <c r="M552" s="4"/>
      <c r="N552" s="4"/>
    </row>
    <row r="553" spans="1:22" s="9" customFormat="1" x14ac:dyDescent="0.2">
      <c r="A553" s="7"/>
      <c r="C553" s="4"/>
      <c r="D553" s="4"/>
      <c r="E553" s="4"/>
      <c r="F553" s="61"/>
      <c r="G553" s="4"/>
      <c r="H553" s="4"/>
      <c r="I553" s="4"/>
      <c r="J553" s="4"/>
      <c r="K553" s="4"/>
      <c r="L553" s="4"/>
      <c r="M553" s="4"/>
      <c r="N553" s="4"/>
    </row>
    <row r="554" spans="1:22" s="28" customFormat="1" x14ac:dyDescent="0.2">
      <c r="A554" s="17" t="s">
        <v>700</v>
      </c>
      <c r="B554" s="19"/>
      <c r="C554" s="21" t="s">
        <v>176</v>
      </c>
      <c r="D554" s="21" t="s">
        <v>73</v>
      </c>
      <c r="E554" s="21"/>
      <c r="F554" s="204">
        <v>0</v>
      </c>
      <c r="G554" s="14">
        <f>(VLOOKUP($D554,$C$5:$AH$1004,5,)/VLOOKUP($D554,$C$5:$AH$1004,4,))*$F554</f>
        <v>0</v>
      </c>
      <c r="H554" s="14">
        <f>(VLOOKUP($D554,$C$5:$AH$1004,6,)/VLOOKUP($D554,$C$5:$AH$1004,4,))*$F554</f>
        <v>0</v>
      </c>
      <c r="I554" s="14">
        <f>(VLOOKUP($D554,$C$5:$AH$1004,7,)/VLOOKUP($D554,$C$5:$AH$1004,4,))*$F554</f>
        <v>0</v>
      </c>
      <c r="J554" s="14">
        <f>(VLOOKUP($D554,$C$5:$AH$1004,8,)/VLOOKUP($D554,$C$5:$AH$1004,4,))*$F554</f>
        <v>0</v>
      </c>
      <c r="K554" s="14">
        <f>(VLOOKUP($D554,$C$5:$AH$1004,9,)/VLOOKUP($D554,$C$5:$AH$1004,4,))*$F554</f>
        <v>0</v>
      </c>
      <c r="L554" s="14">
        <f>(VLOOKUP($D554,$C$5:$AH$1004,10,)/VLOOKUP($D554,$C$5:$AH$1004,4,))*$F554</f>
        <v>0</v>
      </c>
      <c r="M554" s="14">
        <f>(VLOOKUP($D554,$C$5:$AH$1004,11,)/VLOOKUP($D554,$C$5:$AH$1004,4,))*$F554</f>
        <v>0</v>
      </c>
      <c r="N554" s="14">
        <f>(VLOOKUP($D554,$C$5:$AH$1004,12,)/VLOOKUP($D554,$C$5:$AH$1004,4,))*$F554</f>
        <v>0</v>
      </c>
      <c r="O554" s="14">
        <f>(VLOOKUP($D554,$C$5:$AH$1004,13,)/VLOOKUP($D554,$C$5:$AH$1004,4,))*$F554</f>
        <v>0</v>
      </c>
      <c r="P554" s="14">
        <f>(VLOOKUP($D554,$C$5:$AH$1004,14,)/VLOOKUP($D554,$C$5:$AH$1004,4,))*$F554</f>
        <v>0</v>
      </c>
      <c r="Q554" s="14">
        <f>(VLOOKUP($D554,$C$5:$AH$1004,15,)/VLOOKUP($D554,$C$5:$AH$1004,4,))*$F554</f>
        <v>0</v>
      </c>
      <c r="R554" s="14">
        <f>(VLOOKUP($D554,$C$5:$AH$1004,16,)/VLOOKUP($D554,$C$5:$AH$1004,4,))*$F554</f>
        <v>0</v>
      </c>
      <c r="S554" s="14">
        <f>(VLOOKUP($D554,$C$5:$AH$1004,17,)/VLOOKUP($D554,$C$5:$AH$1004,4,))*$F554</f>
        <v>0</v>
      </c>
      <c r="T554" s="14">
        <f>(VLOOKUP($D554,$C$5:$AH$1004,18,)/VLOOKUP($D554,$C$5:$AH$1004,4,))*$F554</f>
        <v>0</v>
      </c>
      <c r="U554" s="14">
        <f>SUM(G554:T554)</f>
        <v>0</v>
      </c>
      <c r="V554" s="39" t="str">
        <f>IF(ABS(U554-F554)&lt;1,"ok","err")</f>
        <v>ok</v>
      </c>
    </row>
    <row r="555" spans="1:22" s="28" customFormat="1" x14ac:dyDescent="0.2">
      <c r="A555" s="17" t="s">
        <v>701</v>
      </c>
      <c r="C555" s="31" t="s">
        <v>177</v>
      </c>
      <c r="D555" s="31" t="s">
        <v>73</v>
      </c>
      <c r="E555" s="31"/>
      <c r="F555" s="49">
        <v>3893352</v>
      </c>
      <c r="G555" s="14">
        <f>(VLOOKUP($D555,$C$5:$AH$1004,5,)/VLOOKUP($D555,$C$5:$AH$1004,4,))*$F555</f>
        <v>0</v>
      </c>
      <c r="H555" s="14">
        <f>(VLOOKUP($D555,$C$5:$AH$1004,6,)/VLOOKUP($D555,$C$5:$AH$1004,4,))*$F555</f>
        <v>0</v>
      </c>
      <c r="I555" s="14">
        <f>(VLOOKUP($D555,$C$5:$AH$1004,7,)/VLOOKUP($D555,$C$5:$AH$1004,4,))*$F555</f>
        <v>498046.97567423049</v>
      </c>
      <c r="J555" s="14">
        <f>(VLOOKUP($D555,$C$5:$AH$1004,8,)/VLOOKUP($D555,$C$5:$AH$1004,4,))*$F555</f>
        <v>0</v>
      </c>
      <c r="K555" s="14">
        <f>(VLOOKUP($D555,$C$5:$AH$1004,9,)/VLOOKUP($D555,$C$5:$AH$1004,4,))*$F555</f>
        <v>1061494.7725306463</v>
      </c>
      <c r="L555" s="14">
        <f>(VLOOKUP($D555,$C$5:$AH$1004,10,)/VLOOKUP($D555,$C$5:$AH$1004,4,))*$F555</f>
        <v>0</v>
      </c>
      <c r="M555" s="14">
        <f>(VLOOKUP($D555,$C$5:$AH$1004,11,)/VLOOKUP($D555,$C$5:$AH$1004,4,))*$F555</f>
        <v>0</v>
      </c>
      <c r="N555" s="14">
        <f>(VLOOKUP($D555,$C$5:$AH$1004,12,)/VLOOKUP($D555,$C$5:$AH$1004,4,))*$F555</f>
        <v>54115.791586666783</v>
      </c>
      <c r="O555" s="14">
        <f>(VLOOKUP($D555,$C$5:$AH$1004,13,)/VLOOKUP($D555,$C$5:$AH$1004,4,))*$F555</f>
        <v>456676.18273064913</v>
      </c>
      <c r="P555" s="14">
        <f>(VLOOKUP($D555,$C$5:$AH$1004,14,)/VLOOKUP($D555,$C$5:$AH$1004,4,))*$F555</f>
        <v>1122425.4173061738</v>
      </c>
      <c r="Q555" s="14">
        <f>(VLOOKUP($D555,$C$5:$AH$1004,15,)/VLOOKUP($D555,$C$5:$AH$1004,4,))*$F555</f>
        <v>360174.68700892373</v>
      </c>
      <c r="R555" s="14">
        <f>(VLOOKUP($D555,$C$5:$AH$1004,16,)/VLOOKUP($D555,$C$5:$AH$1004,4,))*$F555</f>
        <v>340418.17316270934</v>
      </c>
      <c r="S555" s="14">
        <f>(VLOOKUP($D555,$C$5:$AH$1004,17,)/VLOOKUP($D555,$C$5:$AH$1004,4,))*$F555</f>
        <v>0</v>
      </c>
      <c r="T555" s="14">
        <f>(VLOOKUP($D555,$C$5:$AH$1004,18,)/VLOOKUP($D555,$C$5:$AH$1004,4,))*$F555</f>
        <v>0</v>
      </c>
      <c r="U555" s="14">
        <f>SUM(G555:T555)</f>
        <v>3893351.9999999995</v>
      </c>
      <c r="V555" s="39" t="str">
        <f>IF(ABS(U555-F555)&lt;1,"ok","err")</f>
        <v>ok</v>
      </c>
    </row>
    <row r="556" spans="1:22" s="28" customFormat="1" x14ac:dyDescent="0.2">
      <c r="A556" s="17" t="s">
        <v>702</v>
      </c>
      <c r="C556" s="31" t="s">
        <v>178</v>
      </c>
      <c r="D556" s="31" t="s">
        <v>345</v>
      </c>
      <c r="E556" s="31"/>
      <c r="F556" s="46">
        <v>0</v>
      </c>
      <c r="G556" s="14">
        <f>(VLOOKUP($D556,$C$5:$AH$1004,5,)/VLOOKUP($D556,$C$5:$AH$1004,4,))*$F556</f>
        <v>0</v>
      </c>
      <c r="H556" s="14">
        <f>(VLOOKUP($D556,$C$5:$AH$1004,6,)/VLOOKUP($D556,$C$5:$AH$1004,4,))*$F556</f>
        <v>0</v>
      </c>
      <c r="I556" s="14">
        <f>(VLOOKUP($D556,$C$5:$AH$1004,7,)/VLOOKUP($D556,$C$5:$AH$1004,4,))*$F556</f>
        <v>0</v>
      </c>
      <c r="J556" s="14">
        <f>(VLOOKUP($D556,$C$5:$AH$1004,8,)/VLOOKUP($D556,$C$5:$AH$1004,4,))*$F556</f>
        <v>0</v>
      </c>
      <c r="K556" s="14">
        <f>(VLOOKUP($D556,$C$5:$AH$1004,9,)/VLOOKUP($D556,$C$5:$AH$1004,4,))*$F556</f>
        <v>0</v>
      </c>
      <c r="L556" s="14">
        <f>(VLOOKUP($D556,$C$5:$AH$1004,10,)/VLOOKUP($D556,$C$5:$AH$1004,4,))*$F556</f>
        <v>0</v>
      </c>
      <c r="M556" s="14">
        <f>(VLOOKUP($D556,$C$5:$AH$1004,11,)/VLOOKUP($D556,$C$5:$AH$1004,4,))*$F556</f>
        <v>0</v>
      </c>
      <c r="N556" s="14">
        <f>(VLOOKUP($D556,$C$5:$AH$1004,12,)/VLOOKUP($D556,$C$5:$AH$1004,4,))*$F556</f>
        <v>0</v>
      </c>
      <c r="O556" s="14">
        <f>(VLOOKUP($D556,$C$5:$AH$1004,13,)/VLOOKUP($D556,$C$5:$AH$1004,4,))*$F556</f>
        <v>0</v>
      </c>
      <c r="P556" s="14">
        <f>(VLOOKUP($D556,$C$5:$AH$1004,14,)/VLOOKUP($D556,$C$5:$AH$1004,4,))*$F556</f>
        <v>0</v>
      </c>
      <c r="Q556" s="14">
        <f>(VLOOKUP($D556,$C$5:$AH$1004,15,)/VLOOKUP($D556,$C$5:$AH$1004,4,))*$F556</f>
        <v>0</v>
      </c>
      <c r="R556" s="14">
        <f>(VLOOKUP($D556,$C$5:$AH$1004,16,)/VLOOKUP($D556,$C$5:$AH$1004,4,))*$F556</f>
        <v>0</v>
      </c>
      <c r="S556" s="14">
        <f>(VLOOKUP($D556,$C$5:$AH$1004,17,)/VLOOKUP($D556,$C$5:$AH$1004,4,))*$F556</f>
        <v>0</v>
      </c>
      <c r="T556" s="14">
        <f>(VLOOKUP($D556,$C$5:$AH$1004,18,)/VLOOKUP($D556,$C$5:$AH$1004,4,))*$F556</f>
        <v>0</v>
      </c>
      <c r="U556" s="14">
        <f>SUM(G556:T556)</f>
        <v>0</v>
      </c>
      <c r="V556" s="39" t="str">
        <f>IF(ABS(U556-F556)&lt;1,"ok","err")</f>
        <v>ok</v>
      </c>
    </row>
    <row r="557" spans="1:22" s="28" customFormat="1" x14ac:dyDescent="0.2">
      <c r="A557" s="31"/>
      <c r="C557" s="31"/>
      <c r="D557" s="31"/>
      <c r="E557" s="31"/>
      <c r="F557" s="57"/>
      <c r="G557" s="4"/>
      <c r="H557" s="4"/>
      <c r="I557" s="4"/>
      <c r="J557" s="4"/>
      <c r="K557" s="4"/>
      <c r="L557" s="4"/>
      <c r="M557" s="4"/>
      <c r="N557" s="4"/>
      <c r="O557" s="9"/>
      <c r="P557" s="9"/>
      <c r="Q557" s="9"/>
      <c r="R557" s="9"/>
      <c r="S557" s="9"/>
      <c r="T557" s="9"/>
      <c r="U557" s="9"/>
      <c r="V557" s="9"/>
    </row>
    <row r="558" spans="1:22" s="9" customFormat="1" x14ac:dyDescent="0.2">
      <c r="A558" s="13" t="s">
        <v>181</v>
      </c>
      <c r="B558" s="8"/>
      <c r="C558" s="4" t="s">
        <v>179</v>
      </c>
      <c r="D558" s="4"/>
      <c r="E558" s="4"/>
      <c r="F558" s="59">
        <f t="shared" ref="F558:T558" si="231">SUM(F554:F557)</f>
        <v>3893352</v>
      </c>
      <c r="G558" s="15">
        <f t="shared" si="231"/>
        <v>0</v>
      </c>
      <c r="H558" s="15">
        <f t="shared" si="231"/>
        <v>0</v>
      </c>
      <c r="I558" s="15">
        <f t="shared" si="231"/>
        <v>498046.97567423049</v>
      </c>
      <c r="J558" s="15">
        <f t="shared" si="231"/>
        <v>0</v>
      </c>
      <c r="K558" s="15">
        <f t="shared" si="231"/>
        <v>1061494.7725306463</v>
      </c>
      <c r="L558" s="15">
        <f t="shared" si="231"/>
        <v>0</v>
      </c>
      <c r="M558" s="15">
        <f t="shared" si="231"/>
        <v>0</v>
      </c>
      <c r="N558" s="15">
        <f t="shared" si="231"/>
        <v>54115.791586666783</v>
      </c>
      <c r="O558" s="15">
        <f t="shared" si="231"/>
        <v>456676.18273064913</v>
      </c>
      <c r="P558" s="15">
        <f t="shared" si="231"/>
        <v>1122425.4173061738</v>
      </c>
      <c r="Q558" s="15">
        <f t="shared" si="231"/>
        <v>360174.68700892373</v>
      </c>
      <c r="R558" s="15">
        <f t="shared" si="231"/>
        <v>340418.17316270934</v>
      </c>
      <c r="S558" s="15">
        <f t="shared" si="231"/>
        <v>0</v>
      </c>
      <c r="T558" s="15">
        <f t="shared" si="231"/>
        <v>0</v>
      </c>
      <c r="U558" s="14">
        <f>SUM(G558:T558)</f>
        <v>3893351.9999999995</v>
      </c>
      <c r="V558" s="39" t="str">
        <f>IF(ABS(U558-F558)&lt;1,"ok","err")</f>
        <v>ok</v>
      </c>
    </row>
    <row r="559" spans="1:22" x14ac:dyDescent="0.2">
      <c r="A559" s="37" t="s">
        <v>182</v>
      </c>
      <c r="F559" s="48"/>
    </row>
    <row r="560" spans="1:22" x14ac:dyDescent="0.2">
      <c r="F560" s="48"/>
    </row>
    <row r="561" spans="1:22" x14ac:dyDescent="0.2">
      <c r="A561" s="1" t="s">
        <v>703</v>
      </c>
      <c r="C561" s="21" t="s">
        <v>309</v>
      </c>
      <c r="D561" s="21" t="s">
        <v>73</v>
      </c>
      <c r="F561" s="204">
        <v>2639800</v>
      </c>
      <c r="G561" s="14">
        <f>(VLOOKUP($D561,$C$5:$AH$1004,5,)/VLOOKUP($D561,$C$5:$AH$1004,4,))*$F561</f>
        <v>0</v>
      </c>
      <c r="H561" s="14">
        <f>(VLOOKUP($D561,$C$5:$AH$1004,6,)/VLOOKUP($D561,$C$5:$AH$1004,4,))*$F561</f>
        <v>0</v>
      </c>
      <c r="I561" s="14">
        <f>(VLOOKUP($D561,$C$5:$AH$1004,7,)/VLOOKUP($D561,$C$5:$AH$1004,4,))*$F561</f>
        <v>337689.58121044119</v>
      </c>
      <c r="J561" s="14">
        <f>(VLOOKUP($D561,$C$5:$AH$1004,8,)/VLOOKUP($D561,$C$5:$AH$1004,4,))*$F561</f>
        <v>0</v>
      </c>
      <c r="K561" s="14">
        <f>(VLOOKUP($D561,$C$5:$AH$1004,9,)/VLOOKUP($D561,$C$5:$AH$1004,4,))*$F561</f>
        <v>719722.72235502978</v>
      </c>
      <c r="L561" s="14">
        <f>(VLOOKUP($D561,$C$5:$AH$1004,10,)/VLOOKUP($D561,$C$5:$AH$1004,4,))*$F561</f>
        <v>0</v>
      </c>
      <c r="M561" s="14">
        <f>(VLOOKUP($D561,$C$5:$AH$1004,11,)/VLOOKUP($D561,$C$5:$AH$1004,4,))*$F561</f>
        <v>0</v>
      </c>
      <c r="N561" s="14">
        <f>(VLOOKUP($D561,$C$5:$AH$1004,12,)/VLOOKUP($D561,$C$5:$AH$1004,4,))*$F561</f>
        <v>36691.998727698643</v>
      </c>
      <c r="O561" s="14">
        <f>(VLOOKUP($D561,$C$5:$AH$1004,13,)/VLOOKUP($D561,$C$5:$AH$1004,4,))*$F561</f>
        <v>309639.04295639531</v>
      </c>
      <c r="P561" s="14">
        <f>(VLOOKUP($D561,$C$5:$AH$1004,14,)/VLOOKUP($D561,$C$5:$AH$1004,4,))*$F561</f>
        <v>761035.37943777943</v>
      </c>
      <c r="Q561" s="14">
        <f>(VLOOKUP($D561,$C$5:$AH$1004,15,)/VLOOKUP($D561,$C$5:$AH$1004,4,))*$F561</f>
        <v>244208.36820461054</v>
      </c>
      <c r="R561" s="14">
        <f>(VLOOKUP($D561,$C$5:$AH$1004,16,)/VLOOKUP($D561,$C$5:$AH$1004,4,))*$F561</f>
        <v>230812.90710804469</v>
      </c>
      <c r="S561" s="14">
        <f>(VLOOKUP($D561,$C$5:$AH$1004,17,)/VLOOKUP($D561,$C$5:$AH$1004,4,))*$F561</f>
        <v>0</v>
      </c>
      <c r="T561" s="14">
        <f>(VLOOKUP($D561,$C$5:$AH$1004,18,)/VLOOKUP($D561,$C$5:$AH$1004,4,))*$F561</f>
        <v>0</v>
      </c>
      <c r="U561" s="14">
        <f>SUM(G561:T561)</f>
        <v>2639799.9999999995</v>
      </c>
      <c r="V561" s="39" t="str">
        <f>IF(ABS(U561-F561)&lt;1,"ok","err")</f>
        <v>ok</v>
      </c>
    </row>
    <row r="562" spans="1:22" x14ac:dyDescent="0.2">
      <c r="F562" s="48"/>
    </row>
    <row r="563" spans="1:22" x14ac:dyDescent="0.2">
      <c r="F563" s="48"/>
    </row>
    <row r="564" spans="1:22" x14ac:dyDescent="0.2">
      <c r="F564" s="48"/>
    </row>
    <row r="565" spans="1:22" x14ac:dyDescent="0.2">
      <c r="F565" s="48"/>
    </row>
    <row r="566" spans="1:22" x14ac:dyDescent="0.2">
      <c r="F566" s="48"/>
    </row>
    <row r="567" spans="1:22" x14ac:dyDescent="0.2">
      <c r="F567" s="48"/>
    </row>
    <row r="568" spans="1:22" x14ac:dyDescent="0.2">
      <c r="F568" s="48"/>
    </row>
    <row r="569" spans="1:22" x14ac:dyDescent="0.2">
      <c r="F569" s="48"/>
    </row>
    <row r="570" spans="1:22" x14ac:dyDescent="0.2">
      <c r="F570" s="48"/>
    </row>
    <row r="571" spans="1:22" x14ac:dyDescent="0.2">
      <c r="F571" s="48"/>
    </row>
    <row r="572" spans="1:22" x14ac:dyDescent="0.2">
      <c r="F572" s="48"/>
    </row>
    <row r="573" spans="1:22" x14ac:dyDescent="0.2">
      <c r="F573" s="48"/>
    </row>
    <row r="574" spans="1:22" x14ac:dyDescent="0.2">
      <c r="F574" s="48"/>
    </row>
    <row r="575" spans="1:22" x14ac:dyDescent="0.2">
      <c r="F575" s="48"/>
    </row>
    <row r="576" spans="1:22" x14ac:dyDescent="0.2">
      <c r="F576" s="48"/>
    </row>
    <row r="577" spans="1:6" x14ac:dyDescent="0.2">
      <c r="F577" s="48"/>
    </row>
    <row r="578" spans="1:6" x14ac:dyDescent="0.2">
      <c r="F578" s="48"/>
    </row>
    <row r="579" spans="1:6" x14ac:dyDescent="0.2">
      <c r="F579" s="48"/>
    </row>
    <row r="580" spans="1:6" x14ac:dyDescent="0.2">
      <c r="F580" s="48"/>
    </row>
    <row r="581" spans="1:6" x14ac:dyDescent="0.2">
      <c r="F581" s="48"/>
    </row>
    <row r="582" spans="1:6" x14ac:dyDescent="0.2">
      <c r="F582" s="48"/>
    </row>
    <row r="583" spans="1:6" x14ac:dyDescent="0.2">
      <c r="F583" s="48"/>
    </row>
    <row r="584" spans="1:6" x14ac:dyDescent="0.2">
      <c r="F584" s="48"/>
    </row>
    <row r="585" spans="1:6" x14ac:dyDescent="0.2">
      <c r="F585" s="48"/>
    </row>
    <row r="586" spans="1:6" x14ac:dyDescent="0.2">
      <c r="F586" s="48"/>
    </row>
    <row r="587" spans="1:6" x14ac:dyDescent="0.2">
      <c r="F587" s="48"/>
    </row>
    <row r="588" spans="1:6" x14ac:dyDescent="0.2">
      <c r="F588" s="48"/>
    </row>
    <row r="589" spans="1:6" x14ac:dyDescent="0.2">
      <c r="F589" s="48"/>
    </row>
    <row r="590" spans="1:6" x14ac:dyDescent="0.2">
      <c r="F590" s="48"/>
    </row>
    <row r="591" spans="1:6" x14ac:dyDescent="0.2">
      <c r="F591" s="48"/>
    </row>
    <row r="592" spans="1:6" x14ac:dyDescent="0.2">
      <c r="A592" s="7" t="s">
        <v>193</v>
      </c>
      <c r="F592" s="48"/>
    </row>
    <row r="593" spans="1:22" x14ac:dyDescent="0.2">
      <c r="F593" s="48"/>
    </row>
    <row r="594" spans="1:22" x14ac:dyDescent="0.2">
      <c r="A594" s="19" t="s">
        <v>194</v>
      </c>
      <c r="C594" s="21" t="s">
        <v>22</v>
      </c>
      <c r="F594" s="236">
        <v>1</v>
      </c>
      <c r="G594" s="40">
        <v>1</v>
      </c>
      <c r="H594" s="40">
        <v>0</v>
      </c>
      <c r="I594" s="40">
        <v>0</v>
      </c>
      <c r="J594" s="40">
        <v>0</v>
      </c>
      <c r="K594" s="40">
        <v>0</v>
      </c>
      <c r="L594" s="40">
        <v>0</v>
      </c>
      <c r="M594" s="40">
        <v>0</v>
      </c>
      <c r="N594" s="40">
        <v>0</v>
      </c>
      <c r="O594" s="40">
        <v>0</v>
      </c>
      <c r="P594" s="40">
        <v>0</v>
      </c>
      <c r="Q594" s="40">
        <v>0</v>
      </c>
      <c r="R594" s="40">
        <v>0</v>
      </c>
      <c r="S594" s="40">
        <v>0</v>
      </c>
      <c r="T594" s="40">
        <v>0</v>
      </c>
      <c r="U594" s="41">
        <f>SUM(G573:T573)</f>
        <v>0</v>
      </c>
      <c r="V594" s="39" t="str">
        <f>IF(ABS(U573-F573)&lt;0.000001,"ok","err")</f>
        <v>ok</v>
      </c>
    </row>
    <row r="595" spans="1:22" x14ac:dyDescent="0.2">
      <c r="A595" s="19" t="s">
        <v>195</v>
      </c>
      <c r="C595" s="21" t="s">
        <v>104</v>
      </c>
      <c r="F595" s="236">
        <v>1</v>
      </c>
      <c r="G595" s="40">
        <v>0</v>
      </c>
      <c r="H595" s="40">
        <v>1</v>
      </c>
      <c r="I595" s="40">
        <v>0</v>
      </c>
      <c r="J595" s="40">
        <v>0</v>
      </c>
      <c r="K595" s="40">
        <v>0</v>
      </c>
      <c r="L595" s="40">
        <v>0</v>
      </c>
      <c r="M595" s="40">
        <v>0</v>
      </c>
      <c r="N595" s="40">
        <v>0</v>
      </c>
      <c r="O595" s="40">
        <v>0</v>
      </c>
      <c r="P595" s="40">
        <v>0</v>
      </c>
      <c r="Q595" s="40">
        <v>0</v>
      </c>
      <c r="R595" s="40">
        <v>0</v>
      </c>
      <c r="S595" s="40">
        <v>0</v>
      </c>
      <c r="T595" s="40">
        <v>0</v>
      </c>
      <c r="U595" s="41">
        <f t="shared" ref="U595:U606" si="232">SUM(G595:T595)</f>
        <v>1</v>
      </c>
      <c r="V595" s="39" t="str">
        <f t="shared" ref="V595:V606" si="233">IF(ABS(U595-F595)&lt;0.000001,"ok","err")</f>
        <v>ok</v>
      </c>
    </row>
    <row r="596" spans="1:22" x14ac:dyDescent="0.2">
      <c r="A596" s="19" t="s">
        <v>196</v>
      </c>
      <c r="C596" s="21" t="s">
        <v>24</v>
      </c>
      <c r="F596" s="236">
        <v>1</v>
      </c>
      <c r="G596" s="40">
        <v>0</v>
      </c>
      <c r="H596" s="40">
        <v>0</v>
      </c>
      <c r="I596" s="40">
        <v>1</v>
      </c>
      <c r="J596" s="40">
        <v>0</v>
      </c>
      <c r="K596" s="40">
        <v>0</v>
      </c>
      <c r="L596" s="40">
        <v>0</v>
      </c>
      <c r="M596" s="40">
        <v>0</v>
      </c>
      <c r="N596" s="40">
        <v>0</v>
      </c>
      <c r="O596" s="40">
        <v>0</v>
      </c>
      <c r="P596" s="40">
        <v>0</v>
      </c>
      <c r="Q596" s="40">
        <v>0</v>
      </c>
      <c r="R596" s="40">
        <v>0</v>
      </c>
      <c r="S596" s="40">
        <v>0</v>
      </c>
      <c r="T596" s="40">
        <v>0</v>
      </c>
      <c r="U596" s="41">
        <f t="shared" si="232"/>
        <v>1</v>
      </c>
      <c r="V596" s="39" t="str">
        <f t="shared" si="233"/>
        <v>ok</v>
      </c>
    </row>
    <row r="597" spans="1:22" x14ac:dyDescent="0.2">
      <c r="A597" s="19" t="s">
        <v>197</v>
      </c>
      <c r="C597" s="21" t="s">
        <v>128</v>
      </c>
      <c r="F597" s="236">
        <v>1</v>
      </c>
      <c r="G597" s="40">
        <v>0</v>
      </c>
      <c r="H597" s="40">
        <v>0</v>
      </c>
      <c r="I597" s="40">
        <v>0</v>
      </c>
      <c r="J597" s="40">
        <v>1</v>
      </c>
      <c r="K597" s="40">
        <v>0</v>
      </c>
      <c r="L597" s="40">
        <v>0</v>
      </c>
      <c r="M597" s="40">
        <v>0</v>
      </c>
      <c r="N597" s="40">
        <v>0</v>
      </c>
      <c r="O597" s="40">
        <v>0</v>
      </c>
      <c r="P597" s="40">
        <v>0</v>
      </c>
      <c r="Q597" s="40">
        <v>0</v>
      </c>
      <c r="R597" s="40">
        <v>0</v>
      </c>
      <c r="S597" s="40">
        <v>0</v>
      </c>
      <c r="T597" s="40">
        <v>0</v>
      </c>
      <c r="U597" s="41">
        <f t="shared" si="232"/>
        <v>1</v>
      </c>
      <c r="V597" s="39" t="str">
        <f t="shared" si="233"/>
        <v>ok</v>
      </c>
    </row>
    <row r="598" spans="1:22" x14ac:dyDescent="0.2">
      <c r="A598" s="19" t="s">
        <v>198</v>
      </c>
      <c r="C598" s="21" t="s">
        <v>27</v>
      </c>
      <c r="F598" s="236">
        <v>1</v>
      </c>
      <c r="G598" s="40">
        <v>0</v>
      </c>
      <c r="H598" s="40">
        <v>0</v>
      </c>
      <c r="I598" s="40">
        <v>0</v>
      </c>
      <c r="J598" s="40">
        <v>0</v>
      </c>
      <c r="K598" s="40">
        <v>1</v>
      </c>
      <c r="L598" s="40">
        <v>0</v>
      </c>
      <c r="M598" s="40">
        <v>0</v>
      </c>
      <c r="N598" s="40">
        <v>0</v>
      </c>
      <c r="O598" s="40">
        <v>0</v>
      </c>
      <c r="P598" s="40">
        <v>0</v>
      </c>
      <c r="Q598" s="40">
        <v>0</v>
      </c>
      <c r="R598" s="40">
        <v>0</v>
      </c>
      <c r="S598" s="40">
        <v>0</v>
      </c>
      <c r="T598" s="40">
        <v>0</v>
      </c>
      <c r="U598" s="41">
        <f t="shared" si="232"/>
        <v>1</v>
      </c>
      <c r="V598" s="39" t="str">
        <f t="shared" si="233"/>
        <v>ok</v>
      </c>
    </row>
    <row r="599" spans="1:22" x14ac:dyDescent="0.2">
      <c r="A599" s="19" t="s">
        <v>199</v>
      </c>
      <c r="C599" s="21" t="s">
        <v>32</v>
      </c>
      <c r="F599" s="236">
        <v>1</v>
      </c>
      <c r="G599" s="40">
        <v>0</v>
      </c>
      <c r="H599" s="40">
        <v>0</v>
      </c>
      <c r="I599" s="40">
        <v>0</v>
      </c>
      <c r="J599" s="40">
        <v>0</v>
      </c>
      <c r="K599" s="40">
        <v>0</v>
      </c>
      <c r="L599" s="40">
        <v>1</v>
      </c>
      <c r="M599" s="40">
        <v>0</v>
      </c>
      <c r="N599" s="40">
        <v>0</v>
      </c>
      <c r="O599" s="40">
        <v>0</v>
      </c>
      <c r="P599" s="40">
        <v>0</v>
      </c>
      <c r="Q599" s="40">
        <v>0</v>
      </c>
      <c r="R599" s="40">
        <v>0</v>
      </c>
      <c r="S599" s="40">
        <v>0</v>
      </c>
      <c r="T599" s="40">
        <v>0</v>
      </c>
      <c r="U599" s="41">
        <f t="shared" si="232"/>
        <v>1</v>
      </c>
      <c r="V599" s="39" t="str">
        <f t="shared" si="233"/>
        <v>ok</v>
      </c>
    </row>
    <row r="600" spans="1:22" x14ac:dyDescent="0.2">
      <c r="A600" s="19" t="s">
        <v>200</v>
      </c>
      <c r="C600" s="21" t="s">
        <v>35</v>
      </c>
      <c r="F600" s="236">
        <v>1</v>
      </c>
      <c r="G600" s="40">
        <v>0</v>
      </c>
      <c r="H600" s="40">
        <v>0</v>
      </c>
      <c r="I600" s="40">
        <v>0</v>
      </c>
      <c r="J600" s="40">
        <v>0</v>
      </c>
      <c r="K600" s="40">
        <v>0</v>
      </c>
      <c r="L600" s="40">
        <v>0</v>
      </c>
      <c r="M600" s="40">
        <v>1</v>
      </c>
      <c r="N600" s="40">
        <v>0</v>
      </c>
      <c r="O600" s="40">
        <v>0</v>
      </c>
      <c r="P600" s="40">
        <v>0</v>
      </c>
      <c r="Q600" s="40">
        <v>0</v>
      </c>
      <c r="R600" s="40">
        <v>0</v>
      </c>
      <c r="S600" s="40">
        <v>0</v>
      </c>
      <c r="T600" s="40">
        <v>0</v>
      </c>
      <c r="U600" s="41">
        <f t="shared" si="232"/>
        <v>1</v>
      </c>
      <c r="V600" s="39" t="str">
        <f t="shared" si="233"/>
        <v>ok</v>
      </c>
    </row>
    <row r="601" spans="1:22" x14ac:dyDescent="0.2">
      <c r="A601" s="19" t="s">
        <v>6</v>
      </c>
      <c r="C601" s="21" t="s">
        <v>38</v>
      </c>
      <c r="F601" s="236">
        <v>1</v>
      </c>
      <c r="G601" s="40">
        <v>0</v>
      </c>
      <c r="H601" s="40">
        <v>0</v>
      </c>
      <c r="I601" s="40">
        <v>0</v>
      </c>
      <c r="J601" s="40">
        <v>0</v>
      </c>
      <c r="K601" s="40">
        <v>0</v>
      </c>
      <c r="L601" s="40">
        <v>0</v>
      </c>
      <c r="M601" s="40">
        <v>0</v>
      </c>
      <c r="N601" s="40">
        <v>1</v>
      </c>
      <c r="O601" s="40">
        <v>0</v>
      </c>
      <c r="P601" s="40">
        <v>0</v>
      </c>
      <c r="Q601" s="40">
        <v>0</v>
      </c>
      <c r="R601" s="40">
        <v>0</v>
      </c>
      <c r="S601" s="40">
        <v>0</v>
      </c>
      <c r="T601" s="40">
        <v>0</v>
      </c>
      <c r="U601" s="41">
        <f t="shared" si="232"/>
        <v>1</v>
      </c>
      <c r="V601" s="39" t="str">
        <f t="shared" si="233"/>
        <v>ok</v>
      </c>
    </row>
    <row r="602" spans="1:22" x14ac:dyDescent="0.2">
      <c r="A602" s="19" t="s">
        <v>7</v>
      </c>
      <c r="C602" s="21" t="s">
        <v>40</v>
      </c>
      <c r="F602" s="236">
        <v>1</v>
      </c>
      <c r="G602" s="40">
        <v>0</v>
      </c>
      <c r="H602" s="40">
        <v>0</v>
      </c>
      <c r="I602" s="40">
        <v>0</v>
      </c>
      <c r="J602" s="40">
        <v>0</v>
      </c>
      <c r="K602" s="40">
        <v>0</v>
      </c>
      <c r="L602" s="40">
        <v>0</v>
      </c>
      <c r="M602" s="40">
        <v>0</v>
      </c>
      <c r="N602" s="40">
        <v>0</v>
      </c>
      <c r="O602" s="255">
        <v>0.28920000000000001</v>
      </c>
      <c r="P602" s="255">
        <v>0.71079999999999999</v>
      </c>
      <c r="Q602" s="40">
        <v>0</v>
      </c>
      <c r="R602" s="40">
        <v>0</v>
      </c>
      <c r="S602" s="40">
        <v>0</v>
      </c>
      <c r="T602" s="40">
        <v>0</v>
      </c>
      <c r="U602" s="41">
        <f t="shared" si="232"/>
        <v>1</v>
      </c>
      <c r="V602" s="39" t="str">
        <f t="shared" si="233"/>
        <v>ok</v>
      </c>
    </row>
    <row r="603" spans="1:22" x14ac:dyDescent="0.2">
      <c r="A603" s="19" t="s">
        <v>9</v>
      </c>
      <c r="C603" s="21" t="s">
        <v>42</v>
      </c>
      <c r="F603" s="236">
        <v>1</v>
      </c>
      <c r="G603" s="40">
        <v>0</v>
      </c>
      <c r="H603" s="40">
        <v>0</v>
      </c>
      <c r="I603" s="40">
        <v>0</v>
      </c>
      <c r="J603" s="40">
        <v>0</v>
      </c>
      <c r="K603" s="40">
        <v>0</v>
      </c>
      <c r="L603" s="40">
        <v>0</v>
      </c>
      <c r="M603" s="40">
        <v>0</v>
      </c>
      <c r="N603" s="40">
        <v>0</v>
      </c>
      <c r="O603" s="40">
        <v>0</v>
      </c>
      <c r="P603" s="40">
        <v>0</v>
      </c>
      <c r="Q603" s="40">
        <v>1</v>
      </c>
      <c r="R603" s="40">
        <v>0</v>
      </c>
      <c r="S603" s="40">
        <v>0</v>
      </c>
      <c r="T603" s="40">
        <v>0</v>
      </c>
      <c r="U603" s="41">
        <f t="shared" si="232"/>
        <v>1</v>
      </c>
      <c r="V603" s="39" t="str">
        <f t="shared" si="233"/>
        <v>ok</v>
      </c>
    </row>
    <row r="604" spans="1:22" x14ac:dyDescent="0.2">
      <c r="A604" s="19" t="s">
        <v>10</v>
      </c>
      <c r="C604" s="21" t="s">
        <v>45</v>
      </c>
      <c r="F604" s="236">
        <v>1</v>
      </c>
      <c r="G604" s="40">
        <v>0</v>
      </c>
      <c r="H604" s="40">
        <v>0</v>
      </c>
      <c r="I604" s="40">
        <v>0</v>
      </c>
      <c r="J604" s="40">
        <v>0</v>
      </c>
      <c r="K604" s="40">
        <v>0</v>
      </c>
      <c r="L604" s="40">
        <v>0</v>
      </c>
      <c r="M604" s="40">
        <v>0</v>
      </c>
      <c r="N604" s="40">
        <v>0</v>
      </c>
      <c r="O604" s="40">
        <v>0</v>
      </c>
      <c r="P604" s="40">
        <v>0</v>
      </c>
      <c r="Q604" s="40">
        <v>0</v>
      </c>
      <c r="R604" s="40">
        <v>1</v>
      </c>
      <c r="S604" s="40">
        <v>0</v>
      </c>
      <c r="T604" s="40">
        <v>0</v>
      </c>
      <c r="U604" s="41">
        <f t="shared" si="232"/>
        <v>1</v>
      </c>
      <c r="V604" s="39" t="str">
        <f t="shared" si="233"/>
        <v>ok</v>
      </c>
    </row>
    <row r="605" spans="1:22" x14ac:dyDescent="0.2">
      <c r="A605" s="19" t="s">
        <v>11</v>
      </c>
      <c r="C605" s="21" t="s">
        <v>48</v>
      </c>
      <c r="F605" s="236">
        <v>1</v>
      </c>
      <c r="G605" s="40">
        <v>0</v>
      </c>
      <c r="H605" s="40">
        <v>0</v>
      </c>
      <c r="I605" s="40">
        <v>0</v>
      </c>
      <c r="J605" s="40">
        <v>0</v>
      </c>
      <c r="K605" s="40">
        <v>0</v>
      </c>
      <c r="L605" s="40">
        <v>0</v>
      </c>
      <c r="M605" s="40">
        <v>0</v>
      </c>
      <c r="N605" s="40">
        <v>0</v>
      </c>
      <c r="O605" s="40">
        <v>0</v>
      </c>
      <c r="P605" s="40">
        <v>0</v>
      </c>
      <c r="Q605" s="40">
        <v>0</v>
      </c>
      <c r="R605" s="40">
        <v>0</v>
      </c>
      <c r="S605" s="40">
        <v>1</v>
      </c>
      <c r="T605" s="40">
        <v>0</v>
      </c>
      <c r="U605" s="41">
        <f t="shared" si="232"/>
        <v>1</v>
      </c>
      <c r="V605" s="39" t="str">
        <f t="shared" si="233"/>
        <v>ok</v>
      </c>
    </row>
    <row r="606" spans="1:22" x14ac:dyDescent="0.2">
      <c r="A606" s="19" t="s">
        <v>645</v>
      </c>
      <c r="C606" s="21" t="s">
        <v>51</v>
      </c>
      <c r="F606" s="236">
        <v>1</v>
      </c>
      <c r="G606" s="40">
        <v>0</v>
      </c>
      <c r="H606" s="40">
        <v>0</v>
      </c>
      <c r="I606" s="40">
        <v>0</v>
      </c>
      <c r="J606" s="40">
        <v>0</v>
      </c>
      <c r="K606" s="40">
        <v>0</v>
      </c>
      <c r="L606" s="40">
        <v>0</v>
      </c>
      <c r="M606" s="40">
        <v>0</v>
      </c>
      <c r="N606" s="40">
        <v>0</v>
      </c>
      <c r="O606" s="40">
        <v>0</v>
      </c>
      <c r="P606" s="40">
        <v>0</v>
      </c>
      <c r="Q606" s="40">
        <v>0</v>
      </c>
      <c r="R606" s="40">
        <v>0</v>
      </c>
      <c r="S606" s="40">
        <v>0</v>
      </c>
      <c r="T606" s="40">
        <v>1</v>
      </c>
      <c r="U606" s="41">
        <f t="shared" si="232"/>
        <v>1</v>
      </c>
      <c r="V606" s="39" t="str">
        <f t="shared" si="233"/>
        <v>ok</v>
      </c>
    </row>
    <row r="607" spans="1:22" x14ac:dyDescent="0.2">
      <c r="F607" s="48"/>
    </row>
    <row r="608" spans="1:22" x14ac:dyDescent="0.2">
      <c r="A608" s="19" t="s">
        <v>300</v>
      </c>
      <c r="C608" s="21" t="s">
        <v>301</v>
      </c>
      <c r="F608" s="70">
        <f>F12+F17</f>
        <v>178375896.35000002</v>
      </c>
      <c r="G608" s="36">
        <f t="shared" ref="G608:T608" si="234">G12+G17</f>
        <v>0</v>
      </c>
      <c r="H608" s="36">
        <f t="shared" si="234"/>
        <v>0</v>
      </c>
      <c r="I608" s="36">
        <f t="shared" si="234"/>
        <v>0</v>
      </c>
      <c r="J608" s="36">
        <f t="shared" si="234"/>
        <v>0</v>
      </c>
      <c r="K608" s="36">
        <f t="shared" si="234"/>
        <v>73172522.650000006</v>
      </c>
      <c r="L608" s="36">
        <f t="shared" si="234"/>
        <v>0</v>
      </c>
      <c r="M608" s="36">
        <f t="shared" si="234"/>
        <v>0</v>
      </c>
      <c r="N608" s="36">
        <f t="shared" si="234"/>
        <v>0</v>
      </c>
      <c r="O608" s="36">
        <f t="shared" si="234"/>
        <v>30424815.674040001</v>
      </c>
      <c r="P608" s="36">
        <f t="shared" si="234"/>
        <v>74778558.025959998</v>
      </c>
      <c r="Q608" s="36">
        <f t="shared" si="234"/>
        <v>0</v>
      </c>
      <c r="R608" s="36">
        <f t="shared" si="234"/>
        <v>0</v>
      </c>
      <c r="S608" s="36">
        <f t="shared" si="234"/>
        <v>0</v>
      </c>
      <c r="T608" s="36">
        <f t="shared" si="234"/>
        <v>0</v>
      </c>
      <c r="U608" s="14">
        <f>SUM(G608:T608)</f>
        <v>178375896.35000002</v>
      </c>
      <c r="V608" s="39" t="str">
        <f>IF(ABS(U608-F608)&lt;1,"ok","err")</f>
        <v>ok</v>
      </c>
    </row>
    <row r="609" spans="6:6" x14ac:dyDescent="0.2">
      <c r="F609" s="48"/>
    </row>
    <row r="610" spans="6:6" x14ac:dyDescent="0.2">
      <c r="F610" s="48"/>
    </row>
    <row r="611" spans="6:6" x14ac:dyDescent="0.2">
      <c r="F611" s="48"/>
    </row>
    <row r="612" spans="6:6" x14ac:dyDescent="0.2">
      <c r="F612" s="48"/>
    </row>
    <row r="613" spans="6:6" x14ac:dyDescent="0.2">
      <c r="F613" s="48"/>
    </row>
    <row r="614" spans="6:6" x14ac:dyDescent="0.2">
      <c r="F614" s="48"/>
    </row>
    <row r="615" spans="6:6" x14ac:dyDescent="0.2">
      <c r="F615" s="48"/>
    </row>
    <row r="616" spans="6:6" x14ac:dyDescent="0.2">
      <c r="F616" s="48"/>
    </row>
    <row r="617" spans="6:6" x14ac:dyDescent="0.2">
      <c r="F617" s="48"/>
    </row>
    <row r="618" spans="6:6" x14ac:dyDescent="0.2">
      <c r="F618" s="48"/>
    </row>
    <row r="619" spans="6:6" x14ac:dyDescent="0.2">
      <c r="F619" s="48"/>
    </row>
    <row r="620" spans="6:6" x14ac:dyDescent="0.2">
      <c r="F620" s="48"/>
    </row>
    <row r="621" spans="6:6" x14ac:dyDescent="0.2">
      <c r="F621" s="48"/>
    </row>
    <row r="622" spans="6:6" x14ac:dyDescent="0.2">
      <c r="F622" s="48"/>
    </row>
    <row r="623" spans="6:6" x14ac:dyDescent="0.2">
      <c r="F623" s="48"/>
    </row>
    <row r="624" spans="6:6" x14ac:dyDescent="0.2">
      <c r="F624" s="48"/>
    </row>
    <row r="625" spans="1:22" x14ac:dyDescent="0.2">
      <c r="F625" s="48"/>
    </row>
    <row r="626" spans="1:22" x14ac:dyDescent="0.2">
      <c r="F626" s="48"/>
    </row>
    <row r="627" spans="1:22" x14ac:dyDescent="0.2">
      <c r="F627" s="48"/>
    </row>
    <row r="628" spans="1:22" x14ac:dyDescent="0.2">
      <c r="F628" s="48"/>
    </row>
    <row r="629" spans="1:22" x14ac:dyDescent="0.2">
      <c r="F629" s="48"/>
    </row>
    <row r="630" spans="1:22" x14ac:dyDescent="0.2">
      <c r="F630" s="48"/>
    </row>
    <row r="631" spans="1:22" x14ac:dyDescent="0.2">
      <c r="F631" s="48"/>
    </row>
    <row r="632" spans="1:22" x14ac:dyDescent="0.2">
      <c r="F632" s="48"/>
    </row>
    <row r="635" spans="1:22" x14ac:dyDescent="0.2">
      <c r="A635" s="7" t="s">
        <v>393</v>
      </c>
    </row>
    <row r="637" spans="1:22" x14ac:dyDescent="0.2">
      <c r="A637" s="19" t="s">
        <v>202</v>
      </c>
      <c r="D637" s="21" t="s">
        <v>203</v>
      </c>
      <c r="F637" s="41">
        <v>1</v>
      </c>
      <c r="G637" s="41">
        <f t="shared" ref="G637:G647" si="235">(VLOOKUP($D637,$C$5:$AH$1004,5,)/VLOOKUP($D637,$C$5:$AH$1004,4,))*$F637</f>
        <v>0</v>
      </c>
      <c r="H637" s="41">
        <f t="shared" ref="H637:H647" si="236">(VLOOKUP($D637,$C$5:$AH$1004,6,)/VLOOKUP($D637,$C$5:$AH$1004,4,))*$F637</f>
        <v>0</v>
      </c>
      <c r="I637" s="41">
        <f t="shared" ref="I637:I647" si="237">(VLOOKUP($D637,$C$5:$AH$1004,7,)/VLOOKUP($D637,$C$5:$AH$1004,4,))*$F637</f>
        <v>0</v>
      </c>
      <c r="J637" s="41">
        <f t="shared" ref="J637:J647" si="238">(VLOOKUP($D637,$C$5:$AH$1004,8,)/VLOOKUP($D637,$C$5:$AH$1004,4,))*$F637</f>
        <v>0</v>
      </c>
      <c r="K637" s="41">
        <f t="shared" ref="K637:K647" si="239">(VLOOKUP($D637,$C$5:$AH$1004,9,)/VLOOKUP($D637,$C$5:$AH$1004,4,))*$F637</f>
        <v>0</v>
      </c>
      <c r="L637" s="41">
        <f t="shared" ref="L637:L647" si="240">(VLOOKUP($D637,$C$5:$AH$1004,10,)/VLOOKUP($D637,$C$5:$AH$1004,4,))*$F637</f>
        <v>0</v>
      </c>
      <c r="M637" s="41">
        <f t="shared" ref="M637:M647" si="241">(VLOOKUP($D637,$C$5:$AH$1004,11,)/VLOOKUP($D637,$C$5:$AH$1004,4,))*$F637</f>
        <v>0</v>
      </c>
      <c r="N637" s="41">
        <f t="shared" ref="N637:N647" si="242">(VLOOKUP($D637,$C$5:$AH$1004,12,)/VLOOKUP($D637,$C$5:$AH$1004,4,))*$F637</f>
        <v>2.3725977759877278E-2</v>
      </c>
      <c r="O637" s="41">
        <f t="shared" ref="O637:O647" si="243">(VLOOKUP($D637,$C$5:$AH$1004,13,)/VLOOKUP($D637,$C$5:$AH$1004,4,))*$F637</f>
        <v>0.19350753968866052</v>
      </c>
      <c r="P637" s="41">
        <f t="shared" ref="P637:P647" si="244">(VLOOKUP($D637,$C$5:$AH$1004,14,)/VLOOKUP($D637,$C$5:$AH$1004,4,))*$F637</f>
        <v>0.47560566808679078</v>
      </c>
      <c r="Q637" s="41">
        <f t="shared" ref="Q637:Q647" si="245">(VLOOKUP($D637,$C$5:$AH$1004,15,)/VLOOKUP($D637,$C$5:$AH$1004,4,))*$F637</f>
        <v>0.15791132981874278</v>
      </c>
      <c r="R637" s="41">
        <f t="shared" ref="R637:R647" si="246">(VLOOKUP($D637,$C$5:$AH$1004,16,)/VLOOKUP($D637,$C$5:$AH$1004,4,))*$F637</f>
        <v>0.14924948464592855</v>
      </c>
      <c r="S637" s="41">
        <f t="shared" ref="S637:S647" si="247">(VLOOKUP($D637,$C$5:$AH$1004,17,)/VLOOKUP($D637,$C$5:$AH$1004,4,))*$F637</f>
        <v>0</v>
      </c>
      <c r="T637" s="41">
        <f t="shared" ref="T637:T647" si="248">(VLOOKUP($D637,$C$5:$AH$1004,18,)/VLOOKUP($D637,$C$5:$AH$1004,4,))*$F637</f>
        <v>0</v>
      </c>
      <c r="U637" s="41">
        <f>SUM(G637:T637)</f>
        <v>1</v>
      </c>
      <c r="V637" s="39" t="str">
        <f>IF(ABS(U637-F637)&lt;1,"ok","err")</f>
        <v>ok</v>
      </c>
    </row>
    <row r="638" spans="1:22" x14ac:dyDescent="0.2">
      <c r="A638" s="19" t="s">
        <v>66</v>
      </c>
      <c r="D638" s="21" t="s">
        <v>56</v>
      </c>
      <c r="F638" s="41">
        <v>1</v>
      </c>
      <c r="G638" s="41">
        <f t="shared" si="235"/>
        <v>0</v>
      </c>
      <c r="H638" s="41">
        <f t="shared" si="236"/>
        <v>0</v>
      </c>
      <c r="I638" s="41">
        <f t="shared" si="237"/>
        <v>0.1171843897697127</v>
      </c>
      <c r="J638" s="41">
        <f t="shared" si="238"/>
        <v>0</v>
      </c>
      <c r="K638" s="41">
        <f t="shared" si="239"/>
        <v>0.28037187928773849</v>
      </c>
      <c r="L638" s="41">
        <f t="shared" si="240"/>
        <v>0</v>
      </c>
      <c r="M638" s="41">
        <f t="shared" si="241"/>
        <v>0</v>
      </c>
      <c r="N638" s="41">
        <f t="shared" si="242"/>
        <v>1.4293566561920405E-2</v>
      </c>
      <c r="O638" s="41">
        <f t="shared" si="243"/>
        <v>0.11657740417554999</v>
      </c>
      <c r="P638" s="41">
        <f t="shared" si="244"/>
        <v>0.28652565313962974</v>
      </c>
      <c r="Q638" s="41">
        <f t="shared" si="245"/>
        <v>9.5132690694102767E-2</v>
      </c>
      <c r="R638" s="41">
        <f t="shared" si="246"/>
        <v>8.9914416371345854E-2</v>
      </c>
      <c r="S638" s="41">
        <f t="shared" si="247"/>
        <v>0</v>
      </c>
      <c r="T638" s="41">
        <f t="shared" si="248"/>
        <v>0</v>
      </c>
      <c r="U638" s="41">
        <f t="shared" ref="U638:U643" si="249">SUM(G638:T638)</f>
        <v>1</v>
      </c>
      <c r="V638" s="39" t="str">
        <f t="shared" ref="V638:V643" si="250">IF(ABS(U638-F638)&lt;1,"ok","err")</f>
        <v>ok</v>
      </c>
    </row>
    <row r="639" spans="1:22" x14ac:dyDescent="0.2">
      <c r="A639" s="19" t="s">
        <v>184</v>
      </c>
      <c r="D639" s="21" t="s">
        <v>201</v>
      </c>
      <c r="F639" s="41">
        <v>1</v>
      </c>
      <c r="G639" s="41">
        <f t="shared" si="235"/>
        <v>0</v>
      </c>
      <c r="H639" s="41">
        <f t="shared" si="236"/>
        <v>0</v>
      </c>
      <c r="I639" s="41">
        <f t="shared" si="237"/>
        <v>1</v>
      </c>
      <c r="J639" s="41">
        <f t="shared" si="238"/>
        <v>0</v>
      </c>
      <c r="K639" s="41">
        <f t="shared" si="239"/>
        <v>0</v>
      </c>
      <c r="L639" s="41">
        <f t="shared" si="240"/>
        <v>0</v>
      </c>
      <c r="M639" s="41">
        <f t="shared" si="241"/>
        <v>0</v>
      </c>
      <c r="N639" s="41">
        <f t="shared" si="242"/>
        <v>0</v>
      </c>
      <c r="O639" s="41">
        <f t="shared" si="243"/>
        <v>0</v>
      </c>
      <c r="P639" s="41">
        <f t="shared" si="244"/>
        <v>0</v>
      </c>
      <c r="Q639" s="41">
        <f t="shared" si="245"/>
        <v>0</v>
      </c>
      <c r="R639" s="41">
        <f t="shared" si="246"/>
        <v>0</v>
      </c>
      <c r="S639" s="41">
        <f t="shared" si="247"/>
        <v>0</v>
      </c>
      <c r="T639" s="41">
        <f t="shared" si="248"/>
        <v>0</v>
      </c>
      <c r="U639" s="41">
        <f t="shared" si="249"/>
        <v>1</v>
      </c>
      <c r="V639" s="39" t="str">
        <f t="shared" si="250"/>
        <v>ok</v>
      </c>
    </row>
    <row r="640" spans="1:22" x14ac:dyDescent="0.2">
      <c r="A640" s="19" t="s">
        <v>390</v>
      </c>
      <c r="D640" s="21" t="s">
        <v>183</v>
      </c>
      <c r="F640" s="41">
        <v>1</v>
      </c>
      <c r="G640" s="41">
        <f t="shared" si="235"/>
        <v>0</v>
      </c>
      <c r="H640" s="41">
        <f t="shared" si="236"/>
        <v>0</v>
      </c>
      <c r="I640" s="41">
        <f t="shared" si="237"/>
        <v>0</v>
      </c>
      <c r="J640" s="41">
        <f t="shared" si="238"/>
        <v>0</v>
      </c>
      <c r="K640" s="41">
        <f t="shared" si="239"/>
        <v>1</v>
      </c>
      <c r="L640" s="41">
        <f t="shared" si="240"/>
        <v>0</v>
      </c>
      <c r="M640" s="41">
        <f t="shared" si="241"/>
        <v>0</v>
      </c>
      <c r="N640" s="41">
        <f t="shared" si="242"/>
        <v>0</v>
      </c>
      <c r="O640" s="41">
        <f t="shared" si="243"/>
        <v>0</v>
      </c>
      <c r="P640" s="41">
        <f t="shared" si="244"/>
        <v>0</v>
      </c>
      <c r="Q640" s="41">
        <f t="shared" si="245"/>
        <v>0</v>
      </c>
      <c r="R640" s="41">
        <f t="shared" si="246"/>
        <v>0</v>
      </c>
      <c r="S640" s="41">
        <f t="shared" si="247"/>
        <v>0</v>
      </c>
      <c r="T640" s="41">
        <f t="shared" si="248"/>
        <v>0</v>
      </c>
      <c r="U640" s="41">
        <f t="shared" si="249"/>
        <v>1</v>
      </c>
      <c r="V640" s="39" t="str">
        <f t="shared" si="250"/>
        <v>ok</v>
      </c>
    </row>
    <row r="641" spans="1:22" x14ac:dyDescent="0.2">
      <c r="A641" s="19" t="s">
        <v>61</v>
      </c>
      <c r="D641" s="21" t="s">
        <v>62</v>
      </c>
      <c r="F641" s="41">
        <v>1</v>
      </c>
      <c r="G641" s="41">
        <f t="shared" si="235"/>
        <v>0</v>
      </c>
      <c r="H641" s="41">
        <f t="shared" si="236"/>
        <v>0</v>
      </c>
      <c r="I641" s="41">
        <f t="shared" si="237"/>
        <v>0.11718438976971268</v>
      </c>
      <c r="J641" s="41">
        <f t="shared" si="238"/>
        <v>0</v>
      </c>
      <c r="K641" s="41">
        <f t="shared" si="239"/>
        <v>0.28037187928773849</v>
      </c>
      <c r="L641" s="41">
        <f t="shared" si="240"/>
        <v>0</v>
      </c>
      <c r="M641" s="41">
        <f t="shared" si="241"/>
        <v>0</v>
      </c>
      <c r="N641" s="41">
        <f t="shared" si="242"/>
        <v>1.4293566561920403E-2</v>
      </c>
      <c r="O641" s="41">
        <f t="shared" si="243"/>
        <v>0.11657740417555</v>
      </c>
      <c r="P641" s="41">
        <f t="shared" si="244"/>
        <v>0.28652565313962974</v>
      </c>
      <c r="Q641" s="41">
        <f t="shared" si="245"/>
        <v>9.5132690694102781E-2</v>
      </c>
      <c r="R641" s="41">
        <f t="shared" si="246"/>
        <v>8.9914416371345854E-2</v>
      </c>
      <c r="S641" s="41">
        <f t="shared" si="247"/>
        <v>0</v>
      </c>
      <c r="T641" s="41">
        <f t="shared" si="248"/>
        <v>0</v>
      </c>
      <c r="U641" s="41">
        <f t="shared" si="249"/>
        <v>1</v>
      </c>
      <c r="V641" s="39" t="str">
        <f t="shared" si="250"/>
        <v>ok</v>
      </c>
    </row>
    <row r="642" spans="1:22" x14ac:dyDescent="0.2">
      <c r="A642" s="19" t="s">
        <v>65</v>
      </c>
      <c r="D642" s="21" t="s">
        <v>203</v>
      </c>
      <c r="F642" s="41">
        <v>1</v>
      </c>
      <c r="G642" s="41">
        <f t="shared" si="235"/>
        <v>0</v>
      </c>
      <c r="H642" s="41">
        <f t="shared" si="236"/>
        <v>0</v>
      </c>
      <c r="I642" s="41">
        <f t="shared" si="237"/>
        <v>0</v>
      </c>
      <c r="J642" s="41">
        <f t="shared" si="238"/>
        <v>0</v>
      </c>
      <c r="K642" s="41">
        <f t="shared" si="239"/>
        <v>0</v>
      </c>
      <c r="L642" s="41">
        <f t="shared" si="240"/>
        <v>0</v>
      </c>
      <c r="M642" s="41">
        <f t="shared" si="241"/>
        <v>0</v>
      </c>
      <c r="N642" s="41">
        <f t="shared" si="242"/>
        <v>2.3725977759877278E-2</v>
      </c>
      <c r="O642" s="41">
        <f t="shared" si="243"/>
        <v>0.19350753968866052</v>
      </c>
      <c r="P642" s="41">
        <f t="shared" si="244"/>
        <v>0.47560566808679078</v>
      </c>
      <c r="Q642" s="41">
        <f t="shared" si="245"/>
        <v>0.15791132981874278</v>
      </c>
      <c r="R642" s="41">
        <f t="shared" si="246"/>
        <v>0.14924948464592855</v>
      </c>
      <c r="S642" s="41">
        <f t="shared" si="247"/>
        <v>0</v>
      </c>
      <c r="T642" s="41">
        <f t="shared" si="248"/>
        <v>0</v>
      </c>
      <c r="U642" s="41">
        <f t="shared" si="249"/>
        <v>1</v>
      </c>
      <c r="V642" s="39" t="str">
        <f t="shared" si="250"/>
        <v>ok</v>
      </c>
    </row>
    <row r="643" spans="1:22" x14ac:dyDescent="0.2">
      <c r="A643" s="19" t="s">
        <v>204</v>
      </c>
      <c r="D643" s="21" t="s">
        <v>72</v>
      </c>
      <c r="F643" s="41">
        <v>1</v>
      </c>
      <c r="G643" s="41">
        <f t="shared" si="235"/>
        <v>0</v>
      </c>
      <c r="H643" s="41">
        <f t="shared" si="236"/>
        <v>0</v>
      </c>
      <c r="I643" s="41">
        <f t="shared" si="237"/>
        <v>0</v>
      </c>
      <c r="J643" s="41">
        <f t="shared" si="238"/>
        <v>0</v>
      </c>
      <c r="K643" s="41">
        <f t="shared" si="239"/>
        <v>0</v>
      </c>
      <c r="L643" s="41">
        <f t="shared" si="240"/>
        <v>0</v>
      </c>
      <c r="M643" s="41">
        <f t="shared" si="241"/>
        <v>0</v>
      </c>
      <c r="N643" s="41">
        <f t="shared" si="242"/>
        <v>0</v>
      </c>
      <c r="O643" s="41">
        <f t="shared" si="243"/>
        <v>0.28920000000000001</v>
      </c>
      <c r="P643" s="41">
        <f t="shared" si="244"/>
        <v>0.71079999999999999</v>
      </c>
      <c r="Q643" s="41">
        <f t="shared" si="245"/>
        <v>0</v>
      </c>
      <c r="R643" s="41">
        <f t="shared" si="246"/>
        <v>0</v>
      </c>
      <c r="S643" s="41">
        <f t="shared" si="247"/>
        <v>0</v>
      </c>
      <c r="T643" s="41">
        <f t="shared" si="248"/>
        <v>0</v>
      </c>
      <c r="U643" s="41">
        <f t="shared" si="249"/>
        <v>1</v>
      </c>
      <c r="V643" s="39" t="str">
        <f t="shared" si="250"/>
        <v>ok</v>
      </c>
    </row>
    <row r="644" spans="1:22" x14ac:dyDescent="0.2">
      <c r="A644" s="19" t="s">
        <v>79</v>
      </c>
      <c r="D644" s="21" t="s">
        <v>80</v>
      </c>
      <c r="F644" s="41">
        <v>1</v>
      </c>
      <c r="G644" s="41">
        <f t="shared" si="235"/>
        <v>0</v>
      </c>
      <c r="H644" s="41">
        <f t="shared" si="236"/>
        <v>0</v>
      </c>
      <c r="I644" s="41">
        <f t="shared" si="237"/>
        <v>0.12257948952141141</v>
      </c>
      <c r="J644" s="41">
        <f t="shared" si="238"/>
        <v>0</v>
      </c>
      <c r="K644" s="41">
        <f t="shared" si="239"/>
        <v>0.3149567742153721</v>
      </c>
      <c r="L644" s="41">
        <f t="shared" si="240"/>
        <v>0</v>
      </c>
      <c r="M644" s="41">
        <f t="shared" si="241"/>
        <v>0</v>
      </c>
      <c r="N644" s="41">
        <f t="shared" si="242"/>
        <v>1.3345002097318556E-2</v>
      </c>
      <c r="O644" s="41">
        <f t="shared" si="243"/>
        <v>0.10884097376838667</v>
      </c>
      <c r="P644" s="41">
        <f t="shared" si="244"/>
        <v>0.26751094106005957</v>
      </c>
      <c r="Q644" s="41">
        <f t="shared" si="245"/>
        <v>8.8819396568143139E-2</v>
      </c>
      <c r="R644" s="41">
        <f t="shared" si="246"/>
        <v>8.3947422769308555E-2</v>
      </c>
      <c r="S644" s="41">
        <f t="shared" si="247"/>
        <v>0</v>
      </c>
      <c r="T644" s="41">
        <f t="shared" si="248"/>
        <v>0</v>
      </c>
      <c r="U644" s="41">
        <f>SUM(G644:T644)</f>
        <v>0.99999999999999989</v>
      </c>
      <c r="V644" s="39" t="str">
        <f t="shared" ref="V644:V650" si="251">IF(ABS(U644-F644)&lt;1,"ok","err")</f>
        <v>ok</v>
      </c>
    </row>
    <row r="645" spans="1:22" x14ac:dyDescent="0.2">
      <c r="A645" s="19" t="s">
        <v>644</v>
      </c>
      <c r="D645" s="21" t="s">
        <v>56</v>
      </c>
      <c r="F645" s="41">
        <v>1</v>
      </c>
      <c r="G645" s="41">
        <f t="shared" si="235"/>
        <v>0</v>
      </c>
      <c r="H645" s="41">
        <f t="shared" si="236"/>
        <v>0</v>
      </c>
      <c r="I645" s="41">
        <f t="shared" si="237"/>
        <v>0.1171843897697127</v>
      </c>
      <c r="J645" s="41">
        <f t="shared" si="238"/>
        <v>0</v>
      </c>
      <c r="K645" s="41">
        <f t="shared" si="239"/>
        <v>0.28037187928773849</v>
      </c>
      <c r="L645" s="41">
        <f t="shared" si="240"/>
        <v>0</v>
      </c>
      <c r="M645" s="41">
        <f t="shared" si="241"/>
        <v>0</v>
      </c>
      <c r="N645" s="41">
        <f t="shared" si="242"/>
        <v>1.4293566561920405E-2</v>
      </c>
      <c r="O645" s="41">
        <f t="shared" si="243"/>
        <v>0.11657740417554999</v>
      </c>
      <c r="P645" s="41">
        <f t="shared" si="244"/>
        <v>0.28652565313962974</v>
      </c>
      <c r="Q645" s="41">
        <f t="shared" si="245"/>
        <v>9.5132690694102767E-2</v>
      </c>
      <c r="R645" s="41">
        <f t="shared" si="246"/>
        <v>8.9914416371345854E-2</v>
      </c>
      <c r="S645" s="41">
        <f t="shared" si="247"/>
        <v>0</v>
      </c>
      <c r="T645" s="41">
        <f t="shared" si="248"/>
        <v>0</v>
      </c>
      <c r="U645" s="41">
        <f>SUM(G645:T645)</f>
        <v>1</v>
      </c>
      <c r="V645" s="39" t="str">
        <f t="shared" si="251"/>
        <v>ok</v>
      </c>
    </row>
    <row r="646" spans="1:22" x14ac:dyDescent="0.2">
      <c r="A646" s="19" t="s">
        <v>391</v>
      </c>
      <c r="D646" s="21" t="s">
        <v>352</v>
      </c>
      <c r="F646" s="41">
        <v>1</v>
      </c>
      <c r="G646" s="41">
        <f t="shared" si="235"/>
        <v>0</v>
      </c>
      <c r="H646" s="41">
        <f t="shared" si="236"/>
        <v>0</v>
      </c>
      <c r="I646" s="41">
        <f t="shared" si="237"/>
        <v>0</v>
      </c>
      <c r="J646" s="41">
        <f t="shared" si="238"/>
        <v>0</v>
      </c>
      <c r="K646" s="41">
        <f t="shared" si="239"/>
        <v>0.68350639881490616</v>
      </c>
      <c r="L646" s="41">
        <f t="shared" si="240"/>
        <v>2.908052910706713E-2</v>
      </c>
      <c r="M646" s="41">
        <f t="shared" si="241"/>
        <v>5.1730108395357383E-2</v>
      </c>
      <c r="N646" s="41">
        <f t="shared" si="242"/>
        <v>2.4571372427586073E-3</v>
      </c>
      <c r="O646" s="41">
        <f t="shared" si="243"/>
        <v>4.1955885482806939E-2</v>
      </c>
      <c r="P646" s="41">
        <f t="shared" si="244"/>
        <v>0.10311979046050888</v>
      </c>
      <c r="Q646" s="41">
        <f t="shared" si="245"/>
        <v>3.5861625259430388E-2</v>
      </c>
      <c r="R646" s="41">
        <f t="shared" si="246"/>
        <v>5.2288525237164513E-2</v>
      </c>
      <c r="S646" s="41">
        <f t="shared" si="247"/>
        <v>0</v>
      </c>
      <c r="T646" s="41">
        <f t="shared" si="248"/>
        <v>0</v>
      </c>
      <c r="U646" s="41">
        <f>SUM(G646:T646)</f>
        <v>1</v>
      </c>
      <c r="V646" s="39" t="str">
        <f t="shared" si="251"/>
        <v>ok</v>
      </c>
    </row>
    <row r="647" spans="1:22" x14ac:dyDescent="0.2">
      <c r="A647" s="19" t="s">
        <v>392</v>
      </c>
      <c r="D647" s="21" t="s">
        <v>301</v>
      </c>
      <c r="F647" s="41">
        <v>1</v>
      </c>
      <c r="G647" s="41">
        <f t="shared" si="235"/>
        <v>0</v>
      </c>
      <c r="H647" s="41">
        <f t="shared" si="236"/>
        <v>0</v>
      </c>
      <c r="I647" s="41">
        <f t="shared" si="237"/>
        <v>0</v>
      </c>
      <c r="J647" s="41">
        <f t="shared" si="238"/>
        <v>0</v>
      </c>
      <c r="K647" s="41">
        <f t="shared" si="239"/>
        <v>0.4102153045746979</v>
      </c>
      <c r="L647" s="41">
        <f t="shared" si="240"/>
        <v>0</v>
      </c>
      <c r="M647" s="41">
        <f t="shared" si="241"/>
        <v>0</v>
      </c>
      <c r="N647" s="41">
        <f t="shared" si="242"/>
        <v>0</v>
      </c>
      <c r="O647" s="41">
        <f t="shared" si="243"/>
        <v>0.17056573391699734</v>
      </c>
      <c r="P647" s="41">
        <f t="shared" si="244"/>
        <v>0.41921896150830462</v>
      </c>
      <c r="Q647" s="41">
        <f t="shared" si="245"/>
        <v>0</v>
      </c>
      <c r="R647" s="41">
        <f t="shared" si="246"/>
        <v>0</v>
      </c>
      <c r="S647" s="41">
        <f t="shared" si="247"/>
        <v>0</v>
      </c>
      <c r="T647" s="41">
        <f t="shared" si="248"/>
        <v>0</v>
      </c>
      <c r="U647" s="41">
        <f>SUM(G647:T647)</f>
        <v>0.99999999999999989</v>
      </c>
      <c r="V647" s="39" t="str">
        <f t="shared" si="251"/>
        <v>ok</v>
      </c>
    </row>
    <row r="648" spans="1:22" x14ac:dyDescent="0.2">
      <c r="A648" s="19" t="s">
        <v>628</v>
      </c>
      <c r="C648" s="21" t="s">
        <v>630</v>
      </c>
      <c r="D648" s="19"/>
      <c r="F648" s="14">
        <f>SUM(F154:F164)</f>
        <v>60924.63</v>
      </c>
      <c r="G648" s="14">
        <f t="shared" ref="G648:T648" si="252">SUM(G154:G164)</f>
        <v>0</v>
      </c>
      <c r="H648" s="14">
        <f t="shared" si="252"/>
        <v>0</v>
      </c>
      <c r="I648" s="14">
        <f t="shared" si="252"/>
        <v>60924.63</v>
      </c>
      <c r="J648" s="14">
        <f t="shared" si="252"/>
        <v>0</v>
      </c>
      <c r="K648" s="14">
        <f t="shared" si="252"/>
        <v>0</v>
      </c>
      <c r="L648" s="14">
        <f t="shared" si="252"/>
        <v>0</v>
      </c>
      <c r="M648" s="14">
        <f t="shared" si="252"/>
        <v>0</v>
      </c>
      <c r="N648" s="14">
        <f t="shared" si="252"/>
        <v>0</v>
      </c>
      <c r="O648" s="14">
        <f t="shared" si="252"/>
        <v>0</v>
      </c>
      <c r="P648" s="14">
        <f t="shared" si="252"/>
        <v>0</v>
      </c>
      <c r="Q648" s="14">
        <f t="shared" si="252"/>
        <v>0</v>
      </c>
      <c r="R648" s="14">
        <f t="shared" si="252"/>
        <v>0</v>
      </c>
      <c r="S648" s="14">
        <f t="shared" si="252"/>
        <v>0</v>
      </c>
      <c r="T648" s="14">
        <f t="shared" si="252"/>
        <v>0</v>
      </c>
      <c r="U648" s="14">
        <f>SUM(G648:T648)</f>
        <v>60924.63</v>
      </c>
      <c r="V648" s="39" t="str">
        <f t="shared" si="251"/>
        <v>ok</v>
      </c>
    </row>
    <row r="649" spans="1:22" x14ac:dyDescent="0.2">
      <c r="A649" s="19" t="s">
        <v>631</v>
      </c>
      <c r="C649" s="21" t="s">
        <v>632</v>
      </c>
      <c r="F649" s="14">
        <f>SUM(F173:F179)</f>
        <v>19151.82</v>
      </c>
      <c r="G649" s="14">
        <f t="shared" ref="G649:T649" si="253">SUM(G173:G179)</f>
        <v>0</v>
      </c>
      <c r="H649" s="14">
        <f t="shared" si="253"/>
        <v>0</v>
      </c>
      <c r="I649" s="14">
        <f t="shared" si="253"/>
        <v>19151.82</v>
      </c>
      <c r="J649" s="14">
        <f t="shared" si="253"/>
        <v>0</v>
      </c>
      <c r="K649" s="14">
        <f t="shared" si="253"/>
        <v>0</v>
      </c>
      <c r="L649" s="14">
        <f t="shared" si="253"/>
        <v>0</v>
      </c>
      <c r="M649" s="14">
        <f t="shared" si="253"/>
        <v>0</v>
      </c>
      <c r="N649" s="14">
        <f t="shared" si="253"/>
        <v>0</v>
      </c>
      <c r="O649" s="14">
        <f t="shared" si="253"/>
        <v>0</v>
      </c>
      <c r="P649" s="14">
        <f t="shared" si="253"/>
        <v>0</v>
      </c>
      <c r="Q649" s="14">
        <f t="shared" si="253"/>
        <v>0</v>
      </c>
      <c r="R649" s="14">
        <f t="shared" si="253"/>
        <v>0</v>
      </c>
      <c r="S649" s="14">
        <f t="shared" si="253"/>
        <v>0</v>
      </c>
      <c r="T649" s="14">
        <f t="shared" si="253"/>
        <v>0</v>
      </c>
      <c r="U649" s="14">
        <f t="shared" ref="U649:U655" si="254">SUM(G649:T649)</f>
        <v>19151.82</v>
      </c>
      <c r="V649" s="39" t="str">
        <f t="shared" si="251"/>
        <v>ok</v>
      </c>
    </row>
    <row r="650" spans="1:22" x14ac:dyDescent="0.2">
      <c r="A650" s="19" t="s">
        <v>634</v>
      </c>
      <c r="C650" s="21" t="s">
        <v>635</v>
      </c>
      <c r="F650" s="14">
        <f>F17+F20</f>
        <v>130031466.24000001</v>
      </c>
      <c r="G650" s="14">
        <f t="shared" ref="G650:T650" si="255">G17+G20</f>
        <v>0</v>
      </c>
      <c r="H650" s="14">
        <f t="shared" si="255"/>
        <v>0</v>
      </c>
      <c r="I650" s="14">
        <f t="shared" si="255"/>
        <v>0</v>
      </c>
      <c r="J650" s="14">
        <f t="shared" si="255"/>
        <v>0</v>
      </c>
      <c r="K650" s="14">
        <f t="shared" si="255"/>
        <v>0</v>
      </c>
      <c r="L650" s="14">
        <f t="shared" si="255"/>
        <v>0</v>
      </c>
      <c r="M650" s="14">
        <f t="shared" si="255"/>
        <v>0</v>
      </c>
      <c r="N650" s="14">
        <f t="shared" si="255"/>
        <v>0</v>
      </c>
      <c r="O650" s="14">
        <f t="shared" si="255"/>
        <v>30424815.674040001</v>
      </c>
      <c r="P650" s="14">
        <f t="shared" si="255"/>
        <v>74778558.025959998</v>
      </c>
      <c r="Q650" s="14">
        <f t="shared" si="255"/>
        <v>24828092.539999999</v>
      </c>
      <c r="R650" s="14">
        <f t="shared" si="255"/>
        <v>0</v>
      </c>
      <c r="S650" s="14">
        <f t="shared" si="255"/>
        <v>0</v>
      </c>
      <c r="T650" s="14">
        <f t="shared" si="255"/>
        <v>0</v>
      </c>
      <c r="U650" s="14">
        <f t="shared" si="254"/>
        <v>130031466.24000001</v>
      </c>
      <c r="V650" s="39" t="str">
        <f t="shared" si="251"/>
        <v>ok</v>
      </c>
    </row>
    <row r="651" spans="1:22" x14ac:dyDescent="0.2">
      <c r="A651" s="19" t="s">
        <v>637</v>
      </c>
      <c r="C651" s="21" t="s">
        <v>636</v>
      </c>
      <c r="F651" s="54">
        <v>1</v>
      </c>
      <c r="G651" s="4">
        <v>0.5</v>
      </c>
      <c r="H651" s="4">
        <v>0.5</v>
      </c>
      <c r="U651" s="55">
        <f t="shared" si="254"/>
        <v>1</v>
      </c>
      <c r="V651" s="39" t="str">
        <f>IF(ABS(U651-F651)&lt;0.000001,"ok","err")</f>
        <v>ok</v>
      </c>
    </row>
    <row r="652" spans="1:22" x14ac:dyDescent="0.2">
      <c r="A652" s="19" t="s">
        <v>638</v>
      </c>
      <c r="C652" s="21" t="s">
        <v>640</v>
      </c>
      <c r="D652" s="19"/>
      <c r="F652" s="14">
        <f>SUM(F199:F218)</f>
        <v>1606090.5700000003</v>
      </c>
      <c r="G652" s="14">
        <f t="shared" ref="G652:T652" si="256">SUM(G199:G218)</f>
        <v>0</v>
      </c>
      <c r="H652" s="14">
        <f t="shared" si="256"/>
        <v>0</v>
      </c>
      <c r="I652" s="14">
        <f t="shared" si="256"/>
        <v>0</v>
      </c>
      <c r="J652" s="14">
        <f t="shared" si="256"/>
        <v>0</v>
      </c>
      <c r="K652" s="14">
        <f t="shared" si="256"/>
        <v>0</v>
      </c>
      <c r="L652" s="14">
        <f t="shared" si="256"/>
        <v>0</v>
      </c>
      <c r="M652" s="14">
        <f t="shared" si="256"/>
        <v>304380.46785715164</v>
      </c>
      <c r="N652" s="14">
        <f t="shared" si="256"/>
        <v>7348.8076841219918</v>
      </c>
      <c r="O652" s="14">
        <f t="shared" si="256"/>
        <v>239979.18702180573</v>
      </c>
      <c r="P652" s="14">
        <f t="shared" si="256"/>
        <v>589824.3642292514</v>
      </c>
      <c r="Q652" s="14">
        <f t="shared" si="256"/>
        <v>195834.39804157041</v>
      </c>
      <c r="R652" s="14">
        <f t="shared" si="256"/>
        <v>268723.34516609879</v>
      </c>
      <c r="S652" s="14">
        <f t="shared" si="256"/>
        <v>0</v>
      </c>
      <c r="T652" s="14">
        <f t="shared" si="256"/>
        <v>0</v>
      </c>
      <c r="U652" s="14">
        <f t="shared" si="254"/>
        <v>1606090.5699999998</v>
      </c>
      <c r="V652" s="39" t="str">
        <f>IF(ABS(U652-F652)&lt;1,"ok","err")</f>
        <v>ok</v>
      </c>
    </row>
    <row r="653" spans="1:22" x14ac:dyDescent="0.2">
      <c r="A653" s="19" t="s">
        <v>639</v>
      </c>
      <c r="C653" s="21" t="s">
        <v>641</v>
      </c>
      <c r="F653" s="14">
        <f>SUM(F239:F247)</f>
        <v>68617.647153499624</v>
      </c>
      <c r="G653" s="14">
        <f t="shared" ref="G653:T653" si="257">SUM(G239:G247)</f>
        <v>0</v>
      </c>
      <c r="H653" s="14">
        <f t="shared" si="257"/>
        <v>0</v>
      </c>
      <c r="I653" s="14">
        <f t="shared" si="257"/>
        <v>0</v>
      </c>
      <c r="J653" s="14">
        <f t="shared" si="257"/>
        <v>0</v>
      </c>
      <c r="K653" s="14">
        <f t="shared" si="257"/>
        <v>0</v>
      </c>
      <c r="L653" s="14">
        <f t="shared" si="257"/>
        <v>0</v>
      </c>
      <c r="M653" s="14">
        <f t="shared" si="257"/>
        <v>0</v>
      </c>
      <c r="N653" s="14">
        <f t="shared" si="257"/>
        <v>5735.4404332435397</v>
      </c>
      <c r="O653" s="14">
        <f t="shared" si="257"/>
        <v>5558.4680391465254</v>
      </c>
      <c r="P653" s="14">
        <f t="shared" si="257"/>
        <v>13661.684240059994</v>
      </c>
      <c r="Q653" s="14">
        <f t="shared" si="257"/>
        <v>12243.566109169105</v>
      </c>
      <c r="R653" s="14">
        <f t="shared" si="257"/>
        <v>31418.488331880457</v>
      </c>
      <c r="S653" s="14">
        <f t="shared" si="257"/>
        <v>0</v>
      </c>
      <c r="T653" s="14">
        <f t="shared" si="257"/>
        <v>0</v>
      </c>
      <c r="U653" s="14">
        <f t="shared" si="254"/>
        <v>68617.647153499624</v>
      </c>
      <c r="V653" s="39" t="str">
        <f>IF(ABS(U653-F653)&lt;1,"ok","err")</f>
        <v>ok</v>
      </c>
    </row>
    <row r="654" spans="1:22" x14ac:dyDescent="0.2">
      <c r="A654" s="19" t="s">
        <v>642</v>
      </c>
      <c r="C654" s="21" t="s">
        <v>157</v>
      </c>
      <c r="F654" s="36">
        <f t="shared" ref="F654:T654" si="258">F149+F184+F253+F263+F266+F269</f>
        <v>6495755.75</v>
      </c>
      <c r="G654" s="36">
        <f>G149+G184+G253+G263+G266+G269</f>
        <v>0</v>
      </c>
      <c r="H654" s="36">
        <f t="shared" si="258"/>
        <v>0</v>
      </c>
      <c r="I654" s="36">
        <f t="shared" si="258"/>
        <v>80076.45</v>
      </c>
      <c r="J654" s="36">
        <f t="shared" si="258"/>
        <v>0</v>
      </c>
      <c r="K654" s="36">
        <f t="shared" si="258"/>
        <v>4021758.39</v>
      </c>
      <c r="L654" s="36">
        <f t="shared" si="258"/>
        <v>171110.12</v>
      </c>
      <c r="M654" s="36">
        <f t="shared" si="258"/>
        <v>304380.46785715164</v>
      </c>
      <c r="N654" s="36">
        <f t="shared" si="258"/>
        <v>14457.819763764861</v>
      </c>
      <c r="O654" s="36">
        <f t="shared" si="258"/>
        <v>246868.84386586689</v>
      </c>
      <c r="P654" s="36">
        <f t="shared" si="258"/>
        <v>606757.86383076827</v>
      </c>
      <c r="Q654" s="36">
        <f t="shared" si="258"/>
        <v>211010.15662211346</v>
      </c>
      <c r="R654" s="36">
        <f t="shared" si="258"/>
        <v>307666.19806033483</v>
      </c>
      <c r="S654" s="36">
        <f t="shared" si="258"/>
        <v>531669.43999999994</v>
      </c>
      <c r="T654" s="36">
        <f t="shared" si="258"/>
        <v>0</v>
      </c>
      <c r="U654" s="14">
        <f t="shared" si="254"/>
        <v>6495755.75</v>
      </c>
      <c r="V654" s="39" t="str">
        <f>IF(ABS(U654-F654)&lt;1,"ok","err")</f>
        <v>ok</v>
      </c>
    </row>
    <row r="655" spans="1:22" x14ac:dyDescent="0.2">
      <c r="A655" s="19" t="s">
        <v>643</v>
      </c>
      <c r="C655" s="21" t="s">
        <v>162</v>
      </c>
      <c r="F655" s="36">
        <f t="shared" ref="F655:T655" si="259">F332+F367+F436+F446+F449+F452</f>
        <v>8134081.9126035552</v>
      </c>
      <c r="G655" s="36">
        <f t="shared" si="259"/>
        <v>0</v>
      </c>
      <c r="H655" s="36">
        <f t="shared" si="259"/>
        <v>0</v>
      </c>
      <c r="I655" s="36">
        <f t="shared" si="259"/>
        <v>144173.24543662777</v>
      </c>
      <c r="J655" s="36">
        <f t="shared" si="259"/>
        <v>204513</v>
      </c>
      <c r="K655" s="36">
        <f t="shared" si="259"/>
        <v>3672419.9326086398</v>
      </c>
      <c r="L655" s="36">
        <f t="shared" si="259"/>
        <v>38105.001376240827</v>
      </c>
      <c r="M655" s="36">
        <f t="shared" si="259"/>
        <v>394373.70244088955</v>
      </c>
      <c r="N655" s="36">
        <f t="shared" si="259"/>
        <v>56211.13950469932</v>
      </c>
      <c r="O655" s="36">
        <f t="shared" si="259"/>
        <v>343239.33111563895</v>
      </c>
      <c r="P655" s="36">
        <f t="shared" si="259"/>
        <v>843618.66029390099</v>
      </c>
      <c r="Q655" s="36">
        <f t="shared" si="259"/>
        <v>358023.57486909576</v>
      </c>
      <c r="R655" s="36">
        <f t="shared" si="259"/>
        <v>609796.17598266504</v>
      </c>
      <c r="S655" s="36">
        <f t="shared" si="259"/>
        <v>1468463.1489751581</v>
      </c>
      <c r="T655" s="36">
        <f t="shared" si="259"/>
        <v>1145</v>
      </c>
      <c r="U655" s="14">
        <f t="shared" si="254"/>
        <v>8134081.9126035562</v>
      </c>
      <c r="V655" s="39" t="str">
        <f>IF(ABS(U655-F655)&lt;1,"ok","err")</f>
        <v>ok</v>
      </c>
    </row>
  </sheetData>
  <phoneticPr fontId="0" type="noConversion"/>
  <pageMargins left="0.25" right="0.2" top="1.62" bottom="0.59" header="0.5" footer="0.18"/>
  <pageSetup scale="60" pageOrder="overThenDown" orientation="landscape" horizontalDpi="4294967292" verticalDpi="300" r:id="rId1"/>
  <headerFooter alignWithMargins="0">
    <oddHeader>&amp;C&amp;"Arial,Bold"&amp;12DELTA NATURAL GAS COMPANY
Cost of Service Study
12 Months Ended December 31, 2022
Functional Assignment and Classification</oddHeader>
    <oddFooter>&amp;R&amp;"Arial,Bold"Exhibit WSS-2
Page &amp;P of &amp;N</oddFooter>
  </headerFooter>
  <rowBreaks count="14" manualBreakCount="14">
    <brk id="50" max="16383" man="1"/>
    <brk id="93" max="16383" man="1"/>
    <brk id="137" max="16383" man="1"/>
    <brk id="189" max="16383" man="1"/>
    <brk id="232" max="16383" man="1"/>
    <brk id="277" max="16383" man="1"/>
    <brk id="320" max="16383" man="1"/>
    <brk id="372" max="16383" man="1"/>
    <brk id="415" max="16383" man="1"/>
    <brk id="460" max="16383" man="1"/>
    <brk id="503" max="16383" man="1"/>
    <brk id="551" max="16383" man="1"/>
    <brk id="591" max="16383" man="1"/>
    <brk id="6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583"/>
  <sheetViews>
    <sheetView view="pageBreakPreview" topLeftCell="A2" zoomScale="140" zoomScaleSheetLayoutView="140" workbookViewId="0">
      <pane xSplit="1" ySplit="1" topLeftCell="I3" activePane="bottomRight" state="frozen"/>
      <selection activeCell="A2" sqref="A2"/>
      <selection pane="topRight" activeCell="B2" sqref="B2"/>
      <selection pane="bottomLeft" activeCell="A4" sqref="A4"/>
      <selection pane="bottomRight" activeCell="M422" sqref="M422:S422"/>
    </sheetView>
  </sheetViews>
  <sheetFormatPr defaultRowHeight="12.75" x14ac:dyDescent="0.2"/>
  <cols>
    <col min="1" max="1" width="42.140625" style="19" customWidth="1"/>
    <col min="2" max="2" width="6" style="19" customWidth="1"/>
    <col min="3" max="3" width="9.140625" style="19"/>
    <col min="4" max="5" width="13" style="19" customWidth="1"/>
    <col min="6" max="6" width="16.85546875" style="19" customWidth="1"/>
    <col min="7" max="7" width="16.7109375" style="19" customWidth="1"/>
    <col min="8" max="8" width="16.85546875" style="19" customWidth="1"/>
    <col min="9" max="9" width="15.140625" style="19" customWidth="1"/>
    <col min="10" max="10" width="16.85546875" style="19" customWidth="1"/>
    <col min="11" max="11" width="14.85546875" style="19" customWidth="1"/>
    <col min="12" max="12" width="15.28515625" style="19" customWidth="1"/>
    <col min="13" max="13" width="16.5703125" style="19" customWidth="1"/>
    <col min="14" max="19" width="16.5703125" style="19" hidden="1" customWidth="1"/>
    <col min="20" max="20" width="16.7109375" style="19" customWidth="1"/>
    <col min="21" max="21" width="9.140625" style="19"/>
    <col min="22" max="22" width="3.7109375" style="19" customWidth="1"/>
    <col min="23" max="23" width="14.28515625" style="19" customWidth="1"/>
    <col min="24" max="16384" width="9.140625" style="19"/>
  </cols>
  <sheetData>
    <row r="1" spans="1:21" s="17" customFormat="1" x14ac:dyDescent="0.2">
      <c r="A1" s="73"/>
      <c r="B1" s="73"/>
      <c r="C1" s="73"/>
      <c r="D1" s="73"/>
      <c r="E1" s="73"/>
    </row>
    <row r="2" spans="1:21" s="75" customFormat="1" ht="26.25" thickBot="1" x14ac:dyDescent="0.25">
      <c r="A2" s="76" t="s">
        <v>18</v>
      </c>
      <c r="B2" s="76"/>
      <c r="C2" s="76" t="s">
        <v>232</v>
      </c>
      <c r="D2" s="77" t="s">
        <v>16</v>
      </c>
      <c r="E2" s="78" t="s">
        <v>748</v>
      </c>
      <c r="F2" s="77" t="s">
        <v>747</v>
      </c>
      <c r="G2" s="78" t="s">
        <v>303</v>
      </c>
      <c r="H2" s="78" t="s">
        <v>811</v>
      </c>
      <c r="I2" s="78" t="s">
        <v>750</v>
      </c>
      <c r="J2" s="78" t="s">
        <v>751</v>
      </c>
      <c r="K2" s="78" t="s">
        <v>710</v>
      </c>
      <c r="L2" s="78" t="s">
        <v>753</v>
      </c>
      <c r="M2" s="78" t="s">
        <v>752</v>
      </c>
      <c r="N2" s="78" t="s">
        <v>246</v>
      </c>
      <c r="O2" s="78" t="s">
        <v>246</v>
      </c>
      <c r="P2" s="78" t="s">
        <v>246</v>
      </c>
      <c r="Q2" s="78" t="s">
        <v>246</v>
      </c>
      <c r="R2" s="78" t="s">
        <v>246</v>
      </c>
      <c r="S2" s="78" t="s">
        <v>246</v>
      </c>
      <c r="T2" s="77" t="s">
        <v>206</v>
      </c>
      <c r="U2" s="76" t="s">
        <v>20</v>
      </c>
    </row>
    <row r="4" spans="1:21" s="80" customFormat="1" x14ac:dyDescent="0.2">
      <c r="A4" s="79" t="s">
        <v>15</v>
      </c>
    </row>
    <row r="6" spans="1:21" s="82" customFormat="1" x14ac:dyDescent="0.2">
      <c r="A6" s="81" t="s">
        <v>737</v>
      </c>
    </row>
    <row r="7" spans="1:21" s="28" customFormat="1" x14ac:dyDescent="0.2">
      <c r="A7" s="83" t="s">
        <v>207</v>
      </c>
      <c r="B7" s="82"/>
      <c r="C7" s="82" t="s">
        <v>63</v>
      </c>
      <c r="D7" s="82" t="s">
        <v>233</v>
      </c>
      <c r="E7" s="82" t="s">
        <v>312</v>
      </c>
      <c r="F7" s="84">
        <f>VLOOKUP(C7,'S5-Functional Assignment'!$C$1:$AP$743,5,)</f>
        <v>0</v>
      </c>
      <c r="G7" s="84">
        <f>(VLOOKUP($E7,$D$4:$AH$583,4,)/VLOOKUP($E7,$D$4:$AH$583,3,))*$F7</f>
        <v>0</v>
      </c>
      <c r="H7" s="84">
        <f>(VLOOKUP($E7,$D$4:$AH$583,5,)/VLOOKUP($E7,$D$4:$AH$583,3,))*$F7</f>
        <v>0</v>
      </c>
      <c r="I7" s="84">
        <f>(VLOOKUP($E7,$D$4:$AH$583,6,)/VLOOKUP($E7,$D$4:$AH$583,3,))*$F7</f>
        <v>0</v>
      </c>
      <c r="J7" s="84">
        <f>(VLOOKUP($E7,$D$4:$AH$583,7,)/VLOOKUP($E7,$D$4:$AH$583,3,))*$F7</f>
        <v>0</v>
      </c>
      <c r="K7" s="84">
        <f>(VLOOKUP($E7,$D$4:$AH$583,8,)/VLOOKUP($E7,$D$4:$AH$583,3,))*$F7</f>
        <v>0</v>
      </c>
      <c r="L7" s="84">
        <f>(VLOOKUP($E7,$D$4:$AH$583,9,)/VLOOKUP($E7,$D$4:$AH$583,3,))*$F7</f>
        <v>0</v>
      </c>
      <c r="M7" s="84">
        <f>(VLOOKUP($E7,$D$4:$AH$583,10,)/VLOOKUP($E7,$D$4:$AH$583,3,))*$F7</f>
        <v>0</v>
      </c>
      <c r="N7" s="84">
        <f>(VLOOKUP($E7,$D$4:$AH$583,11,)/VLOOKUP($E7,$D$4:$AH$583,3,))*$F7</f>
        <v>0</v>
      </c>
      <c r="O7" s="84">
        <f>(VLOOKUP($E7,$D$4:$AH$583,12,)/VLOOKUP($E7,$D$4:$AH$583,3,))*$F7</f>
        <v>0</v>
      </c>
      <c r="P7" s="84">
        <f>(VLOOKUP($E7,$D$4:$AH$583,13,)/VLOOKUP($E7,$D$4:$AH$583,3,))*$F7</f>
        <v>0</v>
      </c>
      <c r="Q7" s="84">
        <f>(VLOOKUP($E7,$D$4:$AH$583,14,)/VLOOKUP($E7,$D$4:$AH$583,3,))*$F7</f>
        <v>0</v>
      </c>
      <c r="R7" s="84">
        <f>(VLOOKUP($E7,$D$4:$AH$583,15,)/VLOOKUP($E7,$D$4:$AH$583,3,))*$F7</f>
        <v>0</v>
      </c>
      <c r="S7" s="84">
        <f>(VLOOKUP($E7,$D$4:$AH$583,16,)/VLOOKUP($E7,$D$4:$AH$583,3,))*$F7</f>
        <v>0</v>
      </c>
      <c r="T7" s="35">
        <f>SUM(G7:S7)</f>
        <v>0</v>
      </c>
      <c r="U7" s="85" t="str">
        <f>IF(ABS(F7-T7)&lt;0.01,"ok","err")</f>
        <v>ok</v>
      </c>
    </row>
    <row r="8" spans="1:21" s="28" customFormat="1" x14ac:dyDescent="0.2">
      <c r="A8" s="86" t="s">
        <v>228</v>
      </c>
      <c r="C8" s="28" t="s">
        <v>63</v>
      </c>
      <c r="D8" s="28" t="s">
        <v>234</v>
      </c>
      <c r="E8" s="28" t="s">
        <v>313</v>
      </c>
      <c r="F8" s="25">
        <f>VLOOKUP(C8,'S5-Functional Assignment'!$C$1:$AP$743,6,)</f>
        <v>0</v>
      </c>
      <c r="G8" s="84">
        <f>(VLOOKUP($E8,$D$4:$AH$583,4,)/VLOOKUP($E8,$D$4:$AH$583,3,))*$F8</f>
        <v>0</v>
      </c>
      <c r="H8" s="84">
        <f>(VLOOKUP($E8,$D$4:$AH$583,5,)/VLOOKUP($E8,$D$4:$AH$583,3,))*$F8</f>
        <v>0</v>
      </c>
      <c r="I8" s="84">
        <f>(VLOOKUP($E8,$D$4:$AH$583,6,)/VLOOKUP($E8,$D$4:$AH$583,3,))*$F8</f>
        <v>0</v>
      </c>
      <c r="J8" s="84">
        <f>(VLOOKUP($E8,$D$4:$AH$583,7,)/VLOOKUP($E8,$D$4:$AH$583,3,))*$F8</f>
        <v>0</v>
      </c>
      <c r="K8" s="84">
        <f>(VLOOKUP($E8,$D$4:$AH$583,8,)/VLOOKUP($E8,$D$4:$AH$583,3,))*$F8</f>
        <v>0</v>
      </c>
      <c r="L8" s="84">
        <f>(VLOOKUP($E8,$D$4:$AH$583,9,)/VLOOKUP($E8,$D$4:$AH$583,3,))*$F8</f>
        <v>0</v>
      </c>
      <c r="M8" s="84">
        <f>(VLOOKUP($E8,$D$4:$AH$583,10,)/VLOOKUP($E8,$D$4:$AH$583,3,))*$F8</f>
        <v>0</v>
      </c>
      <c r="N8" s="84">
        <f>(VLOOKUP($E8,$D$4:$AH$583,11,)/VLOOKUP($E8,$D$4:$AH$583,3,))*$F8</f>
        <v>0</v>
      </c>
      <c r="O8" s="84">
        <f>(VLOOKUP($E8,$D$4:$AH$583,12,)/VLOOKUP($E8,$D$4:$AH$583,3,))*$F8</f>
        <v>0</v>
      </c>
      <c r="P8" s="84">
        <f>(VLOOKUP($E8,$D$4:$AH$583,13,)/VLOOKUP($E8,$D$4:$AH$583,3,))*$F8</f>
        <v>0</v>
      </c>
      <c r="Q8" s="84">
        <f>(VLOOKUP($E8,$D$4:$AH$583,14,)/VLOOKUP($E8,$D$4:$AH$583,3,))*$F8</f>
        <v>0</v>
      </c>
      <c r="R8" s="84">
        <f>(VLOOKUP($E8,$D$4:$AH$583,15,)/VLOOKUP($E8,$D$4:$AH$583,3,))*$F8</f>
        <v>0</v>
      </c>
      <c r="S8" s="84">
        <f>(VLOOKUP($E8,$D$4:$AH$583,16,)/VLOOKUP($E8,$D$4:$AH$583,3,))*$F8</f>
        <v>0</v>
      </c>
      <c r="T8" s="25">
        <f>SUM(G8:S8)</f>
        <v>0</v>
      </c>
      <c r="U8" s="85" t="str">
        <f>IF(ABS(F8-T8)&lt;0.01,"ok","err")</f>
        <v>ok</v>
      </c>
    </row>
    <row r="9" spans="1:21" s="28" customFormat="1" x14ac:dyDescent="0.2">
      <c r="A9" s="28" t="s">
        <v>664</v>
      </c>
      <c r="F9" s="84">
        <f t="shared" ref="F9:S9" si="0">F7+F8</f>
        <v>0</v>
      </c>
      <c r="G9" s="84">
        <f t="shared" si="0"/>
        <v>0</v>
      </c>
      <c r="H9" s="84">
        <f t="shared" si="0"/>
        <v>0</v>
      </c>
      <c r="I9" s="84">
        <f t="shared" si="0"/>
        <v>0</v>
      </c>
      <c r="J9" s="84">
        <f t="shared" si="0"/>
        <v>0</v>
      </c>
      <c r="K9" s="84">
        <f t="shared" si="0"/>
        <v>0</v>
      </c>
      <c r="L9" s="84">
        <f t="shared" si="0"/>
        <v>0</v>
      </c>
      <c r="M9" s="84">
        <f t="shared" si="0"/>
        <v>0</v>
      </c>
      <c r="N9" s="84">
        <f t="shared" si="0"/>
        <v>0</v>
      </c>
      <c r="O9" s="84">
        <f t="shared" si="0"/>
        <v>0</v>
      </c>
      <c r="P9" s="84">
        <f t="shared" si="0"/>
        <v>0</v>
      </c>
      <c r="Q9" s="84">
        <f t="shared" si="0"/>
        <v>0</v>
      </c>
      <c r="R9" s="84">
        <f t="shared" si="0"/>
        <v>0</v>
      </c>
      <c r="S9" s="84">
        <f t="shared" si="0"/>
        <v>0</v>
      </c>
      <c r="T9" s="35">
        <f>SUM(G9:S9)</f>
        <v>0</v>
      </c>
      <c r="U9" s="85" t="str">
        <f>IF(ABS(F9-T9)&lt;0.01,"ok","err")</f>
        <v>ok</v>
      </c>
    </row>
    <row r="10" spans="1:21" s="28" customFormat="1" x14ac:dyDescent="0.2">
      <c r="F10" s="25"/>
      <c r="G10" s="25"/>
    </row>
    <row r="11" spans="1:21" s="28" customFormat="1" x14ac:dyDescent="0.2">
      <c r="A11" s="74" t="s">
        <v>2</v>
      </c>
      <c r="B11" s="75"/>
      <c r="C11" s="75"/>
      <c r="D11" s="75"/>
      <c r="E11" s="75"/>
      <c r="F11" s="25"/>
      <c r="G11" s="25"/>
    </row>
    <row r="12" spans="1:21" s="28" customFormat="1" x14ac:dyDescent="0.2">
      <c r="A12" s="86" t="s">
        <v>207</v>
      </c>
      <c r="C12" s="28" t="s">
        <v>63</v>
      </c>
      <c r="D12" s="28" t="s">
        <v>235</v>
      </c>
      <c r="E12" s="28" t="s">
        <v>314</v>
      </c>
      <c r="F12" s="84">
        <f>VLOOKUP(C12,'S5-Functional Assignment'!$C$1:$AP$743,7,)</f>
        <v>38537356.249545813</v>
      </c>
      <c r="G12" s="84">
        <f>(VLOOKUP($E12,$D$4:$AH$583,4,)/VLOOKUP($E12,$D$4:$AH$583,3,))*$F12</f>
        <v>16370125.119328611</v>
      </c>
      <c r="H12" s="84">
        <f>(VLOOKUP($E12,$D$4:$AH$583,5,)/VLOOKUP($E12,$D$4:$AH$583,3,))*$F12</f>
        <v>0</v>
      </c>
      <c r="I12" s="84">
        <f>(VLOOKUP($E12,$D$4:$AH$583,6,)/VLOOKUP($E12,$D$4:$AH$583,3,))*$F12</f>
        <v>5713152.918242122</v>
      </c>
      <c r="J12" s="84">
        <f>(VLOOKUP($E12,$D$4:$AH$583,7,)/VLOOKUP($E12,$D$4:$AH$583,3,))*$F12</f>
        <v>16454078.211975079</v>
      </c>
      <c r="K12" s="84">
        <f>(VLOOKUP($E12,$D$4:$AH$583,8,)/VLOOKUP($E12,$D$4:$AH$583,3,))*$F12</f>
        <v>0</v>
      </c>
      <c r="L12" s="84">
        <f>(VLOOKUP($E12,$D$4:$AH$583,9,)/VLOOKUP($E12,$D$4:$AH$583,3,))*$F12</f>
        <v>0</v>
      </c>
      <c r="M12" s="84">
        <f>(VLOOKUP($E12,$D$4:$AH$583,10,)/VLOOKUP($E12,$D$4:$AH$583,3,))*$F12</f>
        <v>0</v>
      </c>
      <c r="N12" s="84">
        <f>(VLOOKUP($E12,$D$4:$AH$583,11,)/VLOOKUP($E12,$D$4:$AH$583,3,))*$F12</f>
        <v>0</v>
      </c>
      <c r="O12" s="84">
        <f>(VLOOKUP($E12,$D$4:$AH$583,12,)/VLOOKUP($E12,$D$4:$AH$583,3,))*$F12</f>
        <v>0</v>
      </c>
      <c r="P12" s="84">
        <f>(VLOOKUP($E12,$D$4:$AH$583,13,)/VLOOKUP($E12,$D$4:$AH$583,3,))*$F12</f>
        <v>0</v>
      </c>
      <c r="Q12" s="84">
        <f>(VLOOKUP($E12,$D$4:$AH$583,14,)/VLOOKUP($E12,$D$4:$AH$583,3,))*$F12</f>
        <v>0</v>
      </c>
      <c r="R12" s="84">
        <f>(VLOOKUP($E12,$D$4:$AH$583,15,)/VLOOKUP($E12,$D$4:$AH$583,3,))*$F12</f>
        <v>0</v>
      </c>
      <c r="S12" s="84">
        <f>(VLOOKUP($E12,$D$4:$AH$583,16,)/VLOOKUP($E12,$D$4:$AH$583,3,))*$F12</f>
        <v>0</v>
      </c>
      <c r="T12" s="35">
        <f>SUM(G12:S12)</f>
        <v>38537356.249545813</v>
      </c>
      <c r="U12" s="85" t="str">
        <f>IF(ABS(F12-T12)&lt;0.01,"ok","err")</f>
        <v>ok</v>
      </c>
    </row>
    <row r="13" spans="1:21" s="28" customFormat="1" x14ac:dyDescent="0.2">
      <c r="A13" s="28" t="s">
        <v>228</v>
      </c>
      <c r="C13" s="28" t="s">
        <v>63</v>
      </c>
      <c r="D13" s="28" t="s">
        <v>236</v>
      </c>
      <c r="E13" s="28" t="s">
        <v>315</v>
      </c>
      <c r="F13" s="25">
        <f>VLOOKUP(C13,'S5-Functional Assignment'!$C$1:$AP$743,8,)</f>
        <v>0</v>
      </c>
      <c r="G13" s="84">
        <f>(VLOOKUP($E13,$D$4:$AH$583,4,)/VLOOKUP($E13,$D$4:$AH$583,3,))*$F13</f>
        <v>0</v>
      </c>
      <c r="H13" s="84">
        <f>(VLOOKUP($E13,$D$4:$AH$583,5,)/VLOOKUP($E13,$D$4:$AH$583,3,))*$F13</f>
        <v>0</v>
      </c>
      <c r="I13" s="84">
        <f>(VLOOKUP($E13,$D$4:$AH$583,6,)/VLOOKUP($E13,$D$4:$AH$583,3,))*$F13</f>
        <v>0</v>
      </c>
      <c r="J13" s="84">
        <f>(VLOOKUP($E13,$D$4:$AH$583,7,)/VLOOKUP($E13,$D$4:$AH$583,3,))*$F13</f>
        <v>0</v>
      </c>
      <c r="K13" s="84">
        <f>(VLOOKUP($E13,$D$4:$AH$583,8,)/VLOOKUP($E13,$D$4:$AH$583,3,))*$F13</f>
        <v>0</v>
      </c>
      <c r="L13" s="84">
        <f>(VLOOKUP($E13,$D$4:$AH$583,9,)/VLOOKUP($E13,$D$4:$AH$583,3,))*$F13</f>
        <v>0</v>
      </c>
      <c r="M13" s="84">
        <f>(VLOOKUP($E13,$D$4:$AH$583,10,)/VLOOKUP($E13,$D$4:$AH$583,3,))*$F13</f>
        <v>0</v>
      </c>
      <c r="N13" s="84">
        <f>(VLOOKUP($E13,$D$4:$AH$583,11,)/VLOOKUP($E13,$D$4:$AH$583,3,))*$F13</f>
        <v>0</v>
      </c>
      <c r="O13" s="84">
        <f>(VLOOKUP($E13,$D$4:$AH$583,12,)/VLOOKUP($E13,$D$4:$AH$583,3,))*$F13</f>
        <v>0</v>
      </c>
      <c r="P13" s="84">
        <f>(VLOOKUP($E13,$D$4:$AH$583,13,)/VLOOKUP($E13,$D$4:$AH$583,3,))*$F13</f>
        <v>0</v>
      </c>
      <c r="Q13" s="84">
        <f>(VLOOKUP($E13,$D$4:$AH$583,14,)/VLOOKUP($E13,$D$4:$AH$583,3,))*$F13</f>
        <v>0</v>
      </c>
      <c r="R13" s="84">
        <f>(VLOOKUP($E13,$D$4:$AH$583,15,)/VLOOKUP($E13,$D$4:$AH$583,3,))*$F13</f>
        <v>0</v>
      </c>
      <c r="S13" s="84">
        <f>(VLOOKUP($E13,$D$4:$AH$583,16,)/VLOOKUP($E13,$D$4:$AH$583,3,))*$F13</f>
        <v>0</v>
      </c>
      <c r="T13" s="25">
        <f>SUM(G13:S13)</f>
        <v>0</v>
      </c>
      <c r="U13" s="85" t="str">
        <f>IF(ABS(F13-T13)&lt;0.01,"ok","err")</f>
        <v>ok</v>
      </c>
    </row>
    <row r="14" spans="1:21" s="28" customFormat="1" x14ac:dyDescent="0.2">
      <c r="A14" s="28" t="s">
        <v>229</v>
      </c>
      <c r="F14" s="84">
        <f>SUM(F12:F13)</f>
        <v>38537356.249545813</v>
      </c>
      <c r="G14" s="84">
        <f t="shared" ref="G14:S14" si="1">G12+G13</f>
        <v>16370125.119328611</v>
      </c>
      <c r="H14" s="84">
        <f t="shared" si="1"/>
        <v>0</v>
      </c>
      <c r="I14" s="84">
        <f t="shared" si="1"/>
        <v>5713152.918242122</v>
      </c>
      <c r="J14" s="84">
        <f t="shared" si="1"/>
        <v>16454078.211975079</v>
      </c>
      <c r="K14" s="84">
        <f t="shared" si="1"/>
        <v>0</v>
      </c>
      <c r="L14" s="84">
        <f t="shared" si="1"/>
        <v>0</v>
      </c>
      <c r="M14" s="84">
        <f t="shared" si="1"/>
        <v>0</v>
      </c>
      <c r="N14" s="84">
        <f t="shared" si="1"/>
        <v>0</v>
      </c>
      <c r="O14" s="84">
        <f t="shared" si="1"/>
        <v>0</v>
      </c>
      <c r="P14" s="84">
        <f t="shared" si="1"/>
        <v>0</v>
      </c>
      <c r="Q14" s="84">
        <f t="shared" si="1"/>
        <v>0</v>
      </c>
      <c r="R14" s="84">
        <f t="shared" si="1"/>
        <v>0</v>
      </c>
      <c r="S14" s="84">
        <f t="shared" si="1"/>
        <v>0</v>
      </c>
      <c r="T14" s="35">
        <f>SUM(G14:S14)</f>
        <v>38537356.249545813</v>
      </c>
      <c r="U14" s="85" t="str">
        <f>IF(ABS(F14-T14)&lt;0.01,"ok","err")</f>
        <v>ok</v>
      </c>
    </row>
    <row r="15" spans="1:21" s="28" customFormat="1" x14ac:dyDescent="0.2">
      <c r="F15" s="25"/>
      <c r="G15" s="25"/>
    </row>
    <row r="16" spans="1:21" s="28" customFormat="1" x14ac:dyDescent="0.2">
      <c r="A16" s="81" t="s">
        <v>3</v>
      </c>
      <c r="B16" s="82"/>
      <c r="C16" s="82"/>
      <c r="D16" s="82"/>
      <c r="E16" s="82"/>
      <c r="F16" s="25"/>
      <c r="G16" s="25"/>
    </row>
    <row r="17" spans="1:21" s="28" customFormat="1" x14ac:dyDescent="0.2">
      <c r="A17" s="86" t="s">
        <v>207</v>
      </c>
      <c r="C17" s="28" t="s">
        <v>63</v>
      </c>
      <c r="D17" s="28" t="s">
        <v>237</v>
      </c>
      <c r="E17" s="28" t="s">
        <v>729</v>
      </c>
      <c r="F17" s="84">
        <f>VLOOKUP(C17,'S5-Functional Assignment'!$C$1:$AP$743,9,)</f>
        <v>82135228.611048251</v>
      </c>
      <c r="G17" s="84">
        <f>(VLOOKUP($E17,$D$4:$AH$583,4,)/VLOOKUP($E17,$D$4:$AH$583,3,))*$F17</f>
        <v>22272658.9435644</v>
      </c>
      <c r="H17" s="84">
        <f>(VLOOKUP($E17,$D$4:$AH$583,5,)/VLOOKUP($E17,$D$4:$AH$583,3,))*$F17</f>
        <v>0</v>
      </c>
      <c r="I17" s="84">
        <f>(VLOOKUP($E17,$D$4:$AH$583,6,)/VLOOKUP($E17,$D$4:$AH$583,3,))*$F17</f>
        <v>7738805.2261537323</v>
      </c>
      <c r="J17" s="84">
        <f>(VLOOKUP($E17,$D$4:$AH$583,7,)/VLOOKUP($E17,$D$4:$AH$583,3,))*$F17</f>
        <v>21092214.011661738</v>
      </c>
      <c r="K17" s="84">
        <f>(VLOOKUP($E17,$D$4:$AH$583,8,)/VLOOKUP($E17,$D$4:$AH$583,3,))*$F17</f>
        <v>1683971.607212306</v>
      </c>
      <c r="L17" s="84">
        <f>(VLOOKUP($E17,$D$4:$AH$583,9,)/VLOOKUP($E17,$D$4:$AH$583,3,))*$F17</f>
        <v>6280965.8003276922</v>
      </c>
      <c r="M17" s="84">
        <f>(VLOOKUP($E17,$D$4:$AH$583,10,)/VLOOKUP($E17,$D$4:$AH$583,3,))*$F17</f>
        <v>23066613.02212837</v>
      </c>
      <c r="N17" s="84">
        <f>(VLOOKUP($E17,$D$4:$AH$583,11,)/VLOOKUP($E17,$D$4:$AH$583,3,))*$F17</f>
        <v>0</v>
      </c>
      <c r="O17" s="84">
        <f>(VLOOKUP($E17,$D$4:$AH$583,12,)/VLOOKUP($E17,$D$4:$AH$583,3,))*$F17</f>
        <v>0</v>
      </c>
      <c r="P17" s="84">
        <f>(VLOOKUP($E17,$D$4:$AH$583,13,)/VLOOKUP($E17,$D$4:$AH$583,3,))*$F17</f>
        <v>0</v>
      </c>
      <c r="Q17" s="84">
        <f>(VLOOKUP($E17,$D$4:$AH$583,14,)/VLOOKUP($E17,$D$4:$AH$583,3,))*$F17</f>
        <v>0</v>
      </c>
      <c r="R17" s="84">
        <f>(VLOOKUP($E17,$D$4:$AH$583,15,)/VLOOKUP($E17,$D$4:$AH$583,3,))*$F17</f>
        <v>0</v>
      </c>
      <c r="S17" s="84">
        <f>(VLOOKUP($E17,$D$4:$AH$583,16,)/VLOOKUP($E17,$D$4:$AH$583,3,))*$F17</f>
        <v>0</v>
      </c>
      <c r="T17" s="35">
        <f>SUM(G17:S17)</f>
        <v>82135228.611048236</v>
      </c>
      <c r="U17" s="85" t="str">
        <f>IF(ABS(F17-T17)&lt;0.01,"ok","err")</f>
        <v>ok</v>
      </c>
    </row>
    <row r="18" spans="1:21" s="28" customFormat="1" x14ac:dyDescent="0.2">
      <c r="A18" s="28" t="s">
        <v>228</v>
      </c>
      <c r="C18" s="28" t="s">
        <v>63</v>
      </c>
      <c r="D18" s="28" t="s">
        <v>238</v>
      </c>
      <c r="E18" s="28" t="s">
        <v>317</v>
      </c>
      <c r="F18" s="25">
        <f>VLOOKUP(C18,'S5-Functional Assignment'!$C$1:$AP$743,10,)</f>
        <v>0</v>
      </c>
      <c r="G18" s="84">
        <f>(VLOOKUP($E18,$D$4:$AH$583,4,)/VLOOKUP($E18,$D$4:$AH$583,3,))*$F18</f>
        <v>0</v>
      </c>
      <c r="H18" s="84">
        <f>(VLOOKUP($E18,$D$4:$AH$583,5,)/VLOOKUP($E18,$D$4:$AH$583,3,))*$F18</f>
        <v>0</v>
      </c>
      <c r="I18" s="84">
        <f>(VLOOKUP($E18,$D$4:$AH$583,6,)/VLOOKUP($E18,$D$4:$AH$583,3,))*$F18</f>
        <v>0</v>
      </c>
      <c r="J18" s="84">
        <f>(VLOOKUP($E18,$D$4:$AH$583,7,)/VLOOKUP($E18,$D$4:$AH$583,3,))*$F18</f>
        <v>0</v>
      </c>
      <c r="K18" s="84">
        <f>(VLOOKUP($E18,$D$4:$AH$583,8,)/VLOOKUP($E18,$D$4:$AH$583,3,))*$F18</f>
        <v>0</v>
      </c>
      <c r="L18" s="84">
        <f>(VLOOKUP($E18,$D$4:$AH$583,9,)/VLOOKUP($E18,$D$4:$AH$583,3,))*$F18</f>
        <v>0</v>
      </c>
      <c r="M18" s="84">
        <f>(VLOOKUP($E18,$D$4:$AH$583,10,)/VLOOKUP($E18,$D$4:$AH$583,3,))*$F18</f>
        <v>0</v>
      </c>
      <c r="N18" s="84">
        <f>(VLOOKUP($E18,$D$4:$AH$583,11,)/VLOOKUP($E18,$D$4:$AH$583,3,))*$F18</f>
        <v>0</v>
      </c>
      <c r="O18" s="84">
        <f>(VLOOKUP($E18,$D$4:$AH$583,12,)/VLOOKUP($E18,$D$4:$AH$583,3,))*$F18</f>
        <v>0</v>
      </c>
      <c r="P18" s="84">
        <f>(VLOOKUP($E18,$D$4:$AH$583,13,)/VLOOKUP($E18,$D$4:$AH$583,3,))*$F18</f>
        <v>0</v>
      </c>
      <c r="Q18" s="84">
        <f>(VLOOKUP($E18,$D$4:$AH$583,14,)/VLOOKUP($E18,$D$4:$AH$583,3,))*$F18</f>
        <v>0</v>
      </c>
      <c r="R18" s="84">
        <f>(VLOOKUP($E18,$D$4:$AH$583,15,)/VLOOKUP($E18,$D$4:$AH$583,3,))*$F18</f>
        <v>0</v>
      </c>
      <c r="S18" s="84">
        <f>(VLOOKUP($E18,$D$4:$AH$583,16,)/VLOOKUP($E18,$D$4:$AH$583,3,))*$F18</f>
        <v>0</v>
      </c>
      <c r="T18" s="25">
        <f>SUM(G18:S18)</f>
        <v>0</v>
      </c>
      <c r="U18" s="85" t="str">
        <f>IF(ABS(F18-T18)&lt;0.01,"ok","err")</f>
        <v>ok</v>
      </c>
    </row>
    <row r="19" spans="1:21" s="28" customFormat="1" x14ac:dyDescent="0.2">
      <c r="A19" s="28" t="s">
        <v>230</v>
      </c>
      <c r="F19" s="84">
        <f>SUM(F17:F18)</f>
        <v>82135228.611048251</v>
      </c>
      <c r="G19" s="84">
        <f t="shared" ref="G19:S19" si="2">G17+G18</f>
        <v>22272658.9435644</v>
      </c>
      <c r="H19" s="84">
        <f t="shared" si="2"/>
        <v>0</v>
      </c>
      <c r="I19" s="84">
        <f t="shared" si="2"/>
        <v>7738805.2261537323</v>
      </c>
      <c r="J19" s="84">
        <f t="shared" si="2"/>
        <v>21092214.011661738</v>
      </c>
      <c r="K19" s="84">
        <f t="shared" si="2"/>
        <v>1683971.607212306</v>
      </c>
      <c r="L19" s="84">
        <f t="shared" si="2"/>
        <v>6280965.8003276922</v>
      </c>
      <c r="M19" s="84">
        <f t="shared" si="2"/>
        <v>23066613.02212837</v>
      </c>
      <c r="N19" s="84">
        <f t="shared" si="2"/>
        <v>0</v>
      </c>
      <c r="O19" s="84">
        <f t="shared" si="2"/>
        <v>0</v>
      </c>
      <c r="P19" s="84">
        <f t="shared" si="2"/>
        <v>0</v>
      </c>
      <c r="Q19" s="84">
        <f t="shared" si="2"/>
        <v>0</v>
      </c>
      <c r="R19" s="84">
        <f t="shared" si="2"/>
        <v>0</v>
      </c>
      <c r="S19" s="84">
        <f t="shared" si="2"/>
        <v>0</v>
      </c>
      <c r="T19" s="35">
        <f>SUM(G19:S19)</f>
        <v>82135228.611048236</v>
      </c>
      <c r="U19" s="85" t="str">
        <f>IF(ABS(F19-T19)&lt;0.01,"ok","err")</f>
        <v>ok</v>
      </c>
    </row>
    <row r="20" spans="1:21" s="28" customFormat="1" x14ac:dyDescent="0.2">
      <c r="F20" s="25"/>
    </row>
    <row r="21" spans="1:21" s="28" customFormat="1" x14ac:dyDescent="0.2">
      <c r="A21" s="1" t="s">
        <v>5</v>
      </c>
      <c r="B21" s="19"/>
      <c r="C21" s="19"/>
      <c r="D21" s="19"/>
      <c r="E21" s="19"/>
      <c r="F21" s="25"/>
    </row>
    <row r="22" spans="1:21" s="28" customFormat="1" x14ac:dyDescent="0.2">
      <c r="A22" s="9" t="s">
        <v>228</v>
      </c>
      <c r="B22" s="19"/>
      <c r="C22" s="19" t="s">
        <v>63</v>
      </c>
      <c r="D22" s="19" t="s">
        <v>239</v>
      </c>
      <c r="E22" s="19" t="s">
        <v>318</v>
      </c>
      <c r="F22" s="84">
        <f>VLOOKUP(C22,'S5-Functional Assignment'!$C$1:$AP$743,11,)</f>
        <v>0</v>
      </c>
      <c r="G22" s="84">
        <f>(VLOOKUP($E22,$D$4:$AH$583,4,)/VLOOKUP($E22,$D$4:$AH$583,3,))*$F22</f>
        <v>0</v>
      </c>
      <c r="H22" s="84">
        <f>(VLOOKUP($E22,$D$4:$AH$583,5,)/VLOOKUP($E22,$D$4:$AH$583,3,))*$F22</f>
        <v>0</v>
      </c>
      <c r="I22" s="84">
        <f>(VLOOKUP($E22,$D$4:$AH$583,6,)/VLOOKUP($E22,$D$4:$AH$583,3,))*$F22</f>
        <v>0</v>
      </c>
      <c r="J22" s="84">
        <f>(VLOOKUP($E22,$D$4:$AH$583,7,)/VLOOKUP($E22,$D$4:$AH$583,3,))*$F22</f>
        <v>0</v>
      </c>
      <c r="K22" s="84">
        <f>(VLOOKUP($E22,$D$4:$AH$583,8,)/VLOOKUP($E22,$D$4:$AH$583,3,))*$F22</f>
        <v>0</v>
      </c>
      <c r="L22" s="84">
        <f>(VLOOKUP($E22,$D$4:$AH$583,9,)/VLOOKUP($E22,$D$4:$AH$583,3,))*$F22</f>
        <v>0</v>
      </c>
      <c r="M22" s="84">
        <f>(VLOOKUP($E22,$D$4:$AH$583,10,)/VLOOKUP($E22,$D$4:$AH$583,3,))*$F22</f>
        <v>0</v>
      </c>
      <c r="N22" s="84">
        <f>(VLOOKUP($E22,$D$4:$AH$583,11,)/VLOOKUP($E22,$D$4:$AH$583,3,))*$F22</f>
        <v>0</v>
      </c>
      <c r="O22" s="84">
        <f>(VLOOKUP($E22,$D$4:$AH$583,12,)/VLOOKUP($E22,$D$4:$AH$583,3,))*$F22</f>
        <v>0</v>
      </c>
      <c r="P22" s="84">
        <f>(VLOOKUP($E22,$D$4:$AH$583,13,)/VLOOKUP($E22,$D$4:$AH$583,3,))*$F22</f>
        <v>0</v>
      </c>
      <c r="Q22" s="84">
        <f>(VLOOKUP($E22,$D$4:$AH$583,14,)/VLOOKUP($E22,$D$4:$AH$583,3,))*$F22</f>
        <v>0</v>
      </c>
      <c r="R22" s="84">
        <f>(VLOOKUP($E22,$D$4:$AH$583,15,)/VLOOKUP($E22,$D$4:$AH$583,3,))*$F22</f>
        <v>0</v>
      </c>
      <c r="S22" s="84">
        <f>(VLOOKUP($E22,$D$4:$AH$583,16,)/VLOOKUP($E22,$D$4:$AH$583,3,))*$F22</f>
        <v>0</v>
      </c>
      <c r="T22" s="35">
        <f>SUM(G22:S22)</f>
        <v>0</v>
      </c>
      <c r="U22" s="85" t="str">
        <f>IF(ABS(F22-T22)&lt;0.01,"ok","err")</f>
        <v>ok</v>
      </c>
    </row>
    <row r="23" spans="1:21" s="28" customFormat="1" x14ac:dyDescent="0.2">
      <c r="A23" s="86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85"/>
    </row>
    <row r="24" spans="1:21" s="28" customFormat="1" x14ac:dyDescent="0.2">
      <c r="A24" s="1" t="s">
        <v>6</v>
      </c>
      <c r="B24" s="19"/>
      <c r="C24" s="19"/>
      <c r="D24" s="19"/>
      <c r="E24" s="19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85"/>
    </row>
    <row r="25" spans="1:21" s="28" customFormat="1" x14ac:dyDescent="0.2">
      <c r="A25" s="86" t="s">
        <v>207</v>
      </c>
      <c r="C25" s="28" t="s">
        <v>63</v>
      </c>
      <c r="D25" s="28" t="s">
        <v>240</v>
      </c>
      <c r="E25" s="28" t="s">
        <v>319</v>
      </c>
      <c r="F25" s="84">
        <f>VLOOKUP(C25,'S5-Functional Assignment'!$C$1:$AP$743,12,)</f>
        <v>4187314.9340548371</v>
      </c>
      <c r="G25" s="84">
        <f>(VLOOKUP($E25,$D$4:$AH$583,4,)/VLOOKUP($E25,$D$4:$AH$583,3,))*$F25</f>
        <v>1758054.8010781708</v>
      </c>
      <c r="H25" s="84">
        <f>(VLOOKUP($E25,$D$4:$AH$583,5,)/VLOOKUP($E25,$D$4:$AH$583,3,))*$F25</f>
        <v>0</v>
      </c>
      <c r="I25" s="84">
        <f>(VLOOKUP($E25,$D$4:$AH$583,6,)/VLOOKUP($E25,$D$4:$AH$583,3,))*$F25</f>
        <v>610849.54952716094</v>
      </c>
      <c r="J25" s="84">
        <f>(VLOOKUP($E25,$D$4:$AH$583,7,)/VLOOKUP($E25,$D$4:$AH$583,3,))*$F25</f>
        <v>1664878.3695978371</v>
      </c>
      <c r="K25" s="84">
        <f>(VLOOKUP($E25,$D$4:$AH$583,8,)/VLOOKUP($E25,$D$4:$AH$583,3,))*$F25</f>
        <v>132921.46108106899</v>
      </c>
      <c r="L25" s="84">
        <f>(VLOOKUP($E25,$D$4:$AH$583,9,)/VLOOKUP($E25,$D$4:$AH$583,3,))*$F25</f>
        <v>20610.774367713577</v>
      </c>
      <c r="M25" s="84">
        <f>(VLOOKUP($E25,$D$4:$AH$583,10,)/VLOOKUP($E25,$D$4:$AH$583,3,))*$F25</f>
        <v>0</v>
      </c>
      <c r="N25" s="202">
        <f>(VLOOKUP($E25,$D$4:$AH$583,11,)/VLOOKUP($E25,$D$4:$AH$583,3,))*$F25</f>
        <v>0</v>
      </c>
      <c r="O25" s="202">
        <f>(VLOOKUP($E25,$D$4:$AH$583,12,)/VLOOKUP($E25,$D$4:$AH$583,3,))*$F25</f>
        <v>0</v>
      </c>
      <c r="P25" s="202">
        <f>(VLOOKUP($E25,$D$4:$AH$583,13,)/VLOOKUP($E25,$D$4:$AH$583,3,))*$F25</f>
        <v>0</v>
      </c>
      <c r="Q25" s="202">
        <f>(VLOOKUP($E25,$D$4:$AH$583,14,)/VLOOKUP($E25,$D$4:$AH$583,3,))*$F25</f>
        <v>0</v>
      </c>
      <c r="R25" s="202">
        <f>(VLOOKUP($E25,$D$4:$AH$583,15,)/VLOOKUP($E25,$D$4:$AH$583,3,))*$F25</f>
        <v>0</v>
      </c>
      <c r="S25" s="202">
        <f>(VLOOKUP($E25,$D$4:$AH$583,16,)/VLOOKUP($E25,$D$4:$AH$583,3,))*$F25</f>
        <v>0</v>
      </c>
      <c r="T25" s="35">
        <f>SUM(G25:S25)</f>
        <v>4187314.955651951</v>
      </c>
      <c r="U25" s="85" t="str">
        <f>IF(ABS(F25-T25)&lt;0.1,"ok","err")</f>
        <v>ok</v>
      </c>
    </row>
    <row r="26" spans="1:21" s="28" customFormat="1" x14ac:dyDescent="0.2">
      <c r="F26" s="25"/>
    </row>
    <row r="27" spans="1:21" s="28" customFormat="1" x14ac:dyDescent="0.2">
      <c r="F27" s="25"/>
    </row>
    <row r="28" spans="1:21" s="28" customFormat="1" x14ac:dyDescent="0.2">
      <c r="A28" s="79" t="s">
        <v>68</v>
      </c>
      <c r="B28" s="80"/>
      <c r="C28" s="80"/>
      <c r="D28" s="80"/>
      <c r="E28" s="80"/>
      <c r="F28" s="25"/>
    </row>
    <row r="29" spans="1:21" s="28" customFormat="1" x14ac:dyDescent="0.2">
      <c r="F29" s="25"/>
    </row>
    <row r="30" spans="1:21" s="28" customFormat="1" x14ac:dyDescent="0.2">
      <c r="A30" s="81" t="s">
        <v>7</v>
      </c>
      <c r="B30" s="82"/>
      <c r="C30" s="82"/>
      <c r="D30" s="82"/>
      <c r="E30" s="82"/>
      <c r="F30" s="25"/>
    </row>
    <row r="31" spans="1:21" s="28" customFormat="1" x14ac:dyDescent="0.2">
      <c r="A31" s="86" t="s">
        <v>207</v>
      </c>
      <c r="C31" s="28" t="s">
        <v>63</v>
      </c>
      <c r="D31" s="28" t="s">
        <v>241</v>
      </c>
      <c r="E31" s="28" t="s">
        <v>320</v>
      </c>
      <c r="F31" s="84">
        <f>VLOOKUP(C31,'S5-Functional Assignment'!$C$1:$AP$743,13,)</f>
        <v>34151469.709323727</v>
      </c>
      <c r="G31" s="84">
        <f>(VLOOKUP($E31,$D$4:$AH$583,4,)/VLOOKUP($E31,$D$4:$AH$583,3,))*$F31</f>
        <v>15016808.376289504</v>
      </c>
      <c r="H31" s="84">
        <f>(VLOOKUP($E31,$D$4:$AH$583,5,)/VLOOKUP($E31,$D$4:$AH$583,3,))*$F31</f>
        <v>0</v>
      </c>
      <c r="I31" s="84">
        <f>(VLOOKUP($E31,$D$4:$AH$583,6,)/VLOOKUP($E31,$D$4:$AH$583,3,))*$F31</f>
        <v>5187293.13767388</v>
      </c>
      <c r="J31" s="84">
        <f>(VLOOKUP($E31,$D$4:$AH$583,7,)/VLOOKUP($E31,$D$4:$AH$583,3,))*$F31</f>
        <v>12631869.304788658</v>
      </c>
      <c r="K31" s="84">
        <f>(VLOOKUP($E31,$D$4:$AH$583,8,)/VLOOKUP($E31,$D$4:$AH$583,3,))*$F31</f>
        <v>1138901.2781008231</v>
      </c>
      <c r="L31" s="84">
        <f>(VLOOKUP($E31,$D$4:$AH$583,9,)/VLOOKUP($E31,$D$4:$AH$583,3,))*$F31</f>
        <v>176597.79751984568</v>
      </c>
      <c r="M31" s="84">
        <f>(VLOOKUP($E31,$D$4:$AH$583,10,)/VLOOKUP($E31,$D$4:$AH$583,3,))*$F31</f>
        <v>0</v>
      </c>
      <c r="N31" s="84">
        <f>(VLOOKUP($E31,$D$4:$AH$583,11,)/VLOOKUP($E31,$D$4:$AH$583,3,))*$F31</f>
        <v>0</v>
      </c>
      <c r="O31" s="84">
        <f>(VLOOKUP($E31,$D$4:$AH$583,12,)/VLOOKUP($E31,$D$4:$AH$583,3,))*$F31</f>
        <v>0</v>
      </c>
      <c r="P31" s="84">
        <f>(VLOOKUP($E31,$D$4:$AH$583,13,)/VLOOKUP($E31,$D$4:$AH$583,3,))*$F31</f>
        <v>0</v>
      </c>
      <c r="Q31" s="84">
        <f>(VLOOKUP($E31,$D$4:$AH$583,14,)/VLOOKUP($E31,$D$4:$AH$583,3,))*$F31</f>
        <v>0</v>
      </c>
      <c r="R31" s="84">
        <f>(VLOOKUP($E31,$D$4:$AH$583,15,)/VLOOKUP($E31,$D$4:$AH$583,3,))*$F31</f>
        <v>0</v>
      </c>
      <c r="S31" s="84">
        <f>(VLOOKUP($E31,$D$4:$AH$583,16,)/VLOOKUP($E31,$D$4:$AH$583,3,))*$F31</f>
        <v>0</v>
      </c>
      <c r="T31" s="35">
        <f>SUM(G31:S31)</f>
        <v>34151469.894372717</v>
      </c>
      <c r="U31" s="85" t="str">
        <f>IF(ABS(F31-T31)&lt;0.4,"ok","err")</f>
        <v>ok</v>
      </c>
    </row>
    <row r="32" spans="1:21" s="28" customFormat="1" x14ac:dyDescent="0.2">
      <c r="A32" s="86" t="s">
        <v>208</v>
      </c>
      <c r="C32" s="28" t="s">
        <v>63</v>
      </c>
      <c r="D32" s="28" t="s">
        <v>242</v>
      </c>
      <c r="E32" s="28" t="s">
        <v>321</v>
      </c>
      <c r="F32" s="25">
        <f>VLOOKUP(C32,'S5-Functional Assignment'!$C$1:$AP$743,14,)</f>
        <v>83937982.950855136</v>
      </c>
      <c r="G32" s="84">
        <f>(VLOOKUP($E32,$D$4:$AH$583,4,)/VLOOKUP($E32,$D$4:$AH$583,3,))*$F32</f>
        <v>71390493.117844671</v>
      </c>
      <c r="H32" s="84">
        <f>(VLOOKUP($E32,$D$4:$AH$583,5,)/VLOOKUP($E32,$D$4:$AH$583,3,))*$F32</f>
        <v>0</v>
      </c>
      <c r="I32" s="84">
        <f>(VLOOKUP($E32,$D$4:$AH$583,6,)/VLOOKUP($E32,$D$4:$AH$583,3,))*$F32</f>
        <v>10049513.895639786</v>
      </c>
      <c r="J32" s="84">
        <f>(VLOOKUP($E32,$D$4:$AH$583,7,)/VLOOKUP($E32,$D$4:$AH$583,3,))*$F32</f>
        <v>2336667.5281308745</v>
      </c>
      <c r="K32" s="84">
        <f>(VLOOKUP($E32,$D$4:$AH$583,8,)/VLOOKUP($E32,$D$4:$AH$583,3,))*$F32</f>
        <v>154395.19170095521</v>
      </c>
      <c r="L32" s="84">
        <f>(VLOOKUP($E32,$D$4:$AH$583,9,)/VLOOKUP($E32,$D$4:$AH$583,3,))*$F32</f>
        <v>6913.2175388487412</v>
      </c>
      <c r="M32" s="84">
        <f>(VLOOKUP($E32,$D$4:$AH$583,10,)/VLOOKUP($E32,$D$4:$AH$583,3,))*$F32</f>
        <v>0</v>
      </c>
      <c r="N32" s="84">
        <f>(VLOOKUP($E32,$D$4:$AH$583,11,)/VLOOKUP($E32,$D$4:$AH$583,3,))*$F32</f>
        <v>0</v>
      </c>
      <c r="O32" s="84">
        <f>(VLOOKUP($E32,$D$4:$AH$583,12,)/VLOOKUP($E32,$D$4:$AH$583,3,))*$F32</f>
        <v>0</v>
      </c>
      <c r="P32" s="84">
        <f>(VLOOKUP($E32,$D$4:$AH$583,13,)/VLOOKUP($E32,$D$4:$AH$583,3,))*$F32</f>
        <v>0</v>
      </c>
      <c r="Q32" s="84">
        <f>(VLOOKUP($E32,$D$4:$AH$583,14,)/VLOOKUP($E32,$D$4:$AH$583,3,))*$F32</f>
        <v>0</v>
      </c>
      <c r="R32" s="84">
        <f>(VLOOKUP($E32,$D$4:$AH$583,15,)/VLOOKUP($E32,$D$4:$AH$583,3,))*$F32</f>
        <v>0</v>
      </c>
      <c r="S32" s="84">
        <f>(VLOOKUP($E32,$D$4:$AH$583,16,)/VLOOKUP($E32,$D$4:$AH$583,3,))*$F32</f>
        <v>0</v>
      </c>
      <c r="T32" s="25">
        <f>SUM(G32:S32)</f>
        <v>83937982.950855136</v>
      </c>
      <c r="U32" s="85" t="str">
        <f>IF(ABS(F32-T32)&lt;0.01,"ok","err")</f>
        <v>ok</v>
      </c>
    </row>
    <row r="33" spans="1:21" s="28" customFormat="1" x14ac:dyDescent="0.2">
      <c r="A33" s="28" t="s">
        <v>231</v>
      </c>
      <c r="F33" s="25">
        <f>SUM(F31:F32)</f>
        <v>118089452.66017887</v>
      </c>
      <c r="G33" s="84">
        <f t="shared" ref="G33:S33" si="3">G31+G32</f>
        <v>86407301.494134173</v>
      </c>
      <c r="H33" s="84">
        <f t="shared" si="3"/>
        <v>0</v>
      </c>
      <c r="I33" s="84">
        <f t="shared" si="3"/>
        <v>15236807.033313666</v>
      </c>
      <c r="J33" s="84">
        <f t="shared" si="3"/>
        <v>14968536.832919532</v>
      </c>
      <c r="K33" s="84">
        <f t="shared" si="3"/>
        <v>1293296.4698017782</v>
      </c>
      <c r="L33" s="84">
        <f t="shared" si="3"/>
        <v>183511.01505869444</v>
      </c>
      <c r="M33" s="84">
        <f t="shared" si="3"/>
        <v>0</v>
      </c>
      <c r="N33" s="84">
        <f t="shared" si="3"/>
        <v>0</v>
      </c>
      <c r="O33" s="84">
        <f t="shared" si="3"/>
        <v>0</v>
      </c>
      <c r="P33" s="84">
        <f t="shared" si="3"/>
        <v>0</v>
      </c>
      <c r="Q33" s="84">
        <f t="shared" si="3"/>
        <v>0</v>
      </c>
      <c r="R33" s="84">
        <f t="shared" si="3"/>
        <v>0</v>
      </c>
      <c r="S33" s="84">
        <f t="shared" si="3"/>
        <v>0</v>
      </c>
      <c r="T33" s="35">
        <f>SUM(G33:S33)</f>
        <v>118089452.84522785</v>
      </c>
      <c r="U33" s="85" t="str">
        <f>IF(ABS(F33-T33)&lt;0.4,"ok","err")</f>
        <v>ok</v>
      </c>
    </row>
    <row r="34" spans="1:21" s="28" customFormat="1" x14ac:dyDescent="0.2">
      <c r="F34" s="25"/>
    </row>
    <row r="35" spans="1:21" s="28" customFormat="1" x14ac:dyDescent="0.2">
      <c r="A35" s="81" t="s">
        <v>9</v>
      </c>
      <c r="B35" s="82"/>
      <c r="C35" s="82"/>
      <c r="D35" s="82"/>
      <c r="E35" s="82"/>
      <c r="F35" s="25"/>
    </row>
    <row r="36" spans="1:21" s="28" customFormat="1" x14ac:dyDescent="0.2">
      <c r="A36" s="86" t="s">
        <v>208</v>
      </c>
      <c r="C36" s="28" t="s">
        <v>63</v>
      </c>
      <c r="D36" s="28" t="s">
        <v>236</v>
      </c>
      <c r="E36" s="28" t="s">
        <v>322</v>
      </c>
      <c r="F36" s="84">
        <f>VLOOKUP(C36,'S5-Functional Assignment'!$C$1:$AP$743,15,)</f>
        <v>27869218.975863222</v>
      </c>
      <c r="G36" s="84">
        <f>(VLOOKUP($E36,$D$4:$AH$583,4,)/VLOOKUP($E36,$D$4:$AH$583,3,))*$F36</f>
        <v>22815341.65004342</v>
      </c>
      <c r="H36" s="84">
        <f>(VLOOKUP($E36,$D$4:$AH$583,5,)/VLOOKUP($E36,$D$4:$AH$583,3,))*$F36</f>
        <v>0</v>
      </c>
      <c r="I36" s="84">
        <f>(VLOOKUP($E36,$D$4:$AH$583,6,)/VLOOKUP($E36,$D$4:$AH$583,3,))*$F36</f>
        <v>2992564.7816170929</v>
      </c>
      <c r="J36" s="84">
        <f>(VLOOKUP($E36,$D$4:$AH$583,7,)/VLOOKUP($E36,$D$4:$AH$583,3,))*$F36</f>
        <v>1928201.9546645416</v>
      </c>
      <c r="K36" s="84">
        <f>(VLOOKUP($E36,$D$4:$AH$583,8,)/VLOOKUP($E36,$D$4:$AH$583,3,))*$F36</f>
        <v>127405.84907546773</v>
      </c>
      <c r="L36" s="84">
        <f>(VLOOKUP($E36,$D$4:$AH$583,9,)/VLOOKUP($E36,$D$4:$AH$583,3,))*$F36</f>
        <v>5704.7395108418405</v>
      </c>
      <c r="M36" s="84">
        <f>(VLOOKUP($E36,$D$4:$AH$583,10,)/VLOOKUP($E36,$D$4:$AH$583,3,))*$F36</f>
        <v>0</v>
      </c>
      <c r="N36" s="84">
        <f>(VLOOKUP($E36,$D$4:$AH$583,11,)/VLOOKUP($E36,$D$4:$AH$583,3,))*$F36</f>
        <v>0</v>
      </c>
      <c r="O36" s="84">
        <f>(VLOOKUP($E36,$D$4:$AH$583,12,)/VLOOKUP($E36,$D$4:$AH$583,3,))*$F36</f>
        <v>0</v>
      </c>
      <c r="P36" s="84">
        <f>(VLOOKUP($E36,$D$4:$AH$583,13,)/VLOOKUP($E36,$D$4:$AH$583,3,))*$F36</f>
        <v>0</v>
      </c>
      <c r="Q36" s="84">
        <f>(VLOOKUP($E36,$D$4:$AH$583,14,)/VLOOKUP($E36,$D$4:$AH$583,3,))*$F36</f>
        <v>0</v>
      </c>
      <c r="R36" s="84">
        <f>(VLOOKUP($E36,$D$4:$AH$583,15,)/VLOOKUP($E36,$D$4:$AH$583,3,))*$F36</f>
        <v>0</v>
      </c>
      <c r="S36" s="84">
        <f>(VLOOKUP($E36,$D$4:$AH$583,16,)/VLOOKUP($E36,$D$4:$AH$583,3,))*$F36</f>
        <v>0</v>
      </c>
      <c r="T36" s="84">
        <f>SUM(G36:S36)</f>
        <v>27869218.974911366</v>
      </c>
      <c r="U36" s="85" t="str">
        <f>IF(ABS(F36-T36)&lt;0.01,"ok","err")</f>
        <v>ok</v>
      </c>
    </row>
    <row r="37" spans="1:21" s="28" customFormat="1" x14ac:dyDescent="0.2">
      <c r="F37" s="25"/>
    </row>
    <row r="38" spans="1:21" s="28" customFormat="1" x14ac:dyDescent="0.2">
      <c r="A38" s="81" t="s">
        <v>10</v>
      </c>
      <c r="B38" s="82"/>
      <c r="C38" s="82"/>
      <c r="D38" s="82"/>
      <c r="E38" s="82"/>
      <c r="F38" s="25"/>
    </row>
    <row r="39" spans="1:21" s="28" customFormat="1" x14ac:dyDescent="0.2">
      <c r="A39" s="86" t="s">
        <v>208</v>
      </c>
      <c r="C39" s="28" t="s">
        <v>63</v>
      </c>
      <c r="D39" s="28" t="s">
        <v>243</v>
      </c>
      <c r="E39" s="28" t="s">
        <v>323</v>
      </c>
      <c r="F39" s="84">
        <f>VLOOKUP(C39,'S5-Functional Assignment'!$C$1:$AP$743,16,)</f>
        <v>26340520.179309033</v>
      </c>
      <c r="G39" s="84">
        <f>(VLOOKUP($E39,$D$4:$AH$583,4,)/VLOOKUP($E39,$D$4:$AH$583,3,))*$F39</f>
        <v>16246119.441560181</v>
      </c>
      <c r="H39" s="84">
        <f>(VLOOKUP($E39,$D$4:$AH$583,5,)/VLOOKUP($E39,$D$4:$AH$583,3,))*$F39</f>
        <v>1733688.5369205279</v>
      </c>
      <c r="I39" s="84">
        <f>(VLOOKUP($E39,$D$4:$AH$583,6,)/VLOOKUP($E39,$D$4:$AH$583,3,))*$F39</f>
        <v>3675110.0430222973</v>
      </c>
      <c r="J39" s="84">
        <f>(VLOOKUP($E39,$D$4:$AH$583,7,)/VLOOKUP($E39,$D$4:$AH$583,3,))*$F39</f>
        <v>3882782.0370300952</v>
      </c>
      <c r="K39" s="84">
        <f>(VLOOKUP($E39,$D$4:$AH$583,8,)/VLOOKUP($E39,$D$4:$AH$583,3,))*$F39</f>
        <v>748817.18036187894</v>
      </c>
      <c r="L39" s="84">
        <f>(VLOOKUP($E39,$D$4:$AH$583,9,)/VLOOKUP($E39,$D$4:$AH$583,3,))*$F39</f>
        <v>54002.944563930687</v>
      </c>
      <c r="M39" s="84">
        <f>(VLOOKUP($E39,$D$4:$AH$583,10,)/VLOOKUP($E39,$D$4:$AH$583,3,))*$F39</f>
        <v>0</v>
      </c>
      <c r="N39" s="84">
        <f>(VLOOKUP($E39,$D$4:$AH$583,11,)/VLOOKUP($E39,$D$4:$AH$583,3,))*$F39</f>
        <v>0</v>
      </c>
      <c r="O39" s="84">
        <f>(VLOOKUP($E39,$D$4:$AH$583,12,)/VLOOKUP($E39,$D$4:$AH$583,3,))*$F39</f>
        <v>0</v>
      </c>
      <c r="P39" s="84">
        <f>(VLOOKUP($E39,$D$4:$AH$583,13,)/VLOOKUP($E39,$D$4:$AH$583,3,))*$F39</f>
        <v>0</v>
      </c>
      <c r="Q39" s="84">
        <f>(VLOOKUP($E39,$D$4:$AH$583,14,)/VLOOKUP($E39,$D$4:$AH$583,3,))*$F39</f>
        <v>0</v>
      </c>
      <c r="R39" s="84">
        <f>(VLOOKUP($E39,$D$4:$AH$583,15,)/VLOOKUP($E39,$D$4:$AH$583,3,))*$F39</f>
        <v>0</v>
      </c>
      <c r="S39" s="84">
        <f>(VLOOKUP($E39,$D$4:$AH$583,16,)/VLOOKUP($E39,$D$4:$AH$583,3,))*$F39</f>
        <v>0</v>
      </c>
      <c r="T39" s="35">
        <f>SUM(G39:S39)</f>
        <v>26340520.183458909</v>
      </c>
      <c r="U39" s="85" t="str">
        <f>IF(ABS(F39-T39)&lt;0.01,"ok","err")</f>
        <v>ok</v>
      </c>
    </row>
    <row r="40" spans="1:21" s="28" customFormat="1" x14ac:dyDescent="0.2">
      <c r="F40" s="25"/>
    </row>
    <row r="41" spans="1:21" s="28" customFormat="1" x14ac:dyDescent="0.2">
      <c r="A41" s="81" t="s">
        <v>11</v>
      </c>
      <c r="B41" s="82"/>
      <c r="C41" s="82"/>
      <c r="D41" s="82"/>
      <c r="E41" s="82"/>
      <c r="F41" s="25"/>
    </row>
    <row r="42" spans="1:21" s="28" customFormat="1" x14ac:dyDescent="0.2">
      <c r="A42" s="86" t="s">
        <v>208</v>
      </c>
      <c r="C42" s="28" t="s">
        <v>63</v>
      </c>
      <c r="D42" s="28" t="s">
        <v>244</v>
      </c>
      <c r="E42" s="28" t="s">
        <v>324</v>
      </c>
      <c r="F42" s="84">
        <f>VLOOKUP(C42,'S5-Functional Assignment'!$C$1:$AP$743,17,)</f>
        <v>0</v>
      </c>
      <c r="G42" s="84">
        <f>(VLOOKUP($E42,$D$4:$AH$583,4,)/VLOOKUP($E42,$D$4:$AH$583,3,))*$F42</f>
        <v>0</v>
      </c>
      <c r="H42" s="84">
        <f>(VLOOKUP($E42,$D$4:$AH$583,5,)/VLOOKUP($E42,$D$4:$AH$583,3,))*$F42</f>
        <v>0</v>
      </c>
      <c r="I42" s="84">
        <f>(VLOOKUP($E42,$D$4:$AH$583,6,)/VLOOKUP($E42,$D$4:$AH$583,3,))*$F42</f>
        <v>0</v>
      </c>
      <c r="J42" s="84">
        <f>(VLOOKUP($E42,$D$4:$AH$583,7,)/VLOOKUP($E42,$D$4:$AH$583,3,))*$F42</f>
        <v>0</v>
      </c>
      <c r="K42" s="84">
        <f>(VLOOKUP($E42,$D$4:$AH$583,8,)/VLOOKUP($E42,$D$4:$AH$583,3,))*$F42</f>
        <v>0</v>
      </c>
      <c r="L42" s="84">
        <f>(VLOOKUP($E42,$D$4:$AH$583,9,)/VLOOKUP($E42,$D$4:$AH$583,3,))*$F42</f>
        <v>0</v>
      </c>
      <c r="M42" s="84">
        <f>(VLOOKUP($E42,$D$4:$AH$583,10,)/VLOOKUP($E42,$D$4:$AH$583,3,))*$F42</f>
        <v>0</v>
      </c>
      <c r="N42" s="84">
        <f>(VLOOKUP($E42,$D$4:$AH$583,11,)/VLOOKUP($E42,$D$4:$AH$583,3,))*$F42</f>
        <v>0</v>
      </c>
      <c r="O42" s="84">
        <f>(VLOOKUP($E42,$D$4:$AH$583,12,)/VLOOKUP($E42,$D$4:$AH$583,3,))*$F42</f>
        <v>0</v>
      </c>
      <c r="P42" s="84">
        <f>(VLOOKUP($E42,$D$4:$AH$583,13,)/VLOOKUP($E42,$D$4:$AH$583,3,))*$F42</f>
        <v>0</v>
      </c>
      <c r="Q42" s="84">
        <f>(VLOOKUP($E42,$D$4:$AH$583,14,)/VLOOKUP($E42,$D$4:$AH$583,3,))*$F42</f>
        <v>0</v>
      </c>
      <c r="R42" s="84">
        <f>(VLOOKUP($E42,$D$4:$AH$583,15,)/VLOOKUP($E42,$D$4:$AH$583,3,))*$F42</f>
        <v>0</v>
      </c>
      <c r="S42" s="84">
        <f>(VLOOKUP($E42,$D$4:$AH$583,16,)/VLOOKUP($E42,$D$4:$AH$583,3,))*$F42</f>
        <v>0</v>
      </c>
      <c r="T42" s="35">
        <f>SUM(G42:S42)</f>
        <v>0</v>
      </c>
      <c r="U42" s="85" t="str">
        <f>IF(ABS(F42-T42)&lt;0.01,"ok","err")</f>
        <v>ok</v>
      </c>
    </row>
    <row r="43" spans="1:21" s="28" customFormat="1" x14ac:dyDescent="0.2">
      <c r="F43" s="25"/>
    </row>
    <row r="44" spans="1:21" s="28" customFormat="1" x14ac:dyDescent="0.2">
      <c r="A44" s="81" t="s">
        <v>12</v>
      </c>
      <c r="B44" s="82"/>
      <c r="C44" s="82"/>
      <c r="D44" s="82"/>
      <c r="E44" s="82"/>
      <c r="F44" s="25"/>
    </row>
    <row r="45" spans="1:21" s="28" customFormat="1" x14ac:dyDescent="0.2">
      <c r="A45" s="86" t="s">
        <v>208</v>
      </c>
      <c r="C45" s="28" t="s">
        <v>63</v>
      </c>
      <c r="D45" s="28" t="s">
        <v>245</v>
      </c>
      <c r="E45" s="28" t="s">
        <v>325</v>
      </c>
      <c r="F45" s="84">
        <f>VLOOKUP(C45,'S5-Functional Assignment'!$C$1:$AP$743,18,)</f>
        <v>0</v>
      </c>
      <c r="G45" s="84">
        <f>(VLOOKUP($E45,$D$4:$AH$583,4,)/VLOOKUP($E45,$D$4:$AH$583,3,))*$F45</f>
        <v>0</v>
      </c>
      <c r="H45" s="84">
        <f>(VLOOKUP($E45,$D$4:$AH$583,5,)/VLOOKUP($E45,$D$4:$AH$583,3,))*$F45</f>
        <v>0</v>
      </c>
      <c r="I45" s="84">
        <f>(VLOOKUP($E45,$D$4:$AH$583,6,)/VLOOKUP($E45,$D$4:$AH$583,3,))*$F45</f>
        <v>0</v>
      </c>
      <c r="J45" s="84">
        <f>(VLOOKUP($E45,$D$4:$AH$583,7,)/VLOOKUP($E45,$D$4:$AH$583,3,))*$F45</f>
        <v>0</v>
      </c>
      <c r="K45" s="84">
        <f>(VLOOKUP($E45,$D$4:$AH$583,8,)/VLOOKUP($E45,$D$4:$AH$583,3,))*$F45</f>
        <v>0</v>
      </c>
      <c r="L45" s="84">
        <f>(VLOOKUP($E45,$D$4:$AH$583,9,)/VLOOKUP($E45,$D$4:$AH$583,3,))*$F45</f>
        <v>0</v>
      </c>
      <c r="M45" s="84">
        <f>(VLOOKUP($E45,$D$4:$AH$583,10,)/VLOOKUP($E45,$D$4:$AH$583,3,))*$F45</f>
        <v>0</v>
      </c>
      <c r="N45" s="84">
        <f>(VLOOKUP($E45,$D$4:$AH$583,11,)/VLOOKUP($E45,$D$4:$AH$583,3,))*$F45</f>
        <v>0</v>
      </c>
      <c r="O45" s="84">
        <f>(VLOOKUP($E45,$D$4:$AH$583,12,)/VLOOKUP($E45,$D$4:$AH$583,3,))*$F45</f>
        <v>0</v>
      </c>
      <c r="P45" s="84">
        <f>(VLOOKUP($E45,$D$4:$AH$583,13,)/VLOOKUP($E45,$D$4:$AH$583,3,))*$F45</f>
        <v>0</v>
      </c>
      <c r="Q45" s="84">
        <f>(VLOOKUP($E45,$D$4:$AH$583,14,)/VLOOKUP($E45,$D$4:$AH$583,3,))*$F45</f>
        <v>0</v>
      </c>
      <c r="R45" s="84">
        <f>(VLOOKUP($E45,$D$4:$AH$583,15,)/VLOOKUP($E45,$D$4:$AH$583,3,))*$F45</f>
        <v>0</v>
      </c>
      <c r="S45" s="84">
        <f>(VLOOKUP($E45,$D$4:$AH$583,16,)/VLOOKUP($E45,$D$4:$AH$583,3,))*$F45</f>
        <v>0</v>
      </c>
      <c r="T45" s="35">
        <f>SUM(G45:S45)</f>
        <v>0</v>
      </c>
      <c r="U45" s="85" t="str">
        <f>IF(ABS(F45-T45)&lt;0.01,"ok","err")</f>
        <v>ok</v>
      </c>
    </row>
    <row r="46" spans="1:21" s="28" customFormat="1" x14ac:dyDescent="0.2">
      <c r="F46" s="25"/>
    </row>
    <row r="47" spans="1:21" s="28" customFormat="1" x14ac:dyDescent="0.2">
      <c r="A47" s="28" t="s">
        <v>13</v>
      </c>
      <c r="D47" s="28" t="s">
        <v>209</v>
      </c>
      <c r="F47" s="84">
        <f>F9+F14+F19+F22+F25+F33+F36+F39+F42+F45</f>
        <v>297159091.61000001</v>
      </c>
      <c r="G47" s="84">
        <f t="shared" ref="G47:S47" si="4">G9+G14+G19+G22+G25+G33+G36+G39+G42+G45</f>
        <v>165869601.44970897</v>
      </c>
      <c r="H47" s="84">
        <f t="shared" si="4"/>
        <v>1733688.5369205279</v>
      </c>
      <c r="I47" s="84">
        <f t="shared" si="4"/>
        <v>35967289.551876068</v>
      </c>
      <c r="J47" s="84">
        <f t="shared" si="4"/>
        <v>59990691.417848825</v>
      </c>
      <c r="K47" s="84">
        <f t="shared" si="4"/>
        <v>3986412.5675324998</v>
      </c>
      <c r="L47" s="84">
        <f t="shared" si="4"/>
        <v>6544795.2738288725</v>
      </c>
      <c r="M47" s="84">
        <f t="shared" si="4"/>
        <v>23066613.02212837</v>
      </c>
      <c r="N47" s="84">
        <f t="shared" si="4"/>
        <v>0</v>
      </c>
      <c r="O47" s="84">
        <f t="shared" si="4"/>
        <v>0</v>
      </c>
      <c r="P47" s="84">
        <f t="shared" si="4"/>
        <v>0</v>
      </c>
      <c r="Q47" s="84">
        <f t="shared" si="4"/>
        <v>0</v>
      </c>
      <c r="R47" s="84">
        <f t="shared" si="4"/>
        <v>0</v>
      </c>
      <c r="S47" s="84">
        <f t="shared" si="4"/>
        <v>0</v>
      </c>
      <c r="T47" s="35">
        <f>SUM(G47:S47)</f>
        <v>297159091.81984413</v>
      </c>
      <c r="U47" s="85" t="str">
        <f>IF(ABS(F47-T47)&lt;0.3,"ok","err")</f>
        <v>ok</v>
      </c>
    </row>
    <row r="52" spans="1:21" s="80" customFormat="1" x14ac:dyDescent="0.2">
      <c r="A52" s="79" t="s">
        <v>247</v>
      </c>
    </row>
    <row r="54" spans="1:21" s="82" customFormat="1" x14ac:dyDescent="0.2">
      <c r="A54" s="81" t="s">
        <v>737</v>
      </c>
    </row>
    <row r="55" spans="1:21" s="28" customFormat="1" x14ac:dyDescent="0.2">
      <c r="A55" s="83" t="s">
        <v>207</v>
      </c>
      <c r="B55" s="82"/>
      <c r="C55" s="82" t="s">
        <v>95</v>
      </c>
      <c r="D55" s="82" t="s">
        <v>258</v>
      </c>
      <c r="E55" s="82" t="s">
        <v>312</v>
      </c>
      <c r="F55" s="84">
        <f>VLOOKUP(C55,'S5-Functional Assignment'!$C$1:$AP$743,5,)</f>
        <v>0</v>
      </c>
      <c r="G55" s="84">
        <f>(VLOOKUP($E55,$D$4:$AH$583,4,)/VLOOKUP($E55,$D$4:$AH$583,3,))*$F55</f>
        <v>0</v>
      </c>
      <c r="H55" s="84">
        <f>(VLOOKUP($E55,$D$4:$AH$583,5,)/VLOOKUP($E55,$D$4:$AH$583,3,))*$F55</f>
        <v>0</v>
      </c>
      <c r="I55" s="84">
        <f>(VLOOKUP($E55,$D$4:$AH$583,6,)/VLOOKUP($E55,$D$4:$AH$583,3,))*$F55</f>
        <v>0</v>
      </c>
      <c r="J55" s="84">
        <f>(VLOOKUP($E55,$D$4:$AH$583,7,)/VLOOKUP($E55,$D$4:$AH$583,3,))*$F55</f>
        <v>0</v>
      </c>
      <c r="K55" s="84">
        <f>(VLOOKUP($E55,$D$4:$AH$583,8,)/VLOOKUP($E55,$D$4:$AH$583,3,))*$F55</f>
        <v>0</v>
      </c>
      <c r="L55" s="84">
        <f>(VLOOKUP($E55,$D$4:$AH$583,9,)/VLOOKUP($E55,$D$4:$AH$583,3,))*$F55</f>
        <v>0</v>
      </c>
      <c r="M55" s="84">
        <f>(VLOOKUP($E55,$D$4:$AH$583,10,)/VLOOKUP($E55,$D$4:$AH$583,3,))*$F55</f>
        <v>0</v>
      </c>
      <c r="N55" s="84">
        <f>(VLOOKUP($E55,$D$4:$AH$583,11,)/VLOOKUP($E55,$D$4:$AH$583,3,))*$F55</f>
        <v>0</v>
      </c>
      <c r="O55" s="84">
        <f>(VLOOKUP($E55,$D$4:$AH$583,12,)/VLOOKUP($E55,$D$4:$AH$583,3,))*$F55</f>
        <v>0</v>
      </c>
      <c r="P55" s="84">
        <f>(VLOOKUP($E55,$D$4:$AH$583,13,)/VLOOKUP($E55,$D$4:$AH$583,3,))*$F55</f>
        <v>0</v>
      </c>
      <c r="Q55" s="84">
        <f>(VLOOKUP($E55,$D$4:$AH$583,14,)/VLOOKUP($E55,$D$4:$AH$583,3,))*$F55</f>
        <v>0</v>
      </c>
      <c r="R55" s="84">
        <f>(VLOOKUP($E55,$D$4:$AH$583,15,)/VLOOKUP($E55,$D$4:$AH$583,3,))*$F55</f>
        <v>0</v>
      </c>
      <c r="S55" s="84">
        <f>(VLOOKUP($E55,$D$4:$AH$583,16,)/VLOOKUP($E55,$D$4:$AH$583,3,))*$F55</f>
        <v>0</v>
      </c>
      <c r="T55" s="35">
        <f>SUM(G55:S55)</f>
        <v>0</v>
      </c>
      <c r="U55" s="85" t="str">
        <f>IF(ABS(F55-T55)&lt;0.01,"ok","err")</f>
        <v>ok</v>
      </c>
    </row>
    <row r="56" spans="1:21" s="28" customFormat="1" x14ac:dyDescent="0.2">
      <c r="A56" s="86" t="s">
        <v>228</v>
      </c>
      <c r="C56" s="28" t="s">
        <v>95</v>
      </c>
      <c r="D56" s="28" t="s">
        <v>248</v>
      </c>
      <c r="E56" s="28" t="s">
        <v>313</v>
      </c>
      <c r="F56" s="25">
        <f>VLOOKUP(C56,'S5-Functional Assignment'!$C$1:$AP$743,6,)</f>
        <v>0</v>
      </c>
      <c r="G56" s="84">
        <f>(VLOOKUP($E56,$D$4:$AH$583,4,)/VLOOKUP($E56,$D$4:$AH$583,3,))*$F56</f>
        <v>0</v>
      </c>
      <c r="H56" s="84">
        <f>(VLOOKUP($E56,$D$4:$AH$583,5,)/VLOOKUP($E56,$D$4:$AH$583,3,))*$F56</f>
        <v>0</v>
      </c>
      <c r="I56" s="84">
        <f>(VLOOKUP($E56,$D$4:$AH$583,6,)/VLOOKUP($E56,$D$4:$AH$583,3,))*$F56</f>
        <v>0</v>
      </c>
      <c r="J56" s="84">
        <f>(VLOOKUP($E56,$D$4:$AH$583,7,)/VLOOKUP($E56,$D$4:$AH$583,3,))*$F56</f>
        <v>0</v>
      </c>
      <c r="K56" s="84">
        <f>(VLOOKUP($E56,$D$4:$AH$583,8,)/VLOOKUP($E56,$D$4:$AH$583,3,))*$F56</f>
        <v>0</v>
      </c>
      <c r="L56" s="84">
        <f>(VLOOKUP($E56,$D$4:$AH$583,9,)/VLOOKUP($E56,$D$4:$AH$583,3,))*$F56</f>
        <v>0</v>
      </c>
      <c r="M56" s="84">
        <f>(VLOOKUP($E56,$D$4:$AH$583,10,)/VLOOKUP($E56,$D$4:$AH$583,3,))*$F56</f>
        <v>0</v>
      </c>
      <c r="N56" s="84">
        <f>(VLOOKUP($E56,$D$4:$AH$583,11,)/VLOOKUP($E56,$D$4:$AH$583,3,))*$F56</f>
        <v>0</v>
      </c>
      <c r="O56" s="84">
        <f>(VLOOKUP($E56,$D$4:$AH$583,12,)/VLOOKUP($E56,$D$4:$AH$583,3,))*$F56</f>
        <v>0</v>
      </c>
      <c r="P56" s="84">
        <f>(VLOOKUP($E56,$D$4:$AH$583,13,)/VLOOKUP($E56,$D$4:$AH$583,3,))*$F56</f>
        <v>0</v>
      </c>
      <c r="Q56" s="84">
        <f>(VLOOKUP($E56,$D$4:$AH$583,14,)/VLOOKUP($E56,$D$4:$AH$583,3,))*$F56</f>
        <v>0</v>
      </c>
      <c r="R56" s="84">
        <f>(VLOOKUP($E56,$D$4:$AH$583,15,)/VLOOKUP($E56,$D$4:$AH$583,3,))*$F56</f>
        <v>0</v>
      </c>
      <c r="S56" s="84">
        <f>(VLOOKUP($E56,$D$4:$AH$583,16,)/VLOOKUP($E56,$D$4:$AH$583,3,))*$F56</f>
        <v>0</v>
      </c>
      <c r="T56" s="25">
        <f>SUM(G56:S56)</f>
        <v>0</v>
      </c>
      <c r="U56" s="85" t="str">
        <f>IF(ABS(F56-T56)&lt;0.01,"ok","err")</f>
        <v>ok</v>
      </c>
    </row>
    <row r="57" spans="1:21" s="28" customFormat="1" x14ac:dyDescent="0.2">
      <c r="A57" s="28" t="s">
        <v>664</v>
      </c>
      <c r="F57" s="84">
        <f t="shared" ref="F57:S57" si="5">F55+F56</f>
        <v>0</v>
      </c>
      <c r="G57" s="84">
        <f t="shared" si="5"/>
        <v>0</v>
      </c>
      <c r="H57" s="84">
        <f t="shared" si="5"/>
        <v>0</v>
      </c>
      <c r="I57" s="84">
        <f t="shared" si="5"/>
        <v>0</v>
      </c>
      <c r="J57" s="84">
        <f t="shared" si="5"/>
        <v>0</v>
      </c>
      <c r="K57" s="84">
        <f t="shared" si="5"/>
        <v>0</v>
      </c>
      <c r="L57" s="84">
        <f t="shared" si="5"/>
        <v>0</v>
      </c>
      <c r="M57" s="84">
        <f t="shared" si="5"/>
        <v>0</v>
      </c>
      <c r="N57" s="84">
        <f t="shared" si="5"/>
        <v>0</v>
      </c>
      <c r="O57" s="84">
        <f t="shared" si="5"/>
        <v>0</v>
      </c>
      <c r="P57" s="84">
        <f t="shared" si="5"/>
        <v>0</v>
      </c>
      <c r="Q57" s="84">
        <f t="shared" si="5"/>
        <v>0</v>
      </c>
      <c r="R57" s="84">
        <f t="shared" si="5"/>
        <v>0</v>
      </c>
      <c r="S57" s="84">
        <f t="shared" si="5"/>
        <v>0</v>
      </c>
      <c r="T57" s="35">
        <f>SUM(G57:S57)</f>
        <v>0</v>
      </c>
      <c r="U57" s="85" t="str">
        <f>IF(ABS(F57-T57)&lt;0.01,"ok","err")</f>
        <v>ok</v>
      </c>
    </row>
    <row r="58" spans="1:21" s="28" customFormat="1" x14ac:dyDescent="0.2">
      <c r="F58" s="25"/>
      <c r="G58" s="25"/>
    </row>
    <row r="59" spans="1:21" s="28" customFormat="1" x14ac:dyDescent="0.2">
      <c r="A59" s="74" t="s">
        <v>2</v>
      </c>
      <c r="B59" s="75"/>
      <c r="C59" s="75"/>
      <c r="D59" s="75"/>
      <c r="E59" s="75"/>
      <c r="F59" s="25"/>
      <c r="G59" s="25"/>
    </row>
    <row r="60" spans="1:21" s="28" customFormat="1" x14ac:dyDescent="0.2">
      <c r="A60" s="86" t="s">
        <v>207</v>
      </c>
      <c r="C60" s="28" t="s">
        <v>95</v>
      </c>
      <c r="D60" s="28" t="s">
        <v>249</v>
      </c>
      <c r="E60" s="28" t="s">
        <v>314</v>
      </c>
      <c r="F60" s="84">
        <f>VLOOKUP(C60,'S5-Functional Assignment'!$C$1:$AP$743,7,)</f>
        <v>19451615.951213971</v>
      </c>
      <c r="G60" s="84">
        <f>(VLOOKUP($E60,$D$4:$AH$583,4,)/VLOOKUP($E60,$D$4:$AH$583,3,))*$F60</f>
        <v>8262771.9668303337</v>
      </c>
      <c r="H60" s="84">
        <f>(VLOOKUP($E60,$D$4:$AH$583,5,)/VLOOKUP($E60,$D$4:$AH$583,3,))*$F60</f>
        <v>0</v>
      </c>
      <c r="I60" s="84">
        <f>(VLOOKUP($E60,$D$4:$AH$583,6,)/VLOOKUP($E60,$D$4:$AH$583,3,))*$F60</f>
        <v>2883696.9437287971</v>
      </c>
      <c r="J60" s="84">
        <f>(VLOOKUP($E60,$D$4:$AH$583,7,)/VLOOKUP($E60,$D$4:$AH$583,3,))*$F60</f>
        <v>8305147.0406548399</v>
      </c>
      <c r="K60" s="84">
        <f>(VLOOKUP($E60,$D$4:$AH$583,8,)/VLOOKUP($E60,$D$4:$AH$583,3,))*$F60</f>
        <v>0</v>
      </c>
      <c r="L60" s="84">
        <f>(VLOOKUP($E60,$D$4:$AH$583,9,)/VLOOKUP($E60,$D$4:$AH$583,3,))*$F60</f>
        <v>0</v>
      </c>
      <c r="M60" s="84">
        <f>(VLOOKUP($E60,$D$4:$AH$583,10,)/VLOOKUP($E60,$D$4:$AH$583,3,))*$F60</f>
        <v>0</v>
      </c>
      <c r="N60" s="84">
        <f>(VLOOKUP($E60,$D$4:$AH$583,11,)/VLOOKUP($E60,$D$4:$AH$583,3,))*$F60</f>
        <v>0</v>
      </c>
      <c r="O60" s="84">
        <f>(VLOOKUP($E60,$D$4:$AH$583,12,)/VLOOKUP($E60,$D$4:$AH$583,3,))*$F60</f>
        <v>0</v>
      </c>
      <c r="P60" s="84">
        <f>(VLOOKUP($E60,$D$4:$AH$583,13,)/VLOOKUP($E60,$D$4:$AH$583,3,))*$F60</f>
        <v>0</v>
      </c>
      <c r="Q60" s="84">
        <f>(VLOOKUP($E60,$D$4:$AH$583,14,)/VLOOKUP($E60,$D$4:$AH$583,3,))*$F60</f>
        <v>0</v>
      </c>
      <c r="R60" s="84">
        <f>(VLOOKUP($E60,$D$4:$AH$583,15,)/VLOOKUP($E60,$D$4:$AH$583,3,))*$F60</f>
        <v>0</v>
      </c>
      <c r="S60" s="84">
        <f>(VLOOKUP($E60,$D$4:$AH$583,16,)/VLOOKUP($E60,$D$4:$AH$583,3,))*$F60</f>
        <v>0</v>
      </c>
      <c r="T60" s="35">
        <f>SUM(G60:S60)</f>
        <v>19451615.951213971</v>
      </c>
      <c r="U60" s="85" t="str">
        <f>IF(ABS(F60-T60)&lt;0.01,"ok","err")</f>
        <v>ok</v>
      </c>
    </row>
    <row r="61" spans="1:21" s="28" customFormat="1" x14ac:dyDescent="0.2">
      <c r="A61" s="28" t="s">
        <v>228</v>
      </c>
      <c r="C61" s="28" t="s">
        <v>95</v>
      </c>
      <c r="D61" s="28" t="s">
        <v>250</v>
      </c>
      <c r="E61" s="28" t="s">
        <v>315</v>
      </c>
      <c r="F61" s="25">
        <f>VLOOKUP(C61,'S5-Functional Assignment'!$C$1:$AP$743,8,)</f>
        <v>30053.345857629647</v>
      </c>
      <c r="G61" s="84">
        <f>(VLOOKUP($E61,$D$4:$AH$583,4,)/VLOOKUP($E61,$D$4:$AH$583,3,))*$F61</f>
        <v>12766.237225981266</v>
      </c>
      <c r="H61" s="84">
        <f>(VLOOKUP($E61,$D$4:$AH$583,5,)/VLOOKUP($E61,$D$4:$AH$583,3,))*$F61</f>
        <v>0</v>
      </c>
      <c r="I61" s="84">
        <f>(VLOOKUP($E61,$D$4:$AH$583,6,)/VLOOKUP($E61,$D$4:$AH$583,3,))*$F61</f>
        <v>4455.4006112310881</v>
      </c>
      <c r="J61" s="84">
        <f>(VLOOKUP($E61,$D$4:$AH$583,7,)/VLOOKUP($E61,$D$4:$AH$583,3,))*$F61</f>
        <v>12831.708020417293</v>
      </c>
      <c r="K61" s="84">
        <f>(VLOOKUP($E61,$D$4:$AH$583,8,)/VLOOKUP($E61,$D$4:$AH$583,3,))*$F61</f>
        <v>0</v>
      </c>
      <c r="L61" s="84">
        <f>(VLOOKUP($E61,$D$4:$AH$583,9,)/VLOOKUP($E61,$D$4:$AH$583,3,))*$F61</f>
        <v>0</v>
      </c>
      <c r="M61" s="84">
        <f>(VLOOKUP($E61,$D$4:$AH$583,10,)/VLOOKUP($E61,$D$4:$AH$583,3,))*$F61</f>
        <v>0</v>
      </c>
      <c r="N61" s="84">
        <f>(VLOOKUP($E61,$D$4:$AH$583,11,)/VLOOKUP($E61,$D$4:$AH$583,3,))*$F61</f>
        <v>0</v>
      </c>
      <c r="O61" s="84">
        <f>(VLOOKUP($E61,$D$4:$AH$583,12,)/VLOOKUP($E61,$D$4:$AH$583,3,))*$F61</f>
        <v>0</v>
      </c>
      <c r="P61" s="84">
        <f>(VLOOKUP($E61,$D$4:$AH$583,13,)/VLOOKUP($E61,$D$4:$AH$583,3,))*$F61</f>
        <v>0</v>
      </c>
      <c r="Q61" s="84">
        <f>(VLOOKUP($E61,$D$4:$AH$583,14,)/VLOOKUP($E61,$D$4:$AH$583,3,))*$F61</f>
        <v>0</v>
      </c>
      <c r="R61" s="84">
        <f>(VLOOKUP($E61,$D$4:$AH$583,15,)/VLOOKUP($E61,$D$4:$AH$583,3,))*$F61</f>
        <v>0</v>
      </c>
      <c r="S61" s="84">
        <f>(VLOOKUP($E61,$D$4:$AH$583,16,)/VLOOKUP($E61,$D$4:$AH$583,3,))*$F61</f>
        <v>0</v>
      </c>
      <c r="T61" s="25">
        <f>SUM(G61:S61)</f>
        <v>30053.345857629647</v>
      </c>
      <c r="U61" s="85" t="str">
        <f>IF(ABS(F61-T61)&lt;0.01,"ok","err")</f>
        <v>ok</v>
      </c>
    </row>
    <row r="62" spans="1:21" s="28" customFormat="1" x14ac:dyDescent="0.2">
      <c r="A62" s="28" t="s">
        <v>229</v>
      </c>
      <c r="F62" s="84">
        <f>SUM(F60:F61)</f>
        <v>19481669.297071602</v>
      </c>
      <c r="G62" s="84">
        <f t="shared" ref="G62:S62" si="6">G60+G61</f>
        <v>8275538.2040563151</v>
      </c>
      <c r="H62" s="84">
        <f t="shared" si="6"/>
        <v>0</v>
      </c>
      <c r="I62" s="84">
        <f t="shared" si="6"/>
        <v>2888152.3443400282</v>
      </c>
      <c r="J62" s="84">
        <f t="shared" si="6"/>
        <v>8317978.748675257</v>
      </c>
      <c r="K62" s="84">
        <f t="shared" si="6"/>
        <v>0</v>
      </c>
      <c r="L62" s="84">
        <f t="shared" si="6"/>
        <v>0</v>
      </c>
      <c r="M62" s="84">
        <f t="shared" si="6"/>
        <v>0</v>
      </c>
      <c r="N62" s="84">
        <f t="shared" si="6"/>
        <v>0</v>
      </c>
      <c r="O62" s="84">
        <f t="shared" si="6"/>
        <v>0</v>
      </c>
      <c r="P62" s="84">
        <f t="shared" si="6"/>
        <v>0</v>
      </c>
      <c r="Q62" s="84">
        <f t="shared" si="6"/>
        <v>0</v>
      </c>
      <c r="R62" s="84">
        <f t="shared" si="6"/>
        <v>0</v>
      </c>
      <c r="S62" s="84">
        <f t="shared" si="6"/>
        <v>0</v>
      </c>
      <c r="T62" s="35">
        <f>SUM(G62:S62)</f>
        <v>19481669.297071598</v>
      </c>
      <c r="U62" s="85" t="str">
        <f>IF(ABS(F62-T62)&lt;0.01,"ok","err")</f>
        <v>ok</v>
      </c>
    </row>
    <row r="63" spans="1:21" s="28" customFormat="1" x14ac:dyDescent="0.2">
      <c r="F63" s="25"/>
      <c r="G63" s="25"/>
    </row>
    <row r="64" spans="1:21" s="28" customFormat="1" x14ac:dyDescent="0.2">
      <c r="A64" s="81" t="s">
        <v>3</v>
      </c>
      <c r="B64" s="82"/>
      <c r="C64" s="82"/>
      <c r="D64" s="82"/>
      <c r="E64" s="82"/>
      <c r="F64" s="25"/>
      <c r="G64" s="25"/>
    </row>
    <row r="65" spans="1:21" s="28" customFormat="1" x14ac:dyDescent="0.2">
      <c r="A65" s="86" t="s">
        <v>207</v>
      </c>
      <c r="C65" s="28" t="s">
        <v>95</v>
      </c>
      <c r="D65" s="28" t="s">
        <v>251</v>
      </c>
      <c r="E65" s="28" t="s">
        <v>729</v>
      </c>
      <c r="F65" s="84">
        <f>VLOOKUP(C65,'S5-Functional Assignment'!$C$1:$AP$743,9,)</f>
        <v>31801784.971615329</v>
      </c>
      <c r="G65" s="84">
        <f>(VLOOKUP($E65,$D$4:$AH$583,4,)/VLOOKUP($E65,$D$4:$AH$583,3,))*$F65</f>
        <v>8623709.0033993423</v>
      </c>
      <c r="H65" s="84">
        <f>(VLOOKUP($E65,$D$4:$AH$583,5,)/VLOOKUP($E65,$D$4:$AH$583,3,))*$F65</f>
        <v>0</v>
      </c>
      <c r="I65" s="84">
        <f>(VLOOKUP($E65,$D$4:$AH$583,6,)/VLOOKUP($E65,$D$4:$AH$583,3,))*$F65</f>
        <v>2996373.4672828224</v>
      </c>
      <c r="J65" s="84">
        <f>(VLOOKUP($E65,$D$4:$AH$583,7,)/VLOOKUP($E65,$D$4:$AH$583,3,))*$F65</f>
        <v>8166654.7462915471</v>
      </c>
      <c r="K65" s="84">
        <f>(VLOOKUP($E65,$D$4:$AH$583,8,)/VLOOKUP($E65,$D$4:$AH$583,3,))*$F65</f>
        <v>652013.80523907882</v>
      </c>
      <c r="L65" s="84">
        <f>(VLOOKUP($E65,$D$4:$AH$583,9,)/VLOOKUP($E65,$D$4:$AH$583,3,))*$F65</f>
        <v>2431915.3568317047</v>
      </c>
      <c r="M65" s="84">
        <f>(VLOOKUP($E65,$D$4:$AH$583,10,)/VLOOKUP($E65,$D$4:$AH$583,3,))*$F65</f>
        <v>8931118.5925708283</v>
      </c>
      <c r="N65" s="84">
        <f>(VLOOKUP($E65,$D$4:$AH$583,11,)/VLOOKUP($E65,$D$4:$AH$583,3,))*$F65</f>
        <v>0</v>
      </c>
      <c r="O65" s="84">
        <f>(VLOOKUP($E65,$D$4:$AH$583,12,)/VLOOKUP($E65,$D$4:$AH$583,3,))*$F65</f>
        <v>0</v>
      </c>
      <c r="P65" s="84">
        <f>(VLOOKUP($E65,$D$4:$AH$583,13,)/VLOOKUP($E65,$D$4:$AH$583,3,))*$F65</f>
        <v>0</v>
      </c>
      <c r="Q65" s="84">
        <f>(VLOOKUP($E65,$D$4:$AH$583,14,)/VLOOKUP($E65,$D$4:$AH$583,3,))*$F65</f>
        <v>0</v>
      </c>
      <c r="R65" s="84">
        <f>(VLOOKUP($E65,$D$4:$AH$583,15,)/VLOOKUP($E65,$D$4:$AH$583,3,))*$F65</f>
        <v>0</v>
      </c>
      <c r="S65" s="84">
        <f>(VLOOKUP($E65,$D$4:$AH$583,16,)/VLOOKUP($E65,$D$4:$AH$583,3,))*$F65</f>
        <v>0</v>
      </c>
      <c r="T65" s="35">
        <f>SUM(G65:S65)</f>
        <v>31801784.971615322</v>
      </c>
      <c r="U65" s="85" t="str">
        <f>IF(ABS(F65-T65)&lt;0.01,"ok","err")</f>
        <v>ok</v>
      </c>
    </row>
    <row r="66" spans="1:21" s="28" customFormat="1" x14ac:dyDescent="0.2">
      <c r="A66" s="28" t="s">
        <v>228</v>
      </c>
      <c r="C66" s="28" t="s">
        <v>95</v>
      </c>
      <c r="D66" s="28" t="s">
        <v>252</v>
      </c>
      <c r="E66" s="28" t="s">
        <v>317</v>
      </c>
      <c r="F66" s="25">
        <f>VLOOKUP(C66,'S5-Functional Assignment'!$C$1:$AP$743,10,)</f>
        <v>21502.440413700115</v>
      </c>
      <c r="G66" s="84">
        <f>(VLOOKUP($E66,$D$4:$AH$583,4,)/VLOOKUP($E66,$D$4:$AH$583,3,))*$F66</f>
        <v>1692.972901154086</v>
      </c>
      <c r="H66" s="84">
        <f>(VLOOKUP($E66,$D$4:$AH$583,5,)/VLOOKUP($E66,$D$4:$AH$583,3,))*$F66</f>
        <v>0</v>
      </c>
      <c r="I66" s="84">
        <f>(VLOOKUP($E66,$D$4:$AH$583,6,)/VLOOKUP($E66,$D$4:$AH$583,3,))*$F66</f>
        <v>620.73365886517388</v>
      </c>
      <c r="J66" s="84">
        <f>(VLOOKUP($E66,$D$4:$AH$583,7,)/VLOOKUP($E66,$D$4:$AH$583,3,))*$F66</f>
        <v>2745.8284921162426</v>
      </c>
      <c r="K66" s="84">
        <f>(VLOOKUP($E66,$D$4:$AH$583,8,)/VLOOKUP($E66,$D$4:$AH$583,3,))*$F66</f>
        <v>1991.0992283833757</v>
      </c>
      <c r="L66" s="84">
        <f>(VLOOKUP($E66,$D$4:$AH$583,9,)/VLOOKUP($E66,$D$4:$AH$583,3,))*$F66</f>
        <v>2786.9444509899408</v>
      </c>
      <c r="M66" s="84">
        <f>(VLOOKUP($E66,$D$4:$AH$583,10,)/VLOOKUP($E66,$D$4:$AH$583,3,))*$F66</f>
        <v>11664.861685809625</v>
      </c>
      <c r="N66" s="84">
        <f>(VLOOKUP($E66,$D$4:$AH$583,11,)/VLOOKUP($E66,$D$4:$AH$583,3,))*$F66</f>
        <v>0</v>
      </c>
      <c r="O66" s="84">
        <f>(VLOOKUP($E66,$D$4:$AH$583,12,)/VLOOKUP($E66,$D$4:$AH$583,3,))*$F66</f>
        <v>0</v>
      </c>
      <c r="P66" s="84">
        <f>(VLOOKUP($E66,$D$4:$AH$583,13,)/VLOOKUP($E66,$D$4:$AH$583,3,))*$F66</f>
        <v>0</v>
      </c>
      <c r="Q66" s="84">
        <f>(VLOOKUP($E66,$D$4:$AH$583,14,)/VLOOKUP($E66,$D$4:$AH$583,3,))*$F66</f>
        <v>0</v>
      </c>
      <c r="R66" s="84">
        <f>(VLOOKUP($E66,$D$4:$AH$583,15,)/VLOOKUP($E66,$D$4:$AH$583,3,))*$F66</f>
        <v>0</v>
      </c>
      <c r="S66" s="84">
        <f>(VLOOKUP($E66,$D$4:$AH$583,16,)/VLOOKUP($E66,$D$4:$AH$583,3,))*$F66</f>
        <v>0</v>
      </c>
      <c r="T66" s="25">
        <f>SUM(G66:S66)</f>
        <v>21502.440417318445</v>
      </c>
      <c r="U66" s="85" t="str">
        <f>IF(ABS(F66-T66)&lt;0.01,"ok","err")</f>
        <v>ok</v>
      </c>
    </row>
    <row r="67" spans="1:21" s="28" customFormat="1" x14ac:dyDescent="0.2">
      <c r="A67" s="28" t="s">
        <v>230</v>
      </c>
      <c r="F67" s="84">
        <f>SUM(F65:F66)</f>
        <v>31823287.412029028</v>
      </c>
      <c r="G67" s="84">
        <f t="shared" ref="G67:S67" si="7">G65+G66</f>
        <v>8625401.9763004966</v>
      </c>
      <c r="H67" s="84">
        <f t="shared" si="7"/>
        <v>0</v>
      </c>
      <c r="I67" s="84">
        <f t="shared" si="7"/>
        <v>2996994.2009416874</v>
      </c>
      <c r="J67" s="84">
        <f t="shared" si="7"/>
        <v>8169400.5747836633</v>
      </c>
      <c r="K67" s="84">
        <f t="shared" si="7"/>
        <v>654004.90446746221</v>
      </c>
      <c r="L67" s="84">
        <f t="shared" si="7"/>
        <v>2434702.3012826946</v>
      </c>
      <c r="M67" s="84">
        <f t="shared" si="7"/>
        <v>8942783.454256637</v>
      </c>
      <c r="N67" s="84">
        <f t="shared" si="7"/>
        <v>0</v>
      </c>
      <c r="O67" s="84">
        <f t="shared" si="7"/>
        <v>0</v>
      </c>
      <c r="P67" s="84">
        <f t="shared" si="7"/>
        <v>0</v>
      </c>
      <c r="Q67" s="84">
        <f t="shared" si="7"/>
        <v>0</v>
      </c>
      <c r="R67" s="84">
        <f t="shared" si="7"/>
        <v>0</v>
      </c>
      <c r="S67" s="84">
        <f t="shared" si="7"/>
        <v>0</v>
      </c>
      <c r="T67" s="35">
        <f>SUM(G67:S67)</f>
        <v>31823287.412032641</v>
      </c>
      <c r="U67" s="85" t="str">
        <f>IF(ABS(F67-T67)&lt;0.01,"ok","err")</f>
        <v>ok</v>
      </c>
    </row>
    <row r="68" spans="1:21" s="28" customFormat="1" x14ac:dyDescent="0.2">
      <c r="F68" s="25"/>
    </row>
    <row r="69" spans="1:21" s="28" customFormat="1" x14ac:dyDescent="0.2">
      <c r="A69" s="1" t="s">
        <v>5</v>
      </c>
      <c r="B69" s="19"/>
      <c r="C69" s="19"/>
      <c r="D69" s="19"/>
      <c r="E69" s="19"/>
      <c r="F69" s="25"/>
    </row>
    <row r="70" spans="1:21" s="28" customFormat="1" x14ac:dyDescent="0.2">
      <c r="A70" s="9" t="s">
        <v>228</v>
      </c>
      <c r="B70" s="19"/>
      <c r="C70" s="19" t="s">
        <v>95</v>
      </c>
      <c r="D70" s="19" t="s">
        <v>253</v>
      </c>
      <c r="E70" s="19" t="s">
        <v>318</v>
      </c>
      <c r="F70" s="84">
        <f>VLOOKUP(C70,'S5-Functional Assignment'!$C$1:$AP$743,11,)</f>
        <v>86242.478564403558</v>
      </c>
      <c r="G70" s="84">
        <f>(VLOOKUP($E70,$D$4:$AH$583,4,)/VLOOKUP($E70,$D$4:$AH$583,3,))*$F70</f>
        <v>20371.545840145223</v>
      </c>
      <c r="H70" s="84">
        <f>(VLOOKUP($E70,$D$4:$AH$583,5,)/VLOOKUP($E70,$D$4:$AH$583,3,))*$F70</f>
        <v>0</v>
      </c>
      <c r="I70" s="84">
        <f>(VLOOKUP($E70,$D$4:$AH$583,6,)/VLOOKUP($E70,$D$4:$AH$583,3,))*$F70</f>
        <v>7469.289187956143</v>
      </c>
      <c r="J70" s="84">
        <f>(VLOOKUP($E70,$D$4:$AH$583,7,)/VLOOKUP($E70,$D$4:$AH$583,3,))*$F70</f>
        <v>33040.558982480601</v>
      </c>
      <c r="K70" s="84">
        <f>(VLOOKUP($E70,$D$4:$AH$583,8,)/VLOOKUP($E70,$D$4:$AH$583,3,))*$F70</f>
        <v>23958.90044999485</v>
      </c>
      <c r="L70" s="84">
        <f>(VLOOKUP($E70,$D$4:$AH$583,9,)/VLOOKUP($E70,$D$4:$AH$583,3,))*$F70</f>
        <v>1402.1840970380863</v>
      </c>
      <c r="M70" s="84">
        <f>(VLOOKUP($E70,$D$4:$AH$583,10,)/VLOOKUP($E70,$D$4:$AH$583,3,))*$F70</f>
        <v>0</v>
      </c>
      <c r="N70" s="84">
        <f>(VLOOKUP($E70,$D$4:$AH$583,11,)/VLOOKUP($E70,$D$4:$AH$583,3,))*$F70</f>
        <v>0</v>
      </c>
      <c r="O70" s="84">
        <f>(VLOOKUP($E70,$D$4:$AH$583,12,)/VLOOKUP($E70,$D$4:$AH$583,3,))*$F70</f>
        <v>0</v>
      </c>
      <c r="P70" s="84">
        <f>(VLOOKUP($E70,$D$4:$AH$583,13,)/VLOOKUP($E70,$D$4:$AH$583,3,))*$F70</f>
        <v>0</v>
      </c>
      <c r="Q70" s="84">
        <f>(VLOOKUP($E70,$D$4:$AH$583,14,)/VLOOKUP($E70,$D$4:$AH$583,3,))*$F70</f>
        <v>0</v>
      </c>
      <c r="R70" s="84">
        <f>(VLOOKUP($E70,$D$4:$AH$583,15,)/VLOOKUP($E70,$D$4:$AH$583,3,))*$F70</f>
        <v>0</v>
      </c>
      <c r="S70" s="84">
        <f>(VLOOKUP($E70,$D$4:$AH$583,16,)/VLOOKUP($E70,$D$4:$AH$583,3,))*$F70</f>
        <v>0</v>
      </c>
      <c r="T70" s="35">
        <f>SUM(G70:S70)</f>
        <v>86242.478557614901</v>
      </c>
      <c r="U70" s="85" t="str">
        <f>IF(ABS(F70-T70)&lt;0.01,"ok","err")</f>
        <v>ok</v>
      </c>
    </row>
    <row r="71" spans="1:21" s="28" customFormat="1" x14ac:dyDescent="0.2">
      <c r="A71" s="86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85"/>
    </row>
    <row r="72" spans="1:21" s="28" customFormat="1" x14ac:dyDescent="0.2">
      <c r="A72" s="1" t="s">
        <v>6</v>
      </c>
      <c r="B72" s="19"/>
      <c r="C72" s="19"/>
      <c r="D72" s="19"/>
      <c r="E72" s="19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85"/>
    </row>
    <row r="73" spans="1:21" s="28" customFormat="1" x14ac:dyDescent="0.2">
      <c r="A73" s="86" t="s">
        <v>207</v>
      </c>
      <c r="C73" s="28" t="s">
        <v>95</v>
      </c>
      <c r="D73" s="28" t="s">
        <v>254</v>
      </c>
      <c r="E73" s="28" t="s">
        <v>319</v>
      </c>
      <c r="F73" s="84">
        <f>VLOOKUP(C73,'S5-Functional Assignment'!$C$1:$AP$743,12,)</f>
        <v>1931028.0100984192</v>
      </c>
      <c r="G73" s="84">
        <f>(VLOOKUP($E73,$D$4:$AH$583,4,)/VLOOKUP($E73,$D$4:$AH$583,3,))*$F73</f>
        <v>810747.01034787111</v>
      </c>
      <c r="H73" s="84">
        <f>(VLOOKUP($E73,$D$4:$AH$583,5,)/VLOOKUP($E73,$D$4:$AH$583,3,))*$F73</f>
        <v>0</v>
      </c>
      <c r="I73" s="84">
        <f>(VLOOKUP($E73,$D$4:$AH$583,6,)/VLOOKUP($E73,$D$4:$AH$583,3,))*$F73</f>
        <v>281700.23240900604</v>
      </c>
      <c r="J73" s="84">
        <f>(VLOOKUP($E73,$D$4:$AH$583,7,)/VLOOKUP($E73,$D$4:$AH$583,3,))*$F73</f>
        <v>767777.63691808074</v>
      </c>
      <c r="K73" s="84">
        <f>(VLOOKUP($E73,$D$4:$AH$583,8,)/VLOOKUP($E73,$D$4:$AH$583,3,))*$F73</f>
        <v>61298.246855819059</v>
      </c>
      <c r="L73" s="84">
        <f>(VLOOKUP($E73,$D$4:$AH$583,9,)/VLOOKUP($E73,$D$4:$AH$583,3,))*$F73</f>
        <v>9504.8935273976767</v>
      </c>
      <c r="M73" s="84">
        <f>(VLOOKUP($E73,$D$4:$AH$583,10,)/VLOOKUP($E73,$D$4:$AH$583,3,))*$F73</f>
        <v>0</v>
      </c>
      <c r="N73" s="84">
        <f>(VLOOKUP($E73,$D$4:$AH$583,11,)/VLOOKUP($E73,$D$4:$AH$583,3,))*$F73</f>
        <v>0</v>
      </c>
      <c r="O73" s="84">
        <f>(VLOOKUP($E73,$D$4:$AH$583,12,)/VLOOKUP($E73,$D$4:$AH$583,3,))*$F73</f>
        <v>0</v>
      </c>
      <c r="P73" s="84">
        <f>(VLOOKUP($E73,$D$4:$AH$583,13,)/VLOOKUP($E73,$D$4:$AH$583,3,))*$F73</f>
        <v>0</v>
      </c>
      <c r="Q73" s="84">
        <f>(VLOOKUP($E73,$D$4:$AH$583,14,)/VLOOKUP($E73,$D$4:$AH$583,3,))*$F73</f>
        <v>0</v>
      </c>
      <c r="R73" s="84">
        <f>(VLOOKUP($E73,$D$4:$AH$583,15,)/VLOOKUP($E73,$D$4:$AH$583,3,))*$F73</f>
        <v>0</v>
      </c>
      <c r="S73" s="84">
        <f>(VLOOKUP($E73,$D$4:$AH$583,16,)/VLOOKUP($E73,$D$4:$AH$583,3,))*$F73</f>
        <v>0</v>
      </c>
      <c r="T73" s="35">
        <f>SUM(G73:S73)</f>
        <v>1931028.0200581746</v>
      </c>
      <c r="U73" s="85" t="str">
        <f>IF(ABS(F73-T73)&lt;0.1,"ok","err")</f>
        <v>ok</v>
      </c>
    </row>
    <row r="74" spans="1:21" s="28" customFormat="1" x14ac:dyDescent="0.2">
      <c r="F74" s="25"/>
    </row>
    <row r="75" spans="1:21" s="28" customFormat="1" x14ac:dyDescent="0.2">
      <c r="F75" s="25"/>
    </row>
    <row r="76" spans="1:21" s="28" customFormat="1" x14ac:dyDescent="0.2">
      <c r="A76" s="79" t="s">
        <v>342</v>
      </c>
      <c r="B76" s="80"/>
      <c r="C76" s="80"/>
      <c r="D76" s="80"/>
      <c r="E76" s="80"/>
      <c r="F76" s="25"/>
    </row>
    <row r="77" spans="1:21" s="28" customFormat="1" x14ac:dyDescent="0.2">
      <c r="F77" s="25"/>
    </row>
    <row r="78" spans="1:21" s="28" customFormat="1" x14ac:dyDescent="0.2">
      <c r="A78" s="81" t="s">
        <v>7</v>
      </c>
      <c r="B78" s="82"/>
      <c r="C78" s="82"/>
      <c r="D78" s="82"/>
      <c r="E78" s="82"/>
      <c r="F78" s="25"/>
    </row>
    <row r="79" spans="1:21" s="28" customFormat="1" x14ac:dyDescent="0.2">
      <c r="A79" s="86" t="s">
        <v>207</v>
      </c>
      <c r="C79" s="28" t="s">
        <v>95</v>
      </c>
      <c r="D79" s="28" t="s">
        <v>255</v>
      </c>
      <c r="E79" s="28" t="s">
        <v>320</v>
      </c>
      <c r="F79" s="84">
        <f>VLOOKUP(C79,'S5-Functional Assignment'!$C$1:$AP$743,13,)</f>
        <v>16822830.336348742</v>
      </c>
      <c r="G79" s="84">
        <f>(VLOOKUP($E79,$D$4:$AH$583,4,)/VLOOKUP($E79,$D$4:$AH$583,3,))*$F79</f>
        <v>7397199.0563793946</v>
      </c>
      <c r="H79" s="84">
        <f>(VLOOKUP($E79,$D$4:$AH$583,5,)/VLOOKUP($E79,$D$4:$AH$583,3,))*$F79</f>
        <v>0</v>
      </c>
      <c r="I79" s="84">
        <f>(VLOOKUP($E79,$D$4:$AH$583,6,)/VLOOKUP($E79,$D$4:$AH$583,3,))*$F79</f>
        <v>2555232.706022298</v>
      </c>
      <c r="J79" s="84">
        <f>(VLOOKUP($E79,$D$4:$AH$583,7,)/VLOOKUP($E79,$D$4:$AH$583,3,))*$F79</f>
        <v>6222390.894274611</v>
      </c>
      <c r="K79" s="84">
        <f>(VLOOKUP($E79,$D$4:$AH$583,8,)/VLOOKUP($E79,$D$4:$AH$583,3,))*$F79</f>
        <v>561016.64538642438</v>
      </c>
      <c r="L79" s="84">
        <f>(VLOOKUP($E79,$D$4:$AH$583,9,)/VLOOKUP($E79,$D$4:$AH$583,3,))*$F79</f>
        <v>86991.125440149102</v>
      </c>
      <c r="M79" s="84">
        <f>(VLOOKUP($E79,$D$4:$AH$583,10,)/VLOOKUP($E79,$D$4:$AH$583,3,))*$F79</f>
        <v>0</v>
      </c>
      <c r="N79" s="84">
        <f>(VLOOKUP($E79,$D$4:$AH$583,11,)/VLOOKUP($E79,$D$4:$AH$583,3,))*$F79</f>
        <v>0</v>
      </c>
      <c r="O79" s="84">
        <f>(VLOOKUP($E79,$D$4:$AH$583,12,)/VLOOKUP($E79,$D$4:$AH$583,3,))*$F79</f>
        <v>0</v>
      </c>
      <c r="P79" s="84">
        <f>(VLOOKUP($E79,$D$4:$AH$583,13,)/VLOOKUP($E79,$D$4:$AH$583,3,))*$F79</f>
        <v>0</v>
      </c>
      <c r="Q79" s="84">
        <f>(VLOOKUP($E79,$D$4:$AH$583,14,)/VLOOKUP($E79,$D$4:$AH$583,3,))*$F79</f>
        <v>0</v>
      </c>
      <c r="R79" s="84">
        <f>(VLOOKUP($E79,$D$4:$AH$583,15,)/VLOOKUP($E79,$D$4:$AH$583,3,))*$F79</f>
        <v>0</v>
      </c>
      <c r="S79" s="84">
        <f>(VLOOKUP($E79,$D$4:$AH$583,16,)/VLOOKUP($E79,$D$4:$AH$583,3,))*$F79</f>
        <v>0</v>
      </c>
      <c r="T79" s="35">
        <f>SUM(G79:S79)</f>
        <v>16822830.427502878</v>
      </c>
      <c r="U79" s="85" t="str">
        <f>IF(ABS(F79-T79)&lt;0.1,"ok","err")</f>
        <v>ok</v>
      </c>
    </row>
    <row r="80" spans="1:21" s="28" customFormat="1" x14ac:dyDescent="0.2">
      <c r="A80" s="86" t="s">
        <v>208</v>
      </c>
      <c r="C80" s="28" t="s">
        <v>95</v>
      </c>
      <c r="D80" s="28" t="s">
        <v>256</v>
      </c>
      <c r="E80" s="28" t="s">
        <v>321</v>
      </c>
      <c r="F80" s="25">
        <f>VLOOKUP(C80,'S5-Functional Assignment'!$C$1:$AP$743,14,)</f>
        <v>41347399.042450525</v>
      </c>
      <c r="G80" s="84">
        <f>(VLOOKUP($E80,$D$4:$AH$583,4,)/VLOOKUP($E80,$D$4:$AH$583,3,))*$F80</f>
        <v>35166573.022240691</v>
      </c>
      <c r="H80" s="84">
        <f>(VLOOKUP($E80,$D$4:$AH$583,5,)/VLOOKUP($E80,$D$4:$AH$583,3,))*$F80</f>
        <v>0</v>
      </c>
      <c r="I80" s="84">
        <f>(VLOOKUP($E80,$D$4:$AH$583,6,)/VLOOKUP($E80,$D$4:$AH$583,3,))*$F80</f>
        <v>4950336.5058099311</v>
      </c>
      <c r="J80" s="84">
        <f>(VLOOKUP($E80,$D$4:$AH$583,7,)/VLOOKUP($E80,$D$4:$AH$583,3,))*$F80</f>
        <v>1151029.8594109768</v>
      </c>
      <c r="K80" s="84">
        <f>(VLOOKUP($E80,$D$4:$AH$583,8,)/VLOOKUP($E80,$D$4:$AH$583,3,))*$F80</f>
        <v>76054.24120368388</v>
      </c>
      <c r="L80" s="84">
        <f>(VLOOKUP($E80,$D$4:$AH$583,9,)/VLOOKUP($E80,$D$4:$AH$583,3,))*$F80</f>
        <v>3405.4137852395761</v>
      </c>
      <c r="M80" s="84">
        <f>(VLOOKUP($E80,$D$4:$AH$583,10,)/VLOOKUP($E80,$D$4:$AH$583,3,))*$F80</f>
        <v>0</v>
      </c>
      <c r="N80" s="84">
        <f>(VLOOKUP($E80,$D$4:$AH$583,11,)/VLOOKUP($E80,$D$4:$AH$583,3,))*$F80</f>
        <v>0</v>
      </c>
      <c r="O80" s="84">
        <f>(VLOOKUP($E80,$D$4:$AH$583,12,)/VLOOKUP($E80,$D$4:$AH$583,3,))*$F80</f>
        <v>0</v>
      </c>
      <c r="P80" s="84">
        <f>(VLOOKUP($E80,$D$4:$AH$583,13,)/VLOOKUP($E80,$D$4:$AH$583,3,))*$F80</f>
        <v>0</v>
      </c>
      <c r="Q80" s="84">
        <f>(VLOOKUP($E80,$D$4:$AH$583,14,)/VLOOKUP($E80,$D$4:$AH$583,3,))*$F80</f>
        <v>0</v>
      </c>
      <c r="R80" s="84">
        <f>(VLOOKUP($E80,$D$4:$AH$583,15,)/VLOOKUP($E80,$D$4:$AH$583,3,))*$F80</f>
        <v>0</v>
      </c>
      <c r="S80" s="84">
        <f>(VLOOKUP($E80,$D$4:$AH$583,16,)/VLOOKUP($E80,$D$4:$AH$583,3,))*$F80</f>
        <v>0</v>
      </c>
      <c r="T80" s="25">
        <f>SUM(G80:S80)</f>
        <v>41347399.042450525</v>
      </c>
      <c r="U80" s="85" t="str">
        <f>IF(ABS(F80-T80)&lt;0.01,"ok","err")</f>
        <v>ok</v>
      </c>
    </row>
    <row r="81" spans="1:21" s="28" customFormat="1" x14ac:dyDescent="0.2">
      <c r="A81" s="28" t="s">
        <v>231</v>
      </c>
      <c r="F81" s="25">
        <f>SUM(F79:F80)</f>
        <v>58170229.378799267</v>
      </c>
      <c r="G81" s="84">
        <f t="shared" ref="G81:S81" si="8">G79+G80</f>
        <v>42563772.078620084</v>
      </c>
      <c r="H81" s="84">
        <f t="shared" si="8"/>
        <v>0</v>
      </c>
      <c r="I81" s="84">
        <f t="shared" si="8"/>
        <v>7505569.211832229</v>
      </c>
      <c r="J81" s="84">
        <f t="shared" si="8"/>
        <v>7373420.753685588</v>
      </c>
      <c r="K81" s="84">
        <f t="shared" si="8"/>
        <v>637070.88659010828</v>
      </c>
      <c r="L81" s="84">
        <f t="shared" si="8"/>
        <v>90396.539225388682</v>
      </c>
      <c r="M81" s="84">
        <f t="shared" si="8"/>
        <v>0</v>
      </c>
      <c r="N81" s="84">
        <f t="shared" si="8"/>
        <v>0</v>
      </c>
      <c r="O81" s="84">
        <f t="shared" si="8"/>
        <v>0</v>
      </c>
      <c r="P81" s="84">
        <f t="shared" si="8"/>
        <v>0</v>
      </c>
      <c r="Q81" s="84">
        <f t="shared" si="8"/>
        <v>0</v>
      </c>
      <c r="R81" s="84">
        <f t="shared" si="8"/>
        <v>0</v>
      </c>
      <c r="S81" s="84">
        <f t="shared" si="8"/>
        <v>0</v>
      </c>
      <c r="T81" s="35">
        <f>SUM(G81:S81)</f>
        <v>58170229.469953403</v>
      </c>
      <c r="U81" s="85" t="str">
        <f>IF(ABS(F81-T81)&lt;0.1,"ok","err")</f>
        <v>ok</v>
      </c>
    </row>
    <row r="82" spans="1:21" s="28" customFormat="1" x14ac:dyDescent="0.2">
      <c r="F82" s="25"/>
    </row>
    <row r="83" spans="1:21" s="28" customFormat="1" x14ac:dyDescent="0.2">
      <c r="A83" s="81" t="s">
        <v>9</v>
      </c>
      <c r="B83" s="82"/>
      <c r="C83" s="82"/>
      <c r="D83" s="82"/>
      <c r="E83" s="82"/>
      <c r="F83" s="25"/>
    </row>
    <row r="84" spans="1:21" s="28" customFormat="1" x14ac:dyDescent="0.2">
      <c r="A84" s="86" t="s">
        <v>208</v>
      </c>
      <c r="C84" s="28" t="s">
        <v>95</v>
      </c>
      <c r="D84" s="28" t="s">
        <v>250</v>
      </c>
      <c r="E84" s="28" t="s">
        <v>322</v>
      </c>
      <c r="F84" s="84">
        <f>VLOOKUP(C84,'S5-Functional Assignment'!$C$1:$AP$743,15,)</f>
        <v>12773136.740125412</v>
      </c>
      <c r="G84" s="84">
        <f>(VLOOKUP($E84,$D$4:$AH$583,4,)/VLOOKUP($E84,$D$4:$AH$583,3,))*$F84</f>
        <v>10456822.59417019</v>
      </c>
      <c r="H84" s="84">
        <f>(VLOOKUP($E84,$D$4:$AH$583,5,)/VLOOKUP($E84,$D$4:$AH$583,3,))*$F84</f>
        <v>0</v>
      </c>
      <c r="I84" s="84">
        <f>(VLOOKUP($E84,$D$4:$AH$583,6,)/VLOOKUP($E84,$D$4:$AH$583,3,))*$F84</f>
        <v>1371564.7787756028</v>
      </c>
      <c r="J84" s="84">
        <f>(VLOOKUP($E84,$D$4:$AH$583,7,)/VLOOKUP($E84,$D$4:$AH$583,3,))*$F84</f>
        <v>883741.5663079028</v>
      </c>
      <c r="K84" s="84">
        <f>(VLOOKUP($E84,$D$4:$AH$583,8,)/VLOOKUP($E84,$D$4:$AH$583,3,))*$F84</f>
        <v>58393.180416794363</v>
      </c>
      <c r="L84" s="84">
        <f>(VLOOKUP($E84,$D$4:$AH$583,9,)/VLOOKUP($E84,$D$4:$AH$583,3,))*$F84</f>
        <v>2614.6200186624346</v>
      </c>
      <c r="M84" s="84">
        <f>(VLOOKUP($E84,$D$4:$AH$583,10,)/VLOOKUP($E84,$D$4:$AH$583,3,))*$F84</f>
        <v>0</v>
      </c>
      <c r="N84" s="84">
        <f>(VLOOKUP($E84,$D$4:$AH$583,11,)/VLOOKUP($E84,$D$4:$AH$583,3,))*$F84</f>
        <v>0</v>
      </c>
      <c r="O84" s="84">
        <f>(VLOOKUP($E84,$D$4:$AH$583,12,)/VLOOKUP($E84,$D$4:$AH$583,3,))*$F84</f>
        <v>0</v>
      </c>
      <c r="P84" s="84">
        <f>(VLOOKUP($E84,$D$4:$AH$583,13,)/VLOOKUP($E84,$D$4:$AH$583,3,))*$F84</f>
        <v>0</v>
      </c>
      <c r="Q84" s="84">
        <f>(VLOOKUP($E84,$D$4:$AH$583,14,)/VLOOKUP($E84,$D$4:$AH$583,3,))*$F84</f>
        <v>0</v>
      </c>
      <c r="R84" s="84">
        <f>(VLOOKUP($E84,$D$4:$AH$583,15,)/VLOOKUP($E84,$D$4:$AH$583,3,))*$F84</f>
        <v>0</v>
      </c>
      <c r="S84" s="84">
        <f>(VLOOKUP($E84,$D$4:$AH$583,16,)/VLOOKUP($E84,$D$4:$AH$583,3,))*$F84</f>
        <v>0</v>
      </c>
      <c r="T84" s="84">
        <f>SUM(G84:S84)</f>
        <v>12773136.739689153</v>
      </c>
      <c r="U84" s="85" t="str">
        <f>IF(ABS(F84-T84)&lt;0.01,"ok","err")</f>
        <v>ok</v>
      </c>
    </row>
    <row r="85" spans="1:21" s="28" customFormat="1" x14ac:dyDescent="0.2">
      <c r="F85" s="25"/>
    </row>
    <row r="86" spans="1:21" s="28" customFormat="1" x14ac:dyDescent="0.2">
      <c r="A86" s="81" t="s">
        <v>10</v>
      </c>
      <c r="B86" s="82"/>
      <c r="C86" s="82"/>
      <c r="D86" s="82"/>
      <c r="E86" s="82"/>
      <c r="F86" s="25"/>
    </row>
    <row r="87" spans="1:21" s="28" customFormat="1" x14ac:dyDescent="0.2">
      <c r="A87" s="86" t="s">
        <v>208</v>
      </c>
      <c r="C87" s="28" t="s">
        <v>95</v>
      </c>
      <c r="D87" s="28" t="s">
        <v>211</v>
      </c>
      <c r="E87" s="28" t="s">
        <v>323</v>
      </c>
      <c r="F87" s="84">
        <f>VLOOKUP(C87,'S5-Functional Assignment'!$C$1:$AP$743,16,)</f>
        <v>12205021.185890455</v>
      </c>
      <c r="G87" s="84">
        <f>(VLOOKUP($E87,$D$4:$AH$583,4,)/VLOOKUP($E87,$D$4:$AH$583,3,))*$F87</f>
        <v>7527726.5074098557</v>
      </c>
      <c r="H87" s="84">
        <f>(VLOOKUP($E87,$D$4:$AH$583,5,)/VLOOKUP($E87,$D$4:$AH$583,3,))*$F87</f>
        <v>803313.87454799819</v>
      </c>
      <c r="I87" s="84">
        <f>(VLOOKUP($E87,$D$4:$AH$583,6,)/VLOOKUP($E87,$D$4:$AH$583,3,))*$F87</f>
        <v>1702881.9336225635</v>
      </c>
      <c r="J87" s="84">
        <f>(VLOOKUP($E87,$D$4:$AH$583,7,)/VLOOKUP($E87,$D$4:$AH$583,3,))*$F87</f>
        <v>1799107.8649757453</v>
      </c>
      <c r="K87" s="84">
        <f>(VLOOKUP($E87,$D$4:$AH$583,8,)/VLOOKUP($E87,$D$4:$AH$583,3,))*$F87</f>
        <v>346968.45348766493</v>
      </c>
      <c r="L87" s="84">
        <f>(VLOOKUP($E87,$D$4:$AH$583,9,)/VLOOKUP($E87,$D$4:$AH$583,3,))*$F87</f>
        <v>25022.553769495513</v>
      </c>
      <c r="M87" s="84">
        <f>(VLOOKUP($E87,$D$4:$AH$583,10,)/VLOOKUP($E87,$D$4:$AH$583,3,))*$F87</f>
        <v>0</v>
      </c>
      <c r="N87" s="84">
        <f>(VLOOKUP($E87,$D$4:$AH$583,11,)/VLOOKUP($E87,$D$4:$AH$583,3,))*$F87</f>
        <v>0</v>
      </c>
      <c r="O87" s="84">
        <f>(VLOOKUP($E87,$D$4:$AH$583,12,)/VLOOKUP($E87,$D$4:$AH$583,3,))*$F87</f>
        <v>0</v>
      </c>
      <c r="P87" s="84">
        <f>(VLOOKUP($E87,$D$4:$AH$583,13,)/VLOOKUP($E87,$D$4:$AH$583,3,))*$F87</f>
        <v>0</v>
      </c>
      <c r="Q87" s="84">
        <f>(VLOOKUP($E87,$D$4:$AH$583,14,)/VLOOKUP($E87,$D$4:$AH$583,3,))*$F87</f>
        <v>0</v>
      </c>
      <c r="R87" s="84">
        <f>(VLOOKUP($E87,$D$4:$AH$583,15,)/VLOOKUP($E87,$D$4:$AH$583,3,))*$F87</f>
        <v>0</v>
      </c>
      <c r="S87" s="84">
        <f>(VLOOKUP($E87,$D$4:$AH$583,16,)/VLOOKUP($E87,$D$4:$AH$583,3,))*$F87</f>
        <v>0</v>
      </c>
      <c r="T87" s="35">
        <f>SUM(G87:S87)</f>
        <v>12205021.187813323</v>
      </c>
      <c r="U87" s="85" t="str">
        <f>IF(ABS(F87-T87)&lt;0.01,"ok","err")</f>
        <v>ok</v>
      </c>
    </row>
    <row r="88" spans="1:21" s="28" customFormat="1" x14ac:dyDescent="0.2">
      <c r="F88" s="25"/>
    </row>
    <row r="89" spans="1:21" s="28" customFormat="1" x14ac:dyDescent="0.2">
      <c r="A89" s="81" t="s">
        <v>11</v>
      </c>
      <c r="B89" s="82"/>
      <c r="C89" s="82"/>
      <c r="D89" s="82"/>
      <c r="E89" s="82"/>
      <c r="F89" s="25"/>
    </row>
    <row r="90" spans="1:21" s="28" customFormat="1" x14ac:dyDescent="0.2">
      <c r="A90" s="86" t="s">
        <v>208</v>
      </c>
      <c r="C90" s="28" t="s">
        <v>95</v>
      </c>
      <c r="D90" s="28" t="s">
        <v>257</v>
      </c>
      <c r="E90" s="28" t="s">
        <v>324</v>
      </c>
      <c r="F90" s="84">
        <f>VLOOKUP(C90,'S5-Functional Assignment'!$C$1:$AP$743,17,)</f>
        <v>265204.8779211854</v>
      </c>
      <c r="G90" s="84">
        <f>(VLOOKUP($E90,$D$4:$AH$583,4,)/VLOOKUP($E90,$D$4:$AH$583,3,))*$F90</f>
        <v>190731.89397004066</v>
      </c>
      <c r="H90" s="84">
        <f>(VLOOKUP($E90,$D$4:$AH$583,5,)/VLOOKUP($E90,$D$4:$AH$583,3,))*$F90</f>
        <v>20555.929269707322</v>
      </c>
      <c r="I90" s="84">
        <f>(VLOOKUP($E90,$D$4:$AH$583,6,)/VLOOKUP($E90,$D$4:$AH$583,3,))*$F90</f>
        <v>27079.984709601635</v>
      </c>
      <c r="J90" s="84">
        <f>(VLOOKUP($E90,$D$4:$AH$583,7,)/VLOOKUP($E90,$D$4:$AH$583,3,))*$F90</f>
        <v>25115.380464474481</v>
      </c>
      <c r="K90" s="84">
        <f>(VLOOKUP($E90,$D$4:$AH$583,8,)/VLOOKUP($E90,$D$4:$AH$583,3,))*$F90</f>
        <v>895.27854382786199</v>
      </c>
      <c r="L90" s="84">
        <f>(VLOOKUP($E90,$D$4:$AH$583,9,)/VLOOKUP($E90,$D$4:$AH$583,3,))*$F90</f>
        <v>75.128269412128276</v>
      </c>
      <c r="M90" s="84">
        <f>(VLOOKUP($E90,$D$4:$AH$583,10,)/VLOOKUP($E90,$D$4:$AH$583,3,))*$F90</f>
        <v>751.28269412128282</v>
      </c>
      <c r="N90" s="84">
        <f>(VLOOKUP($E90,$D$4:$AH$583,11,)/VLOOKUP($E90,$D$4:$AH$583,3,))*$F90</f>
        <v>0</v>
      </c>
      <c r="O90" s="84">
        <f>(VLOOKUP($E90,$D$4:$AH$583,12,)/VLOOKUP($E90,$D$4:$AH$583,3,))*$F90</f>
        <v>0</v>
      </c>
      <c r="P90" s="84">
        <f>(VLOOKUP($E90,$D$4:$AH$583,13,)/VLOOKUP($E90,$D$4:$AH$583,3,))*$F90</f>
        <v>0</v>
      </c>
      <c r="Q90" s="84">
        <f>(VLOOKUP($E90,$D$4:$AH$583,14,)/VLOOKUP($E90,$D$4:$AH$583,3,))*$F90</f>
        <v>0</v>
      </c>
      <c r="R90" s="84">
        <f>(VLOOKUP($E90,$D$4:$AH$583,15,)/VLOOKUP($E90,$D$4:$AH$583,3,))*$F90</f>
        <v>0</v>
      </c>
      <c r="S90" s="84">
        <f>(VLOOKUP($E90,$D$4:$AH$583,16,)/VLOOKUP($E90,$D$4:$AH$583,3,))*$F90</f>
        <v>0</v>
      </c>
      <c r="T90" s="35">
        <f>SUM(G90:S90)</f>
        <v>265204.87792118546</v>
      </c>
      <c r="U90" s="85" t="str">
        <f>IF(ABS(F90-T90)&lt;0.1,"ok","err")</f>
        <v>ok</v>
      </c>
    </row>
    <row r="91" spans="1:21" s="28" customFormat="1" x14ac:dyDescent="0.2">
      <c r="F91" s="25"/>
    </row>
    <row r="92" spans="1:21" s="28" customFormat="1" x14ac:dyDescent="0.2">
      <c r="A92" s="81" t="s">
        <v>12</v>
      </c>
      <c r="B92" s="82"/>
      <c r="C92" s="82"/>
      <c r="D92" s="82"/>
      <c r="E92" s="82"/>
      <c r="F92" s="25"/>
    </row>
    <row r="93" spans="1:21" s="28" customFormat="1" x14ac:dyDescent="0.2">
      <c r="A93" s="86" t="s">
        <v>208</v>
      </c>
      <c r="C93" s="28" t="s">
        <v>95</v>
      </c>
      <c r="D93" s="28" t="s">
        <v>210</v>
      </c>
      <c r="E93" s="28" t="s">
        <v>325</v>
      </c>
      <c r="F93" s="84">
        <f>VLOOKUP(C93,'S5-Functional Assignment'!$C$1:$AP$743,18,)</f>
        <v>168.2586486286248</v>
      </c>
      <c r="G93" s="84">
        <f>(VLOOKUP($E93,$D$4:$AH$583,4,)/VLOOKUP($E93,$D$4:$AH$583,3,))*$F93</f>
        <v>131.271838770263</v>
      </c>
      <c r="H93" s="84">
        <f>(VLOOKUP($E93,$D$4:$AH$583,5,)/VLOOKUP($E93,$D$4:$AH$583,3,))*$F93</f>
        <v>14.158799778666339</v>
      </c>
      <c r="I93" s="84">
        <f>(VLOOKUP($E93,$D$4:$AH$583,6,)/VLOOKUP($E93,$D$4:$AH$583,3,))*$F93</f>
        <v>18.560605324069485</v>
      </c>
      <c r="J93" s="84">
        <f>(VLOOKUP($E93,$D$4:$AH$583,7,)/VLOOKUP($E93,$D$4:$AH$583,3,))*$F93</f>
        <v>4.1531281482753011</v>
      </c>
      <c r="K93" s="84">
        <f>(VLOOKUP($E93,$D$4:$AH$583,8,)/VLOOKUP($E93,$D$4:$AH$583,3,))*$F93</f>
        <v>0.10133963293360171</v>
      </c>
      <c r="L93" s="84">
        <f>(VLOOKUP($E93,$D$4:$AH$583,9,)/VLOOKUP($E93,$D$4:$AH$583,3,))*$F93</f>
        <v>1.2936974417055536E-2</v>
      </c>
      <c r="M93" s="84">
        <f>(VLOOKUP($E93,$D$4:$AH$583,10,)/VLOOKUP($E93,$D$4:$AH$583,3,))*$F93</f>
        <v>0</v>
      </c>
      <c r="N93" s="84">
        <f>(VLOOKUP($E93,$D$4:$AH$583,11,)/VLOOKUP($E93,$D$4:$AH$583,3,))*$F93</f>
        <v>0</v>
      </c>
      <c r="O93" s="84">
        <f>(VLOOKUP($E93,$D$4:$AH$583,12,)/VLOOKUP($E93,$D$4:$AH$583,3,))*$F93</f>
        <v>0</v>
      </c>
      <c r="P93" s="84">
        <f>(VLOOKUP($E93,$D$4:$AH$583,13,)/VLOOKUP($E93,$D$4:$AH$583,3,))*$F93</f>
        <v>0</v>
      </c>
      <c r="Q93" s="84">
        <f>(VLOOKUP($E93,$D$4:$AH$583,14,)/VLOOKUP($E93,$D$4:$AH$583,3,))*$F93</f>
        <v>0</v>
      </c>
      <c r="R93" s="84">
        <f>(VLOOKUP($E93,$D$4:$AH$583,15,)/VLOOKUP($E93,$D$4:$AH$583,3,))*$F93</f>
        <v>0</v>
      </c>
      <c r="S93" s="84">
        <f>(VLOOKUP($E93,$D$4:$AH$583,16,)/VLOOKUP($E93,$D$4:$AH$583,3,))*$F93</f>
        <v>0</v>
      </c>
      <c r="T93" s="35">
        <f>SUM(G93:S93)</f>
        <v>168.25864862862477</v>
      </c>
      <c r="U93" s="85" t="str">
        <f>IF(ABS(F93-T93)&lt;0.01,"ok","err")</f>
        <v>ok</v>
      </c>
    </row>
    <row r="94" spans="1:21" s="28" customFormat="1" x14ac:dyDescent="0.2">
      <c r="F94" s="25"/>
    </row>
    <row r="95" spans="1:21" s="28" customFormat="1" x14ac:dyDescent="0.2">
      <c r="A95" s="28" t="s">
        <v>13</v>
      </c>
      <c r="D95" s="28" t="s">
        <v>212</v>
      </c>
      <c r="F95" s="84">
        <f>F57+F62+F67+F70+F73+F81+F84+F87+F90+F93</f>
        <v>136735987.63914844</v>
      </c>
      <c r="G95" s="84">
        <f t="shared" ref="G95:S95" si="9">G57+G62+G67+G70+G73+G81+G84+G87+G90+G93</f>
        <v>78471243.082553774</v>
      </c>
      <c r="H95" s="84">
        <f t="shared" si="9"/>
        <v>823883.96261748415</v>
      </c>
      <c r="I95" s="84">
        <f t="shared" si="9"/>
        <v>16781430.536424</v>
      </c>
      <c r="J95" s="84">
        <f t="shared" si="9"/>
        <v>27369587.237921342</v>
      </c>
      <c r="K95" s="84">
        <f t="shared" si="9"/>
        <v>1782589.9521513043</v>
      </c>
      <c r="L95" s="84">
        <f t="shared" si="9"/>
        <v>2563718.2331270636</v>
      </c>
      <c r="M95" s="84">
        <f t="shared" si="9"/>
        <v>8943534.7369507588</v>
      </c>
      <c r="N95" s="84">
        <f t="shared" si="9"/>
        <v>0</v>
      </c>
      <c r="O95" s="84">
        <f t="shared" si="9"/>
        <v>0</v>
      </c>
      <c r="P95" s="84">
        <f t="shared" si="9"/>
        <v>0</v>
      </c>
      <c r="Q95" s="84">
        <f t="shared" si="9"/>
        <v>0</v>
      </c>
      <c r="R95" s="84">
        <f t="shared" si="9"/>
        <v>0</v>
      </c>
      <c r="S95" s="84">
        <f t="shared" si="9"/>
        <v>0</v>
      </c>
      <c r="T95" s="35">
        <f>SUM(G95:S95)</f>
        <v>136735987.74174571</v>
      </c>
      <c r="U95" s="85" t="str">
        <f>IF(ABS(F95-T95)&lt;0.2,"ok","err")</f>
        <v>ok</v>
      </c>
    </row>
    <row r="96" spans="1:21" s="28" customFormat="1" x14ac:dyDescent="0.2"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35"/>
      <c r="U96" s="85"/>
    </row>
    <row r="97" spans="1:21" s="28" customFormat="1" x14ac:dyDescent="0.2"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35"/>
      <c r="U97" s="85"/>
    </row>
    <row r="98" spans="1:21" s="28" customFormat="1" x14ac:dyDescent="0.2"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35"/>
      <c r="U98" s="85"/>
    </row>
    <row r="99" spans="1:21" s="28" customFormat="1" x14ac:dyDescent="0.2">
      <c r="A99" s="7" t="s">
        <v>173</v>
      </c>
      <c r="B99" s="19"/>
      <c r="C99" s="19"/>
      <c r="D99" s="19"/>
      <c r="E99" s="19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35"/>
      <c r="U99" s="85"/>
    </row>
    <row r="100" spans="1:21" s="28" customFormat="1" x14ac:dyDescent="0.2"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35"/>
      <c r="U100" s="85"/>
    </row>
    <row r="101" spans="1:21" s="82" customFormat="1" x14ac:dyDescent="0.2">
      <c r="A101" s="81" t="s">
        <v>737</v>
      </c>
    </row>
    <row r="102" spans="1:21" s="28" customFormat="1" x14ac:dyDescent="0.2">
      <c r="A102" s="83" t="s">
        <v>207</v>
      </c>
      <c r="B102" s="82"/>
      <c r="C102" s="82" t="s">
        <v>93</v>
      </c>
      <c r="D102" s="82" t="s">
        <v>259</v>
      </c>
      <c r="E102" s="82" t="s">
        <v>312</v>
      </c>
      <c r="F102" s="84">
        <f>VLOOKUP(C102,'S5-Functional Assignment'!$C$1:$AP$743,5,)</f>
        <v>0</v>
      </c>
      <c r="G102" s="84">
        <f>(VLOOKUP($E102,$D$4:$AH$583,4,)/VLOOKUP($E102,$D$4:$AH$583,3,))*$F102</f>
        <v>0</v>
      </c>
      <c r="H102" s="84">
        <f>(VLOOKUP($E102,$D$4:$AH$583,5,)/VLOOKUP($E102,$D$4:$AH$583,3,))*$F102</f>
        <v>0</v>
      </c>
      <c r="I102" s="84">
        <f>(VLOOKUP($E102,$D$4:$AH$583,6,)/VLOOKUP($E102,$D$4:$AH$583,3,))*$F102</f>
        <v>0</v>
      </c>
      <c r="J102" s="84">
        <f>(VLOOKUP($E102,$D$4:$AH$583,7,)/VLOOKUP($E102,$D$4:$AH$583,3,))*$F102</f>
        <v>0</v>
      </c>
      <c r="K102" s="84">
        <f>(VLOOKUP($E102,$D$4:$AH$583,8,)/VLOOKUP($E102,$D$4:$AH$583,3,))*$F102</f>
        <v>0</v>
      </c>
      <c r="L102" s="84">
        <f>(VLOOKUP($E102,$D$4:$AH$583,9,)/VLOOKUP($E102,$D$4:$AH$583,3,))*$F102</f>
        <v>0</v>
      </c>
      <c r="M102" s="84">
        <f>(VLOOKUP($E102,$D$4:$AH$583,10,)/VLOOKUP($E102,$D$4:$AH$583,3,))*$F102</f>
        <v>0</v>
      </c>
      <c r="N102" s="84">
        <f>(VLOOKUP($E102,$D$4:$AH$583,11,)/VLOOKUP($E102,$D$4:$AH$583,3,))*$F102</f>
        <v>0</v>
      </c>
      <c r="O102" s="84">
        <f>(VLOOKUP($E102,$D$4:$AH$583,12,)/VLOOKUP($E102,$D$4:$AH$583,3,))*$F102</f>
        <v>0</v>
      </c>
      <c r="P102" s="84">
        <f>(VLOOKUP($E102,$D$4:$AH$583,13,)/VLOOKUP($E102,$D$4:$AH$583,3,))*$F102</f>
        <v>0</v>
      </c>
      <c r="Q102" s="84">
        <f>(VLOOKUP($E102,$D$4:$AH$583,14,)/VLOOKUP($E102,$D$4:$AH$583,3,))*$F102</f>
        <v>0</v>
      </c>
      <c r="R102" s="84">
        <f>(VLOOKUP($E102,$D$4:$AH$583,15,)/VLOOKUP($E102,$D$4:$AH$583,3,))*$F102</f>
        <v>0</v>
      </c>
      <c r="S102" s="84">
        <f>(VLOOKUP($E102,$D$4:$AH$583,16,)/VLOOKUP($E102,$D$4:$AH$583,3,))*$F102</f>
        <v>0</v>
      </c>
      <c r="T102" s="35">
        <f>SUM(G102:S102)</f>
        <v>0</v>
      </c>
      <c r="U102" s="85" t="str">
        <f>IF(ABS(F102-T102)&lt;0.01,"ok","err")</f>
        <v>ok</v>
      </c>
    </row>
    <row r="103" spans="1:21" s="28" customFormat="1" x14ac:dyDescent="0.2">
      <c r="A103" s="86" t="s">
        <v>228</v>
      </c>
      <c r="C103" s="28" t="s">
        <v>93</v>
      </c>
      <c r="D103" s="28" t="s">
        <v>269</v>
      </c>
      <c r="E103" s="28" t="s">
        <v>313</v>
      </c>
      <c r="F103" s="25">
        <f>VLOOKUP(C103,'S5-Functional Assignment'!$C$1:$AP$743,6,)</f>
        <v>0</v>
      </c>
      <c r="G103" s="84">
        <f>(VLOOKUP($E103,$D$4:$AH$583,4,)/VLOOKUP($E103,$D$4:$AH$583,3,))*$F103</f>
        <v>0</v>
      </c>
      <c r="H103" s="84">
        <f>(VLOOKUP($E103,$D$4:$AH$583,5,)/VLOOKUP($E103,$D$4:$AH$583,3,))*$F103</f>
        <v>0</v>
      </c>
      <c r="I103" s="84">
        <f>(VLOOKUP($E103,$D$4:$AH$583,6,)/VLOOKUP($E103,$D$4:$AH$583,3,))*$F103</f>
        <v>0</v>
      </c>
      <c r="J103" s="84">
        <f>(VLOOKUP($E103,$D$4:$AH$583,7,)/VLOOKUP($E103,$D$4:$AH$583,3,))*$F103</f>
        <v>0</v>
      </c>
      <c r="K103" s="84">
        <f>(VLOOKUP($E103,$D$4:$AH$583,8,)/VLOOKUP($E103,$D$4:$AH$583,3,))*$F103</f>
        <v>0</v>
      </c>
      <c r="L103" s="84">
        <f>(VLOOKUP($E103,$D$4:$AH$583,9,)/VLOOKUP($E103,$D$4:$AH$583,3,))*$F103</f>
        <v>0</v>
      </c>
      <c r="M103" s="84">
        <f>(VLOOKUP($E103,$D$4:$AH$583,10,)/VLOOKUP($E103,$D$4:$AH$583,3,))*$F103</f>
        <v>0</v>
      </c>
      <c r="N103" s="84">
        <f>(VLOOKUP($E103,$D$4:$AH$583,11,)/VLOOKUP($E103,$D$4:$AH$583,3,))*$F103</f>
        <v>0</v>
      </c>
      <c r="O103" s="84">
        <f>(VLOOKUP($E103,$D$4:$AH$583,12,)/VLOOKUP($E103,$D$4:$AH$583,3,))*$F103</f>
        <v>0</v>
      </c>
      <c r="P103" s="84">
        <f>(VLOOKUP($E103,$D$4:$AH$583,13,)/VLOOKUP($E103,$D$4:$AH$583,3,))*$F103</f>
        <v>0</v>
      </c>
      <c r="Q103" s="84">
        <f>(VLOOKUP($E103,$D$4:$AH$583,14,)/VLOOKUP($E103,$D$4:$AH$583,3,))*$F103</f>
        <v>0</v>
      </c>
      <c r="R103" s="84">
        <f>(VLOOKUP($E103,$D$4:$AH$583,15,)/VLOOKUP($E103,$D$4:$AH$583,3,))*$F103</f>
        <v>0</v>
      </c>
      <c r="S103" s="84">
        <f>(VLOOKUP($E103,$D$4:$AH$583,16,)/VLOOKUP($E103,$D$4:$AH$583,3,))*$F103</f>
        <v>0</v>
      </c>
      <c r="T103" s="25">
        <f>SUM(G103:S103)</f>
        <v>0</v>
      </c>
      <c r="U103" s="85" t="str">
        <f>IF(ABS(F103-T103)&lt;0.01,"ok","err")</f>
        <v>ok</v>
      </c>
    </row>
    <row r="104" spans="1:21" s="28" customFormat="1" x14ac:dyDescent="0.2">
      <c r="A104" s="28" t="s">
        <v>664</v>
      </c>
      <c r="D104" s="28" t="s">
        <v>334</v>
      </c>
      <c r="F104" s="84">
        <f t="shared" ref="F104:S104" si="10">F102+F103</f>
        <v>0</v>
      </c>
      <c r="G104" s="84">
        <f t="shared" si="10"/>
        <v>0</v>
      </c>
      <c r="H104" s="84">
        <f t="shared" si="10"/>
        <v>0</v>
      </c>
      <c r="I104" s="84">
        <f t="shared" si="10"/>
        <v>0</v>
      </c>
      <c r="J104" s="84">
        <f t="shared" si="10"/>
        <v>0</v>
      </c>
      <c r="K104" s="84">
        <f t="shared" si="10"/>
        <v>0</v>
      </c>
      <c r="L104" s="84">
        <f t="shared" si="10"/>
        <v>0</v>
      </c>
      <c r="M104" s="84">
        <f t="shared" si="10"/>
        <v>0</v>
      </c>
      <c r="N104" s="84">
        <f t="shared" si="10"/>
        <v>0</v>
      </c>
      <c r="O104" s="84">
        <f t="shared" si="10"/>
        <v>0</v>
      </c>
      <c r="P104" s="84">
        <f t="shared" si="10"/>
        <v>0</v>
      </c>
      <c r="Q104" s="84">
        <f t="shared" si="10"/>
        <v>0</v>
      </c>
      <c r="R104" s="84">
        <f t="shared" si="10"/>
        <v>0</v>
      </c>
      <c r="S104" s="84">
        <f t="shared" si="10"/>
        <v>0</v>
      </c>
      <c r="T104" s="35">
        <f>SUM(G104:S104)</f>
        <v>0</v>
      </c>
      <c r="U104" s="85" t="str">
        <f>IF(ABS(F104-T104)&lt;0.01,"ok","err")</f>
        <v>ok</v>
      </c>
    </row>
    <row r="105" spans="1:21" s="28" customFormat="1" x14ac:dyDescent="0.2">
      <c r="F105" s="25"/>
      <c r="G105" s="25"/>
    </row>
    <row r="106" spans="1:21" s="28" customFormat="1" x14ac:dyDescent="0.2">
      <c r="A106" s="74" t="s">
        <v>2</v>
      </c>
      <c r="B106" s="75"/>
      <c r="C106" s="75"/>
      <c r="D106" s="75"/>
      <c r="E106" s="75"/>
      <c r="F106" s="25"/>
      <c r="G106" s="25"/>
    </row>
    <row r="107" spans="1:21" s="28" customFormat="1" x14ac:dyDescent="0.2">
      <c r="A107" s="86" t="s">
        <v>207</v>
      </c>
      <c r="C107" s="28" t="s">
        <v>93</v>
      </c>
      <c r="D107" s="28" t="s">
        <v>260</v>
      </c>
      <c r="E107" s="28" t="s">
        <v>314</v>
      </c>
      <c r="F107" s="84">
        <f>VLOOKUP(C107,'S5-Functional Assignment'!$C$1:$AP$743,7,)</f>
        <v>434983.35820262518</v>
      </c>
      <c r="G107" s="84">
        <f>(VLOOKUP($E107,$D$4:$AH$583,4,)/VLOOKUP($E107,$D$4:$AH$583,3,))*$F107</f>
        <v>184774.79234675399</v>
      </c>
      <c r="H107" s="84">
        <f>(VLOOKUP($E107,$D$4:$AH$583,5,)/VLOOKUP($E107,$D$4:$AH$583,3,))*$F107</f>
        <v>0</v>
      </c>
      <c r="I107" s="84">
        <f>(VLOOKUP($E107,$D$4:$AH$583,6,)/VLOOKUP($E107,$D$4:$AH$583,3,))*$F107</f>
        <v>64486.168335207876</v>
      </c>
      <c r="J107" s="84">
        <f>(VLOOKUP($E107,$D$4:$AH$583,7,)/VLOOKUP($E107,$D$4:$AH$583,3,))*$F107</f>
        <v>185722.39752066333</v>
      </c>
      <c r="K107" s="84">
        <f>(VLOOKUP($E107,$D$4:$AH$583,8,)/VLOOKUP($E107,$D$4:$AH$583,3,))*$F107</f>
        <v>0</v>
      </c>
      <c r="L107" s="84">
        <f>(VLOOKUP($E107,$D$4:$AH$583,9,)/VLOOKUP($E107,$D$4:$AH$583,3,))*$F107</f>
        <v>0</v>
      </c>
      <c r="M107" s="84">
        <f>(VLOOKUP($E107,$D$4:$AH$583,10,)/VLOOKUP($E107,$D$4:$AH$583,3,))*$F107</f>
        <v>0</v>
      </c>
      <c r="N107" s="84">
        <f>(VLOOKUP($E107,$D$4:$AH$583,11,)/VLOOKUP($E107,$D$4:$AH$583,3,))*$F107</f>
        <v>0</v>
      </c>
      <c r="O107" s="84">
        <f>(VLOOKUP($E107,$D$4:$AH$583,12,)/VLOOKUP($E107,$D$4:$AH$583,3,))*$F107</f>
        <v>0</v>
      </c>
      <c r="P107" s="84">
        <f>(VLOOKUP($E107,$D$4:$AH$583,13,)/VLOOKUP($E107,$D$4:$AH$583,3,))*$F107</f>
        <v>0</v>
      </c>
      <c r="Q107" s="84">
        <f>(VLOOKUP($E107,$D$4:$AH$583,14,)/VLOOKUP($E107,$D$4:$AH$583,3,))*$F107</f>
        <v>0</v>
      </c>
      <c r="R107" s="84">
        <f>(VLOOKUP($E107,$D$4:$AH$583,15,)/VLOOKUP($E107,$D$4:$AH$583,3,))*$F107</f>
        <v>0</v>
      </c>
      <c r="S107" s="84">
        <f>(VLOOKUP($E107,$D$4:$AH$583,16,)/VLOOKUP($E107,$D$4:$AH$583,3,))*$F107</f>
        <v>0</v>
      </c>
      <c r="T107" s="35">
        <f>SUM(G107:S107)</f>
        <v>434983.35820262518</v>
      </c>
      <c r="U107" s="85" t="str">
        <f>IF(ABS(F107-T107)&lt;0.01,"ok","err")</f>
        <v>ok</v>
      </c>
    </row>
    <row r="108" spans="1:21" s="28" customFormat="1" x14ac:dyDescent="0.2">
      <c r="A108" s="28" t="s">
        <v>228</v>
      </c>
      <c r="C108" s="28" t="s">
        <v>93</v>
      </c>
      <c r="D108" s="28" t="s">
        <v>261</v>
      </c>
      <c r="E108" s="28" t="s">
        <v>315</v>
      </c>
      <c r="F108" s="25">
        <f>VLOOKUP(C108,'S5-Functional Assignment'!$C$1:$AP$743,8,)</f>
        <v>240426.74537086466</v>
      </c>
      <c r="G108" s="84">
        <f>(VLOOKUP($E108,$D$4:$AH$583,4,)/VLOOKUP($E108,$D$4:$AH$583,3,))*$F108</f>
        <v>102129.88867912811</v>
      </c>
      <c r="H108" s="84">
        <f>(VLOOKUP($E108,$D$4:$AH$583,5,)/VLOOKUP($E108,$D$4:$AH$583,3,))*$F108</f>
        <v>0</v>
      </c>
      <c r="I108" s="84">
        <f>(VLOOKUP($E108,$D$4:$AH$583,6,)/VLOOKUP($E108,$D$4:$AH$583,3,))*$F108</f>
        <v>35643.201703936291</v>
      </c>
      <c r="J108" s="84">
        <f>(VLOOKUP($E108,$D$4:$AH$583,7,)/VLOOKUP($E108,$D$4:$AH$583,3,))*$F108</f>
        <v>102653.65498780027</v>
      </c>
      <c r="K108" s="84">
        <f>(VLOOKUP($E108,$D$4:$AH$583,8,)/VLOOKUP($E108,$D$4:$AH$583,3,))*$F108</f>
        <v>0</v>
      </c>
      <c r="L108" s="84">
        <f>(VLOOKUP($E108,$D$4:$AH$583,9,)/VLOOKUP($E108,$D$4:$AH$583,3,))*$F108</f>
        <v>0</v>
      </c>
      <c r="M108" s="84">
        <f>(VLOOKUP($E108,$D$4:$AH$583,10,)/VLOOKUP($E108,$D$4:$AH$583,3,))*$F108</f>
        <v>0</v>
      </c>
      <c r="N108" s="84">
        <f>(VLOOKUP($E108,$D$4:$AH$583,11,)/VLOOKUP($E108,$D$4:$AH$583,3,))*$F108</f>
        <v>0</v>
      </c>
      <c r="O108" s="84">
        <f>(VLOOKUP($E108,$D$4:$AH$583,12,)/VLOOKUP($E108,$D$4:$AH$583,3,))*$F108</f>
        <v>0</v>
      </c>
      <c r="P108" s="84">
        <f>(VLOOKUP($E108,$D$4:$AH$583,13,)/VLOOKUP($E108,$D$4:$AH$583,3,))*$F108</f>
        <v>0</v>
      </c>
      <c r="Q108" s="84">
        <f>(VLOOKUP($E108,$D$4:$AH$583,14,)/VLOOKUP($E108,$D$4:$AH$583,3,))*$F108</f>
        <v>0</v>
      </c>
      <c r="R108" s="84">
        <f>(VLOOKUP($E108,$D$4:$AH$583,15,)/VLOOKUP($E108,$D$4:$AH$583,3,))*$F108</f>
        <v>0</v>
      </c>
      <c r="S108" s="84">
        <f>(VLOOKUP($E108,$D$4:$AH$583,16,)/VLOOKUP($E108,$D$4:$AH$583,3,))*$F108</f>
        <v>0</v>
      </c>
      <c r="T108" s="25">
        <f>SUM(G108:S108)</f>
        <v>240426.74537086469</v>
      </c>
      <c r="U108" s="85" t="str">
        <f>IF(ABS(F108-T108)&lt;0.01,"ok","err")</f>
        <v>ok</v>
      </c>
    </row>
    <row r="109" spans="1:21" s="28" customFormat="1" x14ac:dyDescent="0.2">
      <c r="A109" s="28" t="s">
        <v>229</v>
      </c>
      <c r="D109" s="28" t="s">
        <v>335</v>
      </c>
      <c r="F109" s="84">
        <f>SUM(F107:F108)</f>
        <v>675410.10357348982</v>
      </c>
      <c r="G109" s="84">
        <f t="shared" ref="G109:S109" si="11">G107+G108</f>
        <v>286904.68102588214</v>
      </c>
      <c r="H109" s="84">
        <f t="shared" si="11"/>
        <v>0</v>
      </c>
      <c r="I109" s="84">
        <f t="shared" si="11"/>
        <v>100129.37003914417</v>
      </c>
      <c r="J109" s="84">
        <f t="shared" si="11"/>
        <v>288376.05250846362</v>
      </c>
      <c r="K109" s="84">
        <f t="shared" si="11"/>
        <v>0</v>
      </c>
      <c r="L109" s="84">
        <f t="shared" si="11"/>
        <v>0</v>
      </c>
      <c r="M109" s="84">
        <f t="shared" si="11"/>
        <v>0</v>
      </c>
      <c r="N109" s="84">
        <f t="shared" si="11"/>
        <v>0</v>
      </c>
      <c r="O109" s="84">
        <f t="shared" si="11"/>
        <v>0</v>
      </c>
      <c r="P109" s="84">
        <f t="shared" si="11"/>
        <v>0</v>
      </c>
      <c r="Q109" s="84">
        <f t="shared" si="11"/>
        <v>0</v>
      </c>
      <c r="R109" s="84">
        <f t="shared" si="11"/>
        <v>0</v>
      </c>
      <c r="S109" s="84">
        <f t="shared" si="11"/>
        <v>0</v>
      </c>
      <c r="T109" s="35">
        <f>SUM(G109:S109)</f>
        <v>675410.10357348993</v>
      </c>
      <c r="U109" s="85" t="str">
        <f>IF(ABS(F109-T109)&lt;0.01,"ok","err")</f>
        <v>ok</v>
      </c>
    </row>
    <row r="110" spans="1:21" s="28" customFormat="1" x14ac:dyDescent="0.2">
      <c r="F110" s="25"/>
      <c r="G110" s="25"/>
    </row>
    <row r="111" spans="1:21" s="28" customFormat="1" x14ac:dyDescent="0.2">
      <c r="A111" s="81" t="s">
        <v>3</v>
      </c>
      <c r="B111" s="82"/>
      <c r="C111" s="82"/>
      <c r="D111" s="82"/>
      <c r="E111" s="82"/>
      <c r="F111" s="25"/>
      <c r="G111" s="25"/>
    </row>
    <row r="112" spans="1:21" s="28" customFormat="1" x14ac:dyDescent="0.2">
      <c r="A112" s="86" t="s">
        <v>207</v>
      </c>
      <c r="C112" s="28" t="s">
        <v>93</v>
      </c>
      <c r="D112" s="28" t="s">
        <v>262</v>
      </c>
      <c r="E112" s="17" t="s">
        <v>817</v>
      </c>
      <c r="F112" s="84">
        <f>VLOOKUP(C112,'S5-Functional Assignment'!$C$1:$AP$743,9,)</f>
        <v>7748256.9140584935</v>
      </c>
      <c r="G112" s="84">
        <f>(VLOOKUP($E112,$D$4:$AH$583,4,)/VLOOKUP($E112,$D$4:$AH$583,3,))*$F112</f>
        <v>2092207.0538177076</v>
      </c>
      <c r="H112" s="84">
        <f>(VLOOKUP($E112,$D$4:$AH$583,5,)/VLOOKUP($E112,$D$4:$AH$583,3,))*$F112</f>
        <v>0</v>
      </c>
      <c r="I112" s="84">
        <f>(VLOOKUP($E112,$D$4:$AH$583,6,)/VLOOKUP($E112,$D$4:$AH$583,3,))*$F112</f>
        <v>726953.29836038989</v>
      </c>
      <c r="J112" s="84">
        <f>(VLOOKUP($E112,$D$4:$AH$583,7,)/VLOOKUP($E112,$D$4:$AH$583,3,))*$F112</f>
        <v>1981320.6428405519</v>
      </c>
      <c r="K112" s="84">
        <f>(VLOOKUP($E112,$D$4:$AH$583,8,)/VLOOKUP($E112,$D$4:$AH$583,3,))*$F112</f>
        <v>158185.75069845218</v>
      </c>
      <c r="L112" s="84">
        <f>(VLOOKUP($E112,$D$4:$AH$583,9,)/VLOOKUP($E112,$D$4:$AH$583,3,))*$F112</f>
        <v>622802.15282585088</v>
      </c>
      <c r="M112" s="84">
        <f>(VLOOKUP($E112,$D$4:$AH$583,10,)/VLOOKUP($E112,$D$4:$AH$583,3,))*$F112</f>
        <v>2166788.0155155407</v>
      </c>
      <c r="N112" s="84">
        <f>(VLOOKUP($E112,$D$4:$AH$583,11,)/VLOOKUP($E112,$D$4:$AH$583,3,))*$F112</f>
        <v>0</v>
      </c>
      <c r="O112" s="84">
        <f>(VLOOKUP($E112,$D$4:$AH$583,12,)/VLOOKUP($E112,$D$4:$AH$583,3,))*$F112</f>
        <v>0</v>
      </c>
      <c r="P112" s="84">
        <f>(VLOOKUP($E112,$D$4:$AH$583,13,)/VLOOKUP($E112,$D$4:$AH$583,3,))*$F112</f>
        <v>0</v>
      </c>
      <c r="Q112" s="84">
        <f>(VLOOKUP($E112,$D$4:$AH$583,14,)/VLOOKUP($E112,$D$4:$AH$583,3,))*$F112</f>
        <v>0</v>
      </c>
      <c r="R112" s="84">
        <f>(VLOOKUP($E112,$D$4:$AH$583,15,)/VLOOKUP($E112,$D$4:$AH$583,3,))*$F112</f>
        <v>0</v>
      </c>
      <c r="S112" s="84">
        <f>(VLOOKUP($E112,$D$4:$AH$583,16,)/VLOOKUP($E112,$D$4:$AH$583,3,))*$F112</f>
        <v>0</v>
      </c>
      <c r="T112" s="35">
        <f>SUM(G112:S112)</f>
        <v>7748256.9140584935</v>
      </c>
      <c r="U112" s="85" t="str">
        <f>IF(ABS(F112-T112)&lt;0.01,"ok","err")</f>
        <v>ok</v>
      </c>
    </row>
    <row r="113" spans="1:21" s="28" customFormat="1" x14ac:dyDescent="0.2">
      <c r="A113" s="28" t="s">
        <v>228</v>
      </c>
      <c r="C113" s="28" t="s">
        <v>93</v>
      </c>
      <c r="D113" s="28" t="s">
        <v>263</v>
      </c>
      <c r="E113" s="28" t="s">
        <v>317</v>
      </c>
      <c r="F113" s="25">
        <f>VLOOKUP(C113,'S5-Functional Assignment'!$C$1:$AP$743,10,)</f>
        <v>172019.50793390346</v>
      </c>
      <c r="G113" s="84">
        <f>(VLOOKUP($E113,$D$4:$AH$583,4,)/VLOOKUP($E113,$D$4:$AH$583,3,))*$F113</f>
        <v>13543.781998642697</v>
      </c>
      <c r="H113" s="84">
        <f>(VLOOKUP($E113,$D$4:$AH$583,5,)/VLOOKUP($E113,$D$4:$AH$583,3,))*$F113</f>
        <v>0</v>
      </c>
      <c r="I113" s="84">
        <f>(VLOOKUP($E113,$D$4:$AH$583,6,)/VLOOKUP($E113,$D$4:$AH$583,3,))*$F113</f>
        <v>4965.8688270548928</v>
      </c>
      <c r="J113" s="84">
        <f>(VLOOKUP($E113,$D$4:$AH$583,7,)/VLOOKUP($E113,$D$4:$AH$583,3,))*$F113</f>
        <v>21966.625973477079</v>
      </c>
      <c r="K113" s="84">
        <f>(VLOOKUP($E113,$D$4:$AH$583,8,)/VLOOKUP($E113,$D$4:$AH$583,3,))*$F113</f>
        <v>15928.792403296551</v>
      </c>
      <c r="L113" s="84">
        <f>(VLOOKUP($E113,$D$4:$AH$583,9,)/VLOOKUP($E113,$D$4:$AH$583,3,))*$F113</f>
        <v>22295.553615065979</v>
      </c>
      <c r="M113" s="84">
        <f>(VLOOKUP($E113,$D$4:$AH$583,10,)/VLOOKUP($E113,$D$4:$AH$583,3,))*$F113</f>
        <v>93318.885145312888</v>
      </c>
      <c r="N113" s="84">
        <f>(VLOOKUP($E113,$D$4:$AH$583,11,)/VLOOKUP($E113,$D$4:$AH$583,3,))*$F113</f>
        <v>0</v>
      </c>
      <c r="O113" s="84">
        <f>(VLOOKUP($E113,$D$4:$AH$583,12,)/VLOOKUP($E113,$D$4:$AH$583,3,))*$F113</f>
        <v>0</v>
      </c>
      <c r="P113" s="84">
        <f>(VLOOKUP($E113,$D$4:$AH$583,13,)/VLOOKUP($E113,$D$4:$AH$583,3,))*$F113</f>
        <v>0</v>
      </c>
      <c r="Q113" s="84">
        <f>(VLOOKUP($E113,$D$4:$AH$583,14,)/VLOOKUP($E113,$D$4:$AH$583,3,))*$F113</f>
        <v>0</v>
      </c>
      <c r="R113" s="84">
        <f>(VLOOKUP($E113,$D$4:$AH$583,15,)/VLOOKUP($E113,$D$4:$AH$583,3,))*$F113</f>
        <v>0</v>
      </c>
      <c r="S113" s="84">
        <f>(VLOOKUP($E113,$D$4:$AH$583,16,)/VLOOKUP($E113,$D$4:$AH$583,3,))*$F113</f>
        <v>0</v>
      </c>
      <c r="T113" s="25">
        <f>SUM(G113:S113)</f>
        <v>172019.5079628501</v>
      </c>
      <c r="U113" s="85" t="str">
        <f>IF(ABS(F113-T113)&lt;0.01,"ok","err")</f>
        <v>ok</v>
      </c>
    </row>
    <row r="114" spans="1:21" s="28" customFormat="1" x14ac:dyDescent="0.2">
      <c r="A114" s="28" t="s">
        <v>230</v>
      </c>
      <c r="D114" s="28" t="s">
        <v>670</v>
      </c>
      <c r="F114" s="84">
        <f>SUM(F112:F113)</f>
        <v>7920276.4219923969</v>
      </c>
      <c r="G114" s="84">
        <f t="shared" ref="G114:S114" si="12">G112+G113</f>
        <v>2105750.8358163503</v>
      </c>
      <c r="H114" s="84">
        <f t="shared" si="12"/>
        <v>0</v>
      </c>
      <c r="I114" s="84">
        <f t="shared" si="12"/>
        <v>731919.16718744475</v>
      </c>
      <c r="J114" s="84">
        <f t="shared" si="12"/>
        <v>2003287.2688140289</v>
      </c>
      <c r="K114" s="84">
        <f t="shared" si="12"/>
        <v>174114.54310174871</v>
      </c>
      <c r="L114" s="84">
        <f t="shared" si="12"/>
        <v>645097.70644091687</v>
      </c>
      <c r="M114" s="84">
        <f t="shared" si="12"/>
        <v>2260106.9006608538</v>
      </c>
      <c r="N114" s="84">
        <f t="shared" si="12"/>
        <v>0</v>
      </c>
      <c r="O114" s="84">
        <f t="shared" si="12"/>
        <v>0</v>
      </c>
      <c r="P114" s="84">
        <f t="shared" si="12"/>
        <v>0</v>
      </c>
      <c r="Q114" s="84">
        <f t="shared" si="12"/>
        <v>0</v>
      </c>
      <c r="R114" s="84">
        <f t="shared" si="12"/>
        <v>0</v>
      </c>
      <c r="S114" s="84">
        <f t="shared" si="12"/>
        <v>0</v>
      </c>
      <c r="T114" s="35">
        <f>SUM(G114:S114)</f>
        <v>7920276.4220213434</v>
      </c>
      <c r="U114" s="85" t="str">
        <f>IF(ABS(F114-T114)&lt;0.01,"ok","err")</f>
        <v>ok</v>
      </c>
    </row>
    <row r="115" spans="1:21" s="28" customFormat="1" x14ac:dyDescent="0.2">
      <c r="F115" s="25"/>
    </row>
    <row r="116" spans="1:21" s="28" customFormat="1" x14ac:dyDescent="0.2">
      <c r="A116" s="1" t="s">
        <v>5</v>
      </c>
      <c r="B116" s="19"/>
      <c r="C116" s="19"/>
      <c r="D116" s="19"/>
      <c r="E116" s="19"/>
      <c r="F116" s="25"/>
    </row>
    <row r="117" spans="1:21" s="28" customFormat="1" x14ac:dyDescent="0.2">
      <c r="A117" s="9" t="s">
        <v>228</v>
      </c>
      <c r="B117" s="19"/>
      <c r="C117" s="19" t="s">
        <v>93</v>
      </c>
      <c r="D117" s="19" t="s">
        <v>264</v>
      </c>
      <c r="E117" s="19" t="s">
        <v>318</v>
      </c>
      <c r="F117" s="84">
        <f>VLOOKUP(C117,'S5-Functional Assignment'!$C$1:$AP$743,11,)</f>
        <v>689939.76684603037</v>
      </c>
      <c r="G117" s="84">
        <f>(VLOOKUP($E117,$D$4:$AH$583,4,)/VLOOKUP($E117,$D$4:$AH$583,3,))*$F117</f>
        <v>162972.35215413035</v>
      </c>
      <c r="H117" s="84">
        <f>(VLOOKUP($E117,$D$4:$AH$583,5,)/VLOOKUP($E117,$D$4:$AH$583,3,))*$F117</f>
        <v>0</v>
      </c>
      <c r="I117" s="84">
        <f>(VLOOKUP($E117,$D$4:$AH$583,6,)/VLOOKUP($E117,$D$4:$AH$583,3,))*$F117</f>
        <v>59754.3081626028</v>
      </c>
      <c r="J117" s="84">
        <f>(VLOOKUP($E117,$D$4:$AH$583,7,)/VLOOKUP($E117,$D$4:$AH$583,3,))*$F117</f>
        <v>264324.44823361316</v>
      </c>
      <c r="K117" s="84">
        <f>(VLOOKUP($E117,$D$4:$AH$583,8,)/VLOOKUP($E117,$D$4:$AH$583,3,))*$F117</f>
        <v>191671.18646772648</v>
      </c>
      <c r="L117" s="84">
        <f>(VLOOKUP($E117,$D$4:$AH$583,9,)/VLOOKUP($E117,$D$4:$AH$583,3,))*$F117</f>
        <v>11217.47177364834</v>
      </c>
      <c r="M117" s="84">
        <f>(VLOOKUP($E117,$D$4:$AH$583,10,)/VLOOKUP($E117,$D$4:$AH$583,3,))*$F117</f>
        <v>0</v>
      </c>
      <c r="N117" s="84">
        <f>(VLOOKUP($E117,$D$4:$AH$583,11,)/VLOOKUP($E117,$D$4:$AH$583,3,))*$F117</f>
        <v>0</v>
      </c>
      <c r="O117" s="84">
        <f>(VLOOKUP($E117,$D$4:$AH$583,12,)/VLOOKUP($E117,$D$4:$AH$583,3,))*$F117</f>
        <v>0</v>
      </c>
      <c r="P117" s="84">
        <f>(VLOOKUP($E117,$D$4:$AH$583,13,)/VLOOKUP($E117,$D$4:$AH$583,3,))*$F117</f>
        <v>0</v>
      </c>
      <c r="Q117" s="84">
        <f>(VLOOKUP($E117,$D$4:$AH$583,14,)/VLOOKUP($E117,$D$4:$AH$583,3,))*$F117</f>
        <v>0</v>
      </c>
      <c r="R117" s="84">
        <f>(VLOOKUP($E117,$D$4:$AH$583,15,)/VLOOKUP($E117,$D$4:$AH$583,3,))*$F117</f>
        <v>0</v>
      </c>
      <c r="S117" s="84">
        <f>(VLOOKUP($E117,$D$4:$AH$583,16,)/VLOOKUP($E117,$D$4:$AH$583,3,))*$F117</f>
        <v>0</v>
      </c>
      <c r="T117" s="35">
        <f>SUM(G117:S117)</f>
        <v>689939.76679172111</v>
      </c>
      <c r="U117" s="85" t="str">
        <f>IF(ABS(F117-T117)&lt;0.01,"ok","err")</f>
        <v>ok</v>
      </c>
    </row>
    <row r="118" spans="1:21" s="28" customFormat="1" x14ac:dyDescent="0.2">
      <c r="A118" s="86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85"/>
    </row>
    <row r="119" spans="1:21" s="28" customFormat="1" x14ac:dyDescent="0.2">
      <c r="A119" s="1" t="s">
        <v>6</v>
      </c>
      <c r="B119" s="19"/>
      <c r="C119" s="19"/>
      <c r="D119" s="19"/>
      <c r="E119" s="19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85"/>
    </row>
    <row r="120" spans="1:21" s="28" customFormat="1" x14ac:dyDescent="0.2">
      <c r="A120" s="86" t="s">
        <v>207</v>
      </c>
      <c r="C120" s="28" t="s">
        <v>93</v>
      </c>
      <c r="D120" s="28" t="s">
        <v>265</v>
      </c>
      <c r="E120" s="17" t="s">
        <v>823</v>
      </c>
      <c r="F120" s="84">
        <f>VLOOKUP(C120,'S5-Functional Assignment'!$C$1:$AP$743,12,)</f>
        <v>99298.86267444602</v>
      </c>
      <c r="G120" s="84">
        <f>(VLOOKUP($E120,$D$4:$AH$583,4,)/VLOOKUP($E120,$D$4:$AH$583,3,))*$F120</f>
        <v>18612.877380949729</v>
      </c>
      <c r="H120" s="84">
        <f>(VLOOKUP($E120,$D$4:$AH$583,5,)/VLOOKUP($E120,$D$4:$AH$583,3,))*$F120</f>
        <v>54966.922978831943</v>
      </c>
      <c r="I120" s="84">
        <f>(VLOOKUP($E120,$D$4:$AH$583,6,)/VLOOKUP($E120,$D$4:$AH$583,3,))*$F120</f>
        <v>6467.1862086350748</v>
      </c>
      <c r="J120" s="84">
        <f>(VLOOKUP($E120,$D$4:$AH$583,7,)/VLOOKUP($E120,$D$4:$AH$583,3,))*$F120</f>
        <v>17626.399887259358</v>
      </c>
      <c r="K120" s="84">
        <f>(VLOOKUP($E120,$D$4:$AH$583,8,)/VLOOKUP($E120,$D$4:$AH$583,3,))*$F120</f>
        <v>1407.266061832285</v>
      </c>
      <c r="L120" s="84">
        <f>(VLOOKUP($E120,$D$4:$AH$583,9,)/VLOOKUP($E120,$D$4:$AH$583,3,))*$F120</f>
        <v>218.21038559060074</v>
      </c>
      <c r="M120" s="84">
        <f>(VLOOKUP($E120,$D$4:$AH$583,10,)/VLOOKUP($E120,$D$4:$AH$583,3,))*$F120</f>
        <v>0</v>
      </c>
      <c r="N120" s="84">
        <f>(VLOOKUP($E120,$D$4:$AH$583,11,)/VLOOKUP($E120,$D$4:$AH$583,3,))*$F120</f>
        <v>0</v>
      </c>
      <c r="O120" s="84">
        <f>(VLOOKUP($E120,$D$4:$AH$583,12,)/VLOOKUP($E120,$D$4:$AH$583,3,))*$F120</f>
        <v>0</v>
      </c>
      <c r="P120" s="84">
        <f>(VLOOKUP($E120,$D$4:$AH$583,13,)/VLOOKUP($E120,$D$4:$AH$583,3,))*$F120</f>
        <v>0</v>
      </c>
      <c r="Q120" s="84">
        <f>(VLOOKUP($E120,$D$4:$AH$583,14,)/VLOOKUP($E120,$D$4:$AH$583,3,))*$F120</f>
        <v>0</v>
      </c>
      <c r="R120" s="84">
        <f>(VLOOKUP($E120,$D$4:$AH$583,15,)/VLOOKUP($E120,$D$4:$AH$583,3,))*$F120</f>
        <v>0</v>
      </c>
      <c r="S120" s="84">
        <f>(VLOOKUP($E120,$D$4:$AH$583,16,)/VLOOKUP($E120,$D$4:$AH$583,3,))*$F120</f>
        <v>0</v>
      </c>
      <c r="T120" s="35">
        <f>SUM(G120:S120)</f>
        <v>99298.862903098998</v>
      </c>
      <c r="U120" s="85" t="str">
        <f>IF(ABS(F120-T120)&lt;0.01,"ok","err")</f>
        <v>ok</v>
      </c>
    </row>
    <row r="121" spans="1:21" s="28" customFormat="1" x14ac:dyDescent="0.2">
      <c r="A121" s="86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35"/>
      <c r="U121" s="85"/>
    </row>
    <row r="122" spans="1:21" s="28" customFormat="1" x14ac:dyDescent="0.2">
      <c r="A122" s="7" t="s">
        <v>187</v>
      </c>
      <c r="B122" s="19"/>
      <c r="C122" s="19"/>
      <c r="D122" s="19"/>
      <c r="E122" s="19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35"/>
      <c r="U122" s="85"/>
    </row>
    <row r="123" spans="1:21" s="28" customFormat="1" x14ac:dyDescent="0.2">
      <c r="F123" s="25"/>
    </row>
    <row r="124" spans="1:21" s="28" customFormat="1" x14ac:dyDescent="0.2">
      <c r="A124" s="81" t="s">
        <v>7</v>
      </c>
      <c r="B124" s="82"/>
      <c r="C124" s="82"/>
      <c r="D124" s="82"/>
      <c r="E124" s="82"/>
      <c r="F124" s="25"/>
    </row>
    <row r="125" spans="1:21" s="28" customFormat="1" x14ac:dyDescent="0.2">
      <c r="A125" s="86" t="s">
        <v>207</v>
      </c>
      <c r="C125" s="28" t="s">
        <v>93</v>
      </c>
      <c r="D125" s="28" t="s">
        <v>266</v>
      </c>
      <c r="E125" s="17" t="s">
        <v>825</v>
      </c>
      <c r="F125" s="84">
        <f>VLOOKUP(C125,'S5-Functional Assignment'!$C$1:$AP$743,13,)</f>
        <v>776431.55366657977</v>
      </c>
      <c r="G125" s="84">
        <f>(VLOOKUP($E125,$D$4:$AH$583,4,)/VLOOKUP($E125,$D$4:$AH$583,3,))*$F125</f>
        <v>340926.87091430201</v>
      </c>
      <c r="H125" s="84">
        <f>(VLOOKUP($E125,$D$4:$AH$583,5,)/VLOOKUP($E125,$D$4:$AH$583,3,))*$F125</f>
        <v>1090.1220273483402</v>
      </c>
      <c r="I125" s="84">
        <f>(VLOOKUP($E125,$D$4:$AH$583,6,)/VLOOKUP($E125,$D$4:$AH$583,3,))*$F125</f>
        <v>117767.20949137944</v>
      </c>
      <c r="J125" s="84">
        <f>(VLOOKUP($E125,$D$4:$AH$583,7,)/VLOOKUP($E125,$D$4:$AH$583,3,))*$F125</f>
        <v>286781.55623799196</v>
      </c>
      <c r="K125" s="84">
        <f>(VLOOKUP($E125,$D$4:$AH$583,8,)/VLOOKUP($E125,$D$4:$AH$583,3,))*$F125</f>
        <v>25856.496220347544</v>
      </c>
      <c r="L125" s="84">
        <f>(VLOOKUP($E125,$D$4:$AH$583,9,)/VLOOKUP($E125,$D$4:$AH$583,3,))*$F125</f>
        <v>4009.3029763808563</v>
      </c>
      <c r="M125" s="84">
        <f>(VLOOKUP($E125,$D$4:$AH$583,10,)/VLOOKUP($E125,$D$4:$AH$583,3,))*$F125</f>
        <v>0</v>
      </c>
      <c r="N125" s="84">
        <f>(VLOOKUP($E125,$D$4:$AH$583,11,)/VLOOKUP($E125,$D$4:$AH$583,3,))*$F125</f>
        <v>0</v>
      </c>
      <c r="O125" s="84">
        <f>(VLOOKUP($E125,$D$4:$AH$583,12,)/VLOOKUP($E125,$D$4:$AH$583,3,))*$F125</f>
        <v>0</v>
      </c>
      <c r="P125" s="84">
        <f>(VLOOKUP($E125,$D$4:$AH$583,13,)/VLOOKUP($E125,$D$4:$AH$583,3,))*$F125</f>
        <v>0</v>
      </c>
      <c r="Q125" s="84">
        <f>(VLOOKUP($E125,$D$4:$AH$583,14,)/VLOOKUP($E125,$D$4:$AH$583,3,))*$F125</f>
        <v>0</v>
      </c>
      <c r="R125" s="84">
        <f>(VLOOKUP($E125,$D$4:$AH$583,15,)/VLOOKUP($E125,$D$4:$AH$583,3,))*$F125</f>
        <v>0</v>
      </c>
      <c r="S125" s="84">
        <f>(VLOOKUP($E125,$D$4:$AH$583,16,)/VLOOKUP($E125,$D$4:$AH$583,3,))*$F125</f>
        <v>0</v>
      </c>
      <c r="T125" s="35">
        <f>SUM(G125:S125)</f>
        <v>776431.55786775018</v>
      </c>
      <c r="U125" s="85" t="str">
        <f>IF(ABS(F125-T125)&lt;0.01,"ok","err")</f>
        <v>ok</v>
      </c>
    </row>
    <row r="126" spans="1:21" s="28" customFormat="1" x14ac:dyDescent="0.2">
      <c r="A126" s="86" t="s">
        <v>208</v>
      </c>
      <c r="C126" s="28" t="s">
        <v>93</v>
      </c>
      <c r="D126" s="28" t="s">
        <v>267</v>
      </c>
      <c r="E126" s="17" t="s">
        <v>867</v>
      </c>
      <c r="F126" s="25">
        <f>VLOOKUP(C126,'S5-Functional Assignment'!$C$1:$AP$743,14,)</f>
        <v>1908324.8559688968</v>
      </c>
      <c r="G126" s="84">
        <f>(VLOOKUP($E126,$D$4:$AH$583,4,)/VLOOKUP($E126,$D$4:$AH$583,3,))*$F126</f>
        <v>1620211.2722334084</v>
      </c>
      <c r="H126" s="84">
        <f>(VLOOKUP($E126,$D$4:$AH$583,5,)/VLOOKUP($E126,$D$4:$AH$583,3,))*$F126</f>
        <v>2679.3179012420478</v>
      </c>
      <c r="I126" s="84">
        <f>(VLOOKUP($E126,$D$4:$AH$583,6,)/VLOOKUP($E126,$D$4:$AH$583,3,))*$F126</f>
        <v>230036.49554959408</v>
      </c>
      <c r="J126" s="84">
        <f>(VLOOKUP($E126,$D$4:$AH$583,7,)/VLOOKUP($E126,$D$4:$AH$583,3,))*$F126</f>
        <v>53336.940256782706</v>
      </c>
      <c r="K126" s="84">
        <f>(VLOOKUP($E126,$D$4:$AH$583,8,)/VLOOKUP($E126,$D$4:$AH$583,3,))*$F126</f>
        <v>1901.281896679611</v>
      </c>
      <c r="L126" s="84">
        <f>(VLOOKUP($E126,$D$4:$AH$583,9,)/VLOOKUP($E126,$D$4:$AH$583,3,))*$F126</f>
        <v>159.54813118989742</v>
      </c>
      <c r="M126" s="84">
        <f>(VLOOKUP($E126,$D$4:$AH$583,10,)/VLOOKUP($E126,$D$4:$AH$583,3,))*$F126</f>
        <v>0</v>
      </c>
      <c r="N126" s="84">
        <f>(VLOOKUP($E126,$D$4:$AH$583,11,)/VLOOKUP($E126,$D$4:$AH$583,3,))*$F126</f>
        <v>0</v>
      </c>
      <c r="O126" s="84">
        <f>(VLOOKUP($E126,$D$4:$AH$583,12,)/VLOOKUP($E126,$D$4:$AH$583,3,))*$F126</f>
        <v>0</v>
      </c>
      <c r="P126" s="84">
        <f>(VLOOKUP($E126,$D$4:$AH$583,13,)/VLOOKUP($E126,$D$4:$AH$583,3,))*$F126</f>
        <v>0</v>
      </c>
      <c r="Q126" s="84">
        <f>(VLOOKUP($E126,$D$4:$AH$583,14,)/VLOOKUP($E126,$D$4:$AH$583,3,))*$F126</f>
        <v>0</v>
      </c>
      <c r="R126" s="84">
        <f>(VLOOKUP($E126,$D$4:$AH$583,15,)/VLOOKUP($E126,$D$4:$AH$583,3,))*$F126</f>
        <v>0</v>
      </c>
      <c r="S126" s="84">
        <f>(VLOOKUP($E126,$D$4:$AH$583,16,)/VLOOKUP($E126,$D$4:$AH$583,3,))*$F126</f>
        <v>0</v>
      </c>
      <c r="T126" s="25">
        <f>SUM(G126:S126)</f>
        <v>1908324.855968897</v>
      </c>
      <c r="U126" s="85" t="str">
        <f>IF(ABS(F126-T126)&lt;0.01,"ok","err")</f>
        <v>ok</v>
      </c>
    </row>
    <row r="127" spans="1:21" s="28" customFormat="1" x14ac:dyDescent="0.2">
      <c r="A127" s="28" t="s">
        <v>231</v>
      </c>
      <c r="F127" s="25">
        <f>SUM(F125:F126)</f>
        <v>2684756.4096354768</v>
      </c>
      <c r="G127" s="84">
        <f t="shared" ref="G127:S127" si="13">G125+G126</f>
        <v>1961138.1431477105</v>
      </c>
      <c r="H127" s="84">
        <f t="shared" si="13"/>
        <v>3769.4399285903883</v>
      </c>
      <c r="I127" s="84">
        <f t="shared" si="13"/>
        <v>347803.70504097349</v>
      </c>
      <c r="J127" s="84">
        <f t="shared" si="13"/>
        <v>340118.49649477465</v>
      </c>
      <c r="K127" s="84">
        <f t="shared" si="13"/>
        <v>27757.778117027156</v>
      </c>
      <c r="L127" s="84">
        <f t="shared" si="13"/>
        <v>4168.8511075707538</v>
      </c>
      <c r="M127" s="84">
        <f t="shared" si="13"/>
        <v>0</v>
      </c>
      <c r="N127" s="84">
        <f t="shared" si="13"/>
        <v>0</v>
      </c>
      <c r="O127" s="84">
        <f t="shared" si="13"/>
        <v>0</v>
      </c>
      <c r="P127" s="84">
        <f t="shared" si="13"/>
        <v>0</v>
      </c>
      <c r="Q127" s="84">
        <f t="shared" si="13"/>
        <v>0</v>
      </c>
      <c r="R127" s="84">
        <f t="shared" si="13"/>
        <v>0</v>
      </c>
      <c r="S127" s="84">
        <f t="shared" si="13"/>
        <v>0</v>
      </c>
      <c r="T127" s="35">
        <f>SUM(G127:S127)</f>
        <v>2684756.4138366468</v>
      </c>
      <c r="U127" s="85" t="str">
        <f>IF(ABS(F127-T127)&lt;0.01,"ok","err")</f>
        <v>ok</v>
      </c>
    </row>
    <row r="128" spans="1:21" s="28" customFormat="1" x14ac:dyDescent="0.2">
      <c r="F128" s="25"/>
    </row>
    <row r="129" spans="1:21" s="28" customFormat="1" x14ac:dyDescent="0.2">
      <c r="A129" s="81" t="s">
        <v>9</v>
      </c>
      <c r="B129" s="82"/>
      <c r="C129" s="82"/>
      <c r="D129" s="82"/>
      <c r="E129" s="82"/>
      <c r="F129" s="25"/>
    </row>
    <row r="130" spans="1:21" s="28" customFormat="1" x14ac:dyDescent="0.2">
      <c r="A130" s="86" t="s">
        <v>208</v>
      </c>
      <c r="C130" s="28" t="s">
        <v>93</v>
      </c>
      <c r="D130" s="28" t="s">
        <v>261</v>
      </c>
      <c r="E130" s="17" t="s">
        <v>843</v>
      </c>
      <c r="F130" s="84">
        <f>VLOOKUP(C130,'S5-Functional Assignment'!$C$1:$AP$743,15,)</f>
        <v>727316.66987595172</v>
      </c>
      <c r="G130" s="84">
        <f>(VLOOKUP($E130,$D$4:$AH$583,4,)/VLOOKUP($E130,$D$4:$AH$583,3,))*$F130</f>
        <v>541421.12698636821</v>
      </c>
      <c r="H130" s="84">
        <f>(VLOOKUP($E130,$D$4:$AH$583,5,)/VLOOKUP($E130,$D$4:$AH$583,3,))*$F130</f>
        <v>65964.138864739463</v>
      </c>
      <c r="I130" s="84">
        <f>(VLOOKUP($E130,$D$4:$AH$583,6,)/VLOOKUP($E130,$D$4:$AH$583,3,))*$F130</f>
        <v>71015.276540457053</v>
      </c>
      <c r="J130" s="84">
        <f>(VLOOKUP($E130,$D$4:$AH$583,7,)/VLOOKUP($E130,$D$4:$AH$583,3,))*$F130</f>
        <v>45757.336943048031</v>
      </c>
      <c r="K130" s="84">
        <f>(VLOOKUP($E130,$D$4:$AH$583,8,)/VLOOKUP($E130,$D$4:$AH$583,3,))*$F130</f>
        <v>3023.4137822329562</v>
      </c>
      <c r="L130" s="84">
        <f>(VLOOKUP($E130,$D$4:$AH$583,9,)/VLOOKUP($E130,$D$4:$AH$583,3,))*$F130</f>
        <v>135.37673651789359</v>
      </c>
      <c r="M130" s="84">
        <f>(VLOOKUP($E130,$D$4:$AH$583,10,)/VLOOKUP($E130,$D$4:$AH$583,3,))*$F130</f>
        <v>0</v>
      </c>
      <c r="N130" s="84">
        <f>(VLOOKUP($E130,$D$4:$AH$583,11,)/VLOOKUP($E130,$D$4:$AH$583,3,))*$F130</f>
        <v>0</v>
      </c>
      <c r="O130" s="84">
        <f>(VLOOKUP($E130,$D$4:$AH$583,12,)/VLOOKUP($E130,$D$4:$AH$583,3,))*$F130</f>
        <v>0</v>
      </c>
      <c r="P130" s="84">
        <f>(VLOOKUP($E130,$D$4:$AH$583,13,)/VLOOKUP($E130,$D$4:$AH$583,3,))*$F130</f>
        <v>0</v>
      </c>
      <c r="Q130" s="84">
        <f>(VLOOKUP($E130,$D$4:$AH$583,14,)/VLOOKUP($E130,$D$4:$AH$583,3,))*$F130</f>
        <v>0</v>
      </c>
      <c r="R130" s="84">
        <f>(VLOOKUP($E130,$D$4:$AH$583,15,)/VLOOKUP($E130,$D$4:$AH$583,3,))*$F130</f>
        <v>0</v>
      </c>
      <c r="S130" s="84">
        <f>(VLOOKUP($E130,$D$4:$AH$583,16,)/VLOOKUP($E130,$D$4:$AH$583,3,))*$F130</f>
        <v>0</v>
      </c>
      <c r="T130" s="84">
        <f>SUM(G130:S130)</f>
        <v>727316.66985336354</v>
      </c>
      <c r="U130" s="85" t="str">
        <f>IF(ABS(F130-T130)&lt;0.01,"ok","err")</f>
        <v>ok</v>
      </c>
    </row>
    <row r="131" spans="1:21" s="28" customFormat="1" x14ac:dyDescent="0.2">
      <c r="F131" s="25"/>
    </row>
    <row r="132" spans="1:21" s="28" customFormat="1" x14ac:dyDescent="0.2">
      <c r="A132" s="81" t="s">
        <v>10</v>
      </c>
      <c r="B132" s="82"/>
      <c r="C132" s="82"/>
      <c r="D132" s="82"/>
      <c r="E132" s="82"/>
      <c r="F132" s="25"/>
    </row>
    <row r="133" spans="1:21" s="28" customFormat="1" x14ac:dyDescent="0.2">
      <c r="A133" s="86" t="s">
        <v>208</v>
      </c>
      <c r="C133" s="28" t="s">
        <v>93</v>
      </c>
      <c r="D133" s="28" t="s">
        <v>214</v>
      </c>
      <c r="E133" s="17" t="s">
        <v>833</v>
      </c>
      <c r="F133" s="84">
        <f>VLOOKUP(C133,'S5-Functional Assignment'!$C$1:$AP$743,16,)</f>
        <v>1086965.1118471227</v>
      </c>
      <c r="G133" s="84">
        <f>(VLOOKUP($E133,$D$4:$AH$583,4,)/VLOOKUP($E133,$D$4:$AH$583,3,))*$F133</f>
        <v>469381.30814870622</v>
      </c>
      <c r="H133" s="84">
        <f>(VLOOKUP($E133,$D$4:$AH$583,5,)/VLOOKUP($E133,$D$4:$AH$583,3,))*$F133</f>
        <v>376026.91703652154</v>
      </c>
      <c r="I133" s="84">
        <f>(VLOOKUP($E133,$D$4:$AH$583,6,)/VLOOKUP($E133,$D$4:$AH$583,3,))*$F133</f>
        <v>106180.92312994791</v>
      </c>
      <c r="J133" s="84">
        <f>(VLOOKUP($E133,$D$4:$AH$583,7,)/VLOOKUP($E133,$D$4:$AH$583,3,))*$F133</f>
        <v>112180.96225091288</v>
      </c>
      <c r="K133" s="84">
        <f>(VLOOKUP($E133,$D$4:$AH$583,8,)/VLOOKUP($E133,$D$4:$AH$583,3,))*$F133</f>
        <v>21634.753391221551</v>
      </c>
      <c r="L133" s="84">
        <f>(VLOOKUP($E133,$D$4:$AH$583,9,)/VLOOKUP($E133,$D$4:$AH$583,3,))*$F133</f>
        <v>1560.2478397675491</v>
      </c>
      <c r="M133" s="84">
        <f>(VLOOKUP($E133,$D$4:$AH$583,10,)/VLOOKUP($E133,$D$4:$AH$583,3,))*$F133</f>
        <v>0</v>
      </c>
      <c r="N133" s="84">
        <f>(VLOOKUP($E133,$D$4:$AH$583,11,)/VLOOKUP($E133,$D$4:$AH$583,3,))*$F133</f>
        <v>0</v>
      </c>
      <c r="O133" s="84">
        <f>(VLOOKUP($E133,$D$4:$AH$583,12,)/VLOOKUP($E133,$D$4:$AH$583,3,))*$F133</f>
        <v>0</v>
      </c>
      <c r="P133" s="84">
        <f>(VLOOKUP($E133,$D$4:$AH$583,13,)/VLOOKUP($E133,$D$4:$AH$583,3,))*$F133</f>
        <v>0</v>
      </c>
      <c r="Q133" s="84">
        <f>(VLOOKUP($E133,$D$4:$AH$583,14,)/VLOOKUP($E133,$D$4:$AH$583,3,))*$F133</f>
        <v>0</v>
      </c>
      <c r="R133" s="84">
        <f>(VLOOKUP($E133,$D$4:$AH$583,15,)/VLOOKUP($E133,$D$4:$AH$583,3,))*$F133</f>
        <v>0</v>
      </c>
      <c r="S133" s="84">
        <f>(VLOOKUP($E133,$D$4:$AH$583,16,)/VLOOKUP($E133,$D$4:$AH$583,3,))*$F133</f>
        <v>0</v>
      </c>
      <c r="T133" s="35">
        <f>SUM(G133:S133)</f>
        <v>1086965.1117970776</v>
      </c>
      <c r="U133" s="85" t="str">
        <f>IF(ABS(F133-T133)&lt;0.01,"ok","err")</f>
        <v>ok</v>
      </c>
    </row>
    <row r="134" spans="1:21" s="28" customFormat="1" x14ac:dyDescent="0.2">
      <c r="F134" s="25"/>
    </row>
    <row r="135" spans="1:21" s="28" customFormat="1" x14ac:dyDescent="0.2">
      <c r="A135" s="81" t="s">
        <v>11</v>
      </c>
      <c r="B135" s="82"/>
      <c r="C135" s="82"/>
      <c r="D135" s="82"/>
      <c r="E135" s="82"/>
      <c r="F135" s="25"/>
    </row>
    <row r="136" spans="1:21" s="28" customFormat="1" x14ac:dyDescent="0.2">
      <c r="A136" s="86" t="s">
        <v>208</v>
      </c>
      <c r="C136" s="28" t="s">
        <v>93</v>
      </c>
      <c r="D136" s="28" t="s">
        <v>268</v>
      </c>
      <c r="E136" s="17" t="s">
        <v>841</v>
      </c>
      <c r="F136" s="84">
        <f>VLOOKUP(C136,'S5-Functional Assignment'!$C$1:$AP$743,17,)</f>
        <v>2121638.8337300797</v>
      </c>
      <c r="G136" s="84">
        <f>(VLOOKUP($E136,$D$4:$AH$583,4,)/VLOOKUP($E136,$D$4:$AH$583,3,))*$F136</f>
        <v>922495.71757527685</v>
      </c>
      <c r="H136" s="84">
        <f>(VLOOKUP($E136,$D$4:$AH$583,5,)/VLOOKUP($E136,$D$4:$AH$583,3,))*$F136</f>
        <v>938367.36956828437</v>
      </c>
      <c r="I136" s="84">
        <f>(VLOOKUP($E136,$D$4:$AH$583,6,)/VLOOKUP($E136,$D$4:$AH$583,3,))*$F136</f>
        <v>130975.3151747941</v>
      </c>
      <c r="J136" s="84">
        <f>(VLOOKUP($E136,$D$4:$AH$583,7,)/VLOOKUP($E136,$D$4:$AH$583,3,))*$F136</f>
        <v>121473.2913384205</v>
      </c>
      <c r="K136" s="84">
        <f>(VLOOKUP($E136,$D$4:$AH$583,8,)/VLOOKUP($E136,$D$4:$AH$583,3,))*$F136</f>
        <v>4330.1128381179915</v>
      </c>
      <c r="L136" s="84">
        <f>(VLOOKUP($E136,$D$4:$AH$583,9,)/VLOOKUP($E136,$D$4:$AH$583,3,))*$F136</f>
        <v>363.36611228962164</v>
      </c>
      <c r="M136" s="84">
        <f>(VLOOKUP($E136,$D$4:$AH$583,10,)/VLOOKUP($E136,$D$4:$AH$583,3,))*$F136</f>
        <v>3633.6611228962165</v>
      </c>
      <c r="N136" s="84">
        <f>(VLOOKUP($E136,$D$4:$AH$583,11,)/VLOOKUP($E136,$D$4:$AH$583,3,))*$F136</f>
        <v>0</v>
      </c>
      <c r="O136" s="84">
        <f>(VLOOKUP($E136,$D$4:$AH$583,12,)/VLOOKUP($E136,$D$4:$AH$583,3,))*$F136</f>
        <v>0</v>
      </c>
      <c r="P136" s="84">
        <f>(VLOOKUP($E136,$D$4:$AH$583,13,)/VLOOKUP($E136,$D$4:$AH$583,3,))*$F136</f>
        <v>0</v>
      </c>
      <c r="Q136" s="84">
        <f>(VLOOKUP($E136,$D$4:$AH$583,14,)/VLOOKUP($E136,$D$4:$AH$583,3,))*$F136</f>
        <v>0</v>
      </c>
      <c r="R136" s="84">
        <f>(VLOOKUP($E136,$D$4:$AH$583,15,)/VLOOKUP($E136,$D$4:$AH$583,3,))*$F136</f>
        <v>0</v>
      </c>
      <c r="S136" s="84">
        <f>(VLOOKUP($E136,$D$4:$AH$583,16,)/VLOOKUP($E136,$D$4:$AH$583,3,))*$F136</f>
        <v>0</v>
      </c>
      <c r="T136" s="35">
        <f>SUM(G136:S136)</f>
        <v>2121638.8337300797</v>
      </c>
      <c r="U136" s="85" t="str">
        <f>IF(ABS(F136-T136)&lt;0.01,"ok","err")</f>
        <v>ok</v>
      </c>
    </row>
    <row r="137" spans="1:21" s="28" customFormat="1" x14ac:dyDescent="0.2">
      <c r="F137" s="25"/>
    </row>
    <row r="138" spans="1:21" s="28" customFormat="1" x14ac:dyDescent="0.2">
      <c r="A138" s="81" t="s">
        <v>12</v>
      </c>
      <c r="B138" s="82"/>
      <c r="C138" s="82"/>
      <c r="D138" s="82"/>
      <c r="E138" s="82"/>
      <c r="F138" s="25"/>
    </row>
    <row r="139" spans="1:21" s="28" customFormat="1" x14ac:dyDescent="0.2">
      <c r="A139" s="86" t="s">
        <v>208</v>
      </c>
      <c r="C139" s="28" t="s">
        <v>93</v>
      </c>
      <c r="D139" s="28" t="s">
        <v>213</v>
      </c>
      <c r="E139" s="28" t="s">
        <v>325</v>
      </c>
      <c r="F139" s="84">
        <f>VLOOKUP(C139,'S5-Functional Assignment'!$C$1:$AP$743,18,)</f>
        <v>1346.0690687126983</v>
      </c>
      <c r="G139" s="84">
        <f>(VLOOKUP($E139,$D$4:$AH$583,4,)/VLOOKUP($E139,$D$4:$AH$583,3,))*$F139</f>
        <v>1050.1746162938716</v>
      </c>
      <c r="H139" s="84">
        <f>(VLOOKUP($E139,$D$4:$AH$583,5,)/VLOOKUP($E139,$D$4:$AH$583,3,))*$F139</f>
        <v>113.27038810483241</v>
      </c>
      <c r="I139" s="84">
        <f>(VLOOKUP($E139,$D$4:$AH$583,6,)/VLOOKUP($E139,$D$4:$AH$583,3,))*$F139</f>
        <v>148.48482932046923</v>
      </c>
      <c r="J139" s="84">
        <f>(VLOOKUP($E139,$D$4:$AH$583,7,)/VLOOKUP($E139,$D$4:$AH$583,3,))*$F139</f>
        <v>33.225022216435228</v>
      </c>
      <c r="K139" s="84">
        <f>(VLOOKUP($E139,$D$4:$AH$583,8,)/VLOOKUP($E139,$D$4:$AH$583,3,))*$F139</f>
        <v>0.81071699100413042</v>
      </c>
      <c r="L139" s="84">
        <f>(VLOOKUP($E139,$D$4:$AH$583,9,)/VLOOKUP($E139,$D$4:$AH$583,3,))*$F139</f>
        <v>0.10349578608563366</v>
      </c>
      <c r="M139" s="84">
        <f>(VLOOKUP($E139,$D$4:$AH$583,10,)/VLOOKUP($E139,$D$4:$AH$583,3,))*$F139</f>
        <v>0</v>
      </c>
      <c r="N139" s="84">
        <f>(VLOOKUP($E139,$D$4:$AH$583,11,)/VLOOKUP($E139,$D$4:$AH$583,3,))*$F139</f>
        <v>0</v>
      </c>
      <c r="O139" s="84">
        <f>(VLOOKUP($E139,$D$4:$AH$583,12,)/VLOOKUP($E139,$D$4:$AH$583,3,))*$F139</f>
        <v>0</v>
      </c>
      <c r="P139" s="84">
        <f>(VLOOKUP($E139,$D$4:$AH$583,13,)/VLOOKUP($E139,$D$4:$AH$583,3,))*$F139</f>
        <v>0</v>
      </c>
      <c r="Q139" s="84">
        <f>(VLOOKUP($E139,$D$4:$AH$583,14,)/VLOOKUP($E139,$D$4:$AH$583,3,))*$F139</f>
        <v>0</v>
      </c>
      <c r="R139" s="84">
        <f>(VLOOKUP($E139,$D$4:$AH$583,15,)/VLOOKUP($E139,$D$4:$AH$583,3,))*$F139</f>
        <v>0</v>
      </c>
      <c r="S139" s="84">
        <f>(VLOOKUP($E139,$D$4:$AH$583,16,)/VLOOKUP($E139,$D$4:$AH$583,3,))*$F139</f>
        <v>0</v>
      </c>
      <c r="T139" s="35">
        <f>SUM(G139:S139)</f>
        <v>1346.0690687126983</v>
      </c>
      <c r="U139" s="85" t="str">
        <f>IF(ABS(F139-T139)&lt;0.01,"ok","err")</f>
        <v>ok</v>
      </c>
    </row>
    <row r="140" spans="1:21" s="28" customFormat="1" x14ac:dyDescent="0.2">
      <c r="F140" s="25"/>
    </row>
    <row r="141" spans="1:21" s="28" customFormat="1" x14ac:dyDescent="0.2">
      <c r="A141" s="28" t="s">
        <v>13</v>
      </c>
      <c r="D141" s="28" t="s">
        <v>298</v>
      </c>
      <c r="F141" s="84">
        <f t="shared" ref="F141:S141" si="14">F104+F109+F114+F117+F120+F127+F130+F133+F136+F139</f>
        <v>16006948.249243708</v>
      </c>
      <c r="G141" s="84">
        <f t="shared" si="14"/>
        <v>6469727.2168516694</v>
      </c>
      <c r="H141" s="84">
        <f t="shared" si="14"/>
        <v>1439208.0587650724</v>
      </c>
      <c r="I141" s="84">
        <f t="shared" si="14"/>
        <v>1554393.7363133198</v>
      </c>
      <c r="J141" s="84">
        <f t="shared" si="14"/>
        <v>3193177.4814927378</v>
      </c>
      <c r="K141" s="84">
        <f t="shared" si="14"/>
        <v>423939.86447689816</v>
      </c>
      <c r="L141" s="84">
        <f t="shared" si="14"/>
        <v>662761.33389208768</v>
      </c>
      <c r="M141" s="84">
        <f t="shared" si="14"/>
        <v>2263740.5617837501</v>
      </c>
      <c r="N141" s="84">
        <f t="shared" si="14"/>
        <v>0</v>
      </c>
      <c r="O141" s="84">
        <f t="shared" si="14"/>
        <v>0</v>
      </c>
      <c r="P141" s="84">
        <f t="shared" si="14"/>
        <v>0</v>
      </c>
      <c r="Q141" s="84">
        <f t="shared" si="14"/>
        <v>0</v>
      </c>
      <c r="R141" s="84">
        <f t="shared" si="14"/>
        <v>0</v>
      </c>
      <c r="S141" s="84">
        <f t="shared" si="14"/>
        <v>0</v>
      </c>
      <c r="T141" s="35">
        <f>SUM(G141:S141)</f>
        <v>16006948.253575535</v>
      </c>
      <c r="U141" s="85" t="str">
        <f>IF(ABS(F141-T141)&lt;0.01,"ok","err")</f>
        <v>ok</v>
      </c>
    </row>
    <row r="146" spans="1:21" s="28" customFormat="1" x14ac:dyDescent="0.2">
      <c r="A146" s="7" t="s">
        <v>346</v>
      </c>
      <c r="B146" s="19"/>
      <c r="C146" s="19"/>
      <c r="D146" s="19"/>
      <c r="E146" s="19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35"/>
      <c r="U146" s="85"/>
    </row>
    <row r="147" spans="1:21" s="28" customFormat="1" x14ac:dyDescent="0.2"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35"/>
      <c r="U147" s="85"/>
    </row>
    <row r="148" spans="1:21" s="82" customFormat="1" x14ac:dyDescent="0.2">
      <c r="A148" s="81" t="s">
        <v>737</v>
      </c>
    </row>
    <row r="149" spans="1:21" s="28" customFormat="1" x14ac:dyDescent="0.2">
      <c r="A149" s="83" t="s">
        <v>207</v>
      </c>
      <c r="B149" s="82"/>
      <c r="C149" s="82" t="s">
        <v>345</v>
      </c>
      <c r="D149" s="82" t="s">
        <v>362</v>
      </c>
      <c r="E149" s="82" t="s">
        <v>312</v>
      </c>
      <c r="F149" s="84">
        <f>VLOOKUP(C149,'S5-Functional Assignment'!$C$1:$AP$743,5,)</f>
        <v>0</v>
      </c>
      <c r="G149" s="84">
        <f>(VLOOKUP($E149,$D$4:$AH$583,4,)/VLOOKUP($E149,$D$4:$AH$583,3,))*$F149</f>
        <v>0</v>
      </c>
      <c r="H149" s="84">
        <f>(VLOOKUP($E149,$D$4:$AH$583,5,)/VLOOKUP($E149,$D$4:$AH$583,3,))*$F149</f>
        <v>0</v>
      </c>
      <c r="I149" s="84">
        <f>(VLOOKUP($E149,$D$4:$AH$583,6,)/VLOOKUP($E149,$D$4:$AH$583,3,))*$F149</f>
        <v>0</v>
      </c>
      <c r="J149" s="84">
        <f>(VLOOKUP($E149,$D$4:$AH$583,7,)/VLOOKUP($E149,$D$4:$AH$583,3,))*$F149</f>
        <v>0</v>
      </c>
      <c r="K149" s="84">
        <f>(VLOOKUP($E149,$D$4:$AH$583,8,)/VLOOKUP($E149,$D$4:$AH$583,3,))*$F149</f>
        <v>0</v>
      </c>
      <c r="L149" s="84">
        <f>(VLOOKUP($E149,$D$4:$AH$583,9,)/VLOOKUP($E149,$D$4:$AH$583,3,))*$F149</f>
        <v>0</v>
      </c>
      <c r="M149" s="84">
        <f>(VLOOKUP($E149,$D$4:$AH$583,10,)/VLOOKUP($E149,$D$4:$AH$583,3,))*$F149</f>
        <v>0</v>
      </c>
      <c r="N149" s="84">
        <f>(VLOOKUP($E149,$D$4:$AH$583,11,)/VLOOKUP($E149,$D$4:$AH$583,3,))*$F149</f>
        <v>0</v>
      </c>
      <c r="O149" s="84">
        <f>(VLOOKUP($E149,$D$4:$AH$583,12,)/VLOOKUP($E149,$D$4:$AH$583,3,))*$F149</f>
        <v>0</v>
      </c>
      <c r="P149" s="84">
        <f>(VLOOKUP($E149,$D$4:$AH$583,13,)/VLOOKUP($E149,$D$4:$AH$583,3,))*$F149</f>
        <v>0</v>
      </c>
      <c r="Q149" s="84">
        <f>(VLOOKUP($E149,$D$4:$AH$583,14,)/VLOOKUP($E149,$D$4:$AH$583,3,))*$F149</f>
        <v>0</v>
      </c>
      <c r="R149" s="84">
        <f>(VLOOKUP($E149,$D$4:$AH$583,15,)/VLOOKUP($E149,$D$4:$AH$583,3,))*$F149</f>
        <v>0</v>
      </c>
      <c r="S149" s="84">
        <f>(VLOOKUP($E149,$D$4:$AH$583,16,)/VLOOKUP($E149,$D$4:$AH$583,3,))*$F149</f>
        <v>0</v>
      </c>
      <c r="T149" s="35">
        <f>SUM(G149:S149)</f>
        <v>0</v>
      </c>
      <c r="U149" s="85" t="str">
        <f>IF(ABS(F149-T149)&lt;0.01,"ok","err")</f>
        <v>ok</v>
      </c>
    </row>
    <row r="150" spans="1:21" s="28" customFormat="1" x14ac:dyDescent="0.2">
      <c r="A150" s="86" t="s">
        <v>228</v>
      </c>
      <c r="C150" s="28" t="s">
        <v>345</v>
      </c>
      <c r="D150" s="28" t="s">
        <v>347</v>
      </c>
      <c r="E150" s="28" t="s">
        <v>313</v>
      </c>
      <c r="F150" s="25">
        <f>VLOOKUP(C150,'S5-Functional Assignment'!$C$1:$AP$743,6,)</f>
        <v>0</v>
      </c>
      <c r="G150" s="84">
        <f>(VLOOKUP($E150,$D$4:$AH$583,4,)/VLOOKUP($E150,$D$4:$AH$583,3,))*$F150</f>
        <v>0</v>
      </c>
      <c r="H150" s="84">
        <f>(VLOOKUP($E150,$D$4:$AH$583,5,)/VLOOKUP($E150,$D$4:$AH$583,3,))*$F150</f>
        <v>0</v>
      </c>
      <c r="I150" s="84">
        <f>(VLOOKUP($E150,$D$4:$AH$583,6,)/VLOOKUP($E150,$D$4:$AH$583,3,))*$F150</f>
        <v>0</v>
      </c>
      <c r="J150" s="84">
        <f>(VLOOKUP($E150,$D$4:$AH$583,7,)/VLOOKUP($E150,$D$4:$AH$583,3,))*$F150</f>
        <v>0</v>
      </c>
      <c r="K150" s="84">
        <f>(VLOOKUP($E150,$D$4:$AH$583,8,)/VLOOKUP($E150,$D$4:$AH$583,3,))*$F150</f>
        <v>0</v>
      </c>
      <c r="L150" s="84">
        <f>(VLOOKUP($E150,$D$4:$AH$583,9,)/VLOOKUP($E150,$D$4:$AH$583,3,))*$F150</f>
        <v>0</v>
      </c>
      <c r="M150" s="84">
        <f>(VLOOKUP($E150,$D$4:$AH$583,10,)/VLOOKUP($E150,$D$4:$AH$583,3,))*$F150</f>
        <v>0</v>
      </c>
      <c r="N150" s="84">
        <f>(VLOOKUP($E150,$D$4:$AH$583,11,)/VLOOKUP($E150,$D$4:$AH$583,3,))*$F150</f>
        <v>0</v>
      </c>
      <c r="O150" s="84">
        <f>(VLOOKUP($E150,$D$4:$AH$583,12,)/VLOOKUP($E150,$D$4:$AH$583,3,))*$F150</f>
        <v>0</v>
      </c>
      <c r="P150" s="84">
        <f>(VLOOKUP($E150,$D$4:$AH$583,13,)/VLOOKUP($E150,$D$4:$AH$583,3,))*$F150</f>
        <v>0</v>
      </c>
      <c r="Q150" s="84">
        <f>(VLOOKUP($E150,$D$4:$AH$583,14,)/VLOOKUP($E150,$D$4:$AH$583,3,))*$F150</f>
        <v>0</v>
      </c>
      <c r="R150" s="84">
        <f>(VLOOKUP($E150,$D$4:$AH$583,15,)/VLOOKUP($E150,$D$4:$AH$583,3,))*$F150</f>
        <v>0</v>
      </c>
      <c r="S150" s="84">
        <f>(VLOOKUP($E150,$D$4:$AH$583,16,)/VLOOKUP($E150,$D$4:$AH$583,3,))*$F150</f>
        <v>0</v>
      </c>
      <c r="T150" s="25">
        <f>SUM(G150:S150)</f>
        <v>0</v>
      </c>
      <c r="U150" s="85" t="str">
        <f>IF(ABS(F150-T150)&lt;0.01,"ok","err")</f>
        <v>ok</v>
      </c>
    </row>
    <row r="151" spans="1:21" s="28" customFormat="1" x14ac:dyDescent="0.2">
      <c r="A151" s="28" t="s">
        <v>664</v>
      </c>
      <c r="D151" s="28" t="s">
        <v>348</v>
      </c>
      <c r="F151" s="84">
        <f t="shared" ref="F151:S151" si="15">F149+F150</f>
        <v>0</v>
      </c>
      <c r="G151" s="84">
        <f t="shared" si="15"/>
        <v>0</v>
      </c>
      <c r="H151" s="84">
        <f t="shared" si="15"/>
        <v>0</v>
      </c>
      <c r="I151" s="84">
        <f t="shared" si="15"/>
        <v>0</v>
      </c>
      <c r="J151" s="84">
        <f t="shared" si="15"/>
        <v>0</v>
      </c>
      <c r="K151" s="84">
        <f t="shared" si="15"/>
        <v>0</v>
      </c>
      <c r="L151" s="84">
        <f t="shared" si="15"/>
        <v>0</v>
      </c>
      <c r="M151" s="84">
        <f t="shared" si="15"/>
        <v>0</v>
      </c>
      <c r="N151" s="84">
        <f t="shared" si="15"/>
        <v>0</v>
      </c>
      <c r="O151" s="84">
        <f t="shared" si="15"/>
        <v>0</v>
      </c>
      <c r="P151" s="84">
        <f t="shared" si="15"/>
        <v>0</v>
      </c>
      <c r="Q151" s="84">
        <f t="shared" si="15"/>
        <v>0</v>
      </c>
      <c r="R151" s="84">
        <f t="shared" si="15"/>
        <v>0</v>
      </c>
      <c r="S151" s="84">
        <f t="shared" si="15"/>
        <v>0</v>
      </c>
      <c r="T151" s="35">
        <f>SUM(G151:S151)</f>
        <v>0</v>
      </c>
      <c r="U151" s="85" t="str">
        <f>IF(ABS(F151-T151)&lt;0.01,"ok","err")</f>
        <v>ok</v>
      </c>
    </row>
    <row r="152" spans="1:21" s="28" customFormat="1" x14ac:dyDescent="0.2">
      <c r="F152" s="25"/>
      <c r="G152" s="25"/>
    </row>
    <row r="153" spans="1:21" s="28" customFormat="1" x14ac:dyDescent="0.2">
      <c r="A153" s="74" t="s">
        <v>2</v>
      </c>
      <c r="B153" s="75"/>
      <c r="C153" s="75"/>
      <c r="D153" s="75"/>
      <c r="E153" s="75"/>
      <c r="F153" s="25"/>
      <c r="G153" s="25"/>
    </row>
    <row r="154" spans="1:21" s="28" customFormat="1" x14ac:dyDescent="0.2">
      <c r="A154" s="86" t="s">
        <v>207</v>
      </c>
      <c r="C154" s="28" t="s">
        <v>345</v>
      </c>
      <c r="D154" s="28" t="s">
        <v>349</v>
      </c>
      <c r="E154" s="28" t="s">
        <v>314</v>
      </c>
      <c r="F154" s="84">
        <f>VLOOKUP(C154,'S5-Functional Assignment'!$C$1:$AP$743,7,)</f>
        <v>140857.53391689004</v>
      </c>
      <c r="G154" s="84">
        <f>(VLOOKUP($E154,$D$4:$AH$583,4,)/VLOOKUP($E154,$D$4:$AH$583,3,))*$F154</f>
        <v>59834.292712976116</v>
      </c>
      <c r="H154" s="84">
        <f>(VLOOKUP($E154,$D$4:$AH$583,5,)/VLOOKUP($E154,$D$4:$AH$583,3,))*$F154</f>
        <v>0</v>
      </c>
      <c r="I154" s="84">
        <f>(VLOOKUP($E154,$D$4:$AH$583,6,)/VLOOKUP($E154,$D$4:$AH$583,3,))*$F154</f>
        <v>20882.092319530959</v>
      </c>
      <c r="J154" s="84">
        <f>(VLOOKUP($E154,$D$4:$AH$583,7,)/VLOOKUP($E154,$D$4:$AH$583,3,))*$F154</f>
        <v>60141.148884382972</v>
      </c>
      <c r="K154" s="84">
        <f>(VLOOKUP($E154,$D$4:$AH$583,8,)/VLOOKUP($E154,$D$4:$AH$583,3,))*$F154</f>
        <v>0</v>
      </c>
      <c r="L154" s="84">
        <f>(VLOOKUP($E154,$D$4:$AH$583,9,)/VLOOKUP($E154,$D$4:$AH$583,3,))*$F154</f>
        <v>0</v>
      </c>
      <c r="M154" s="84">
        <f>(VLOOKUP($E154,$D$4:$AH$583,10,)/VLOOKUP($E154,$D$4:$AH$583,3,))*$F154</f>
        <v>0</v>
      </c>
      <c r="N154" s="84">
        <f>(VLOOKUP($E154,$D$4:$AH$583,11,)/VLOOKUP($E154,$D$4:$AH$583,3,))*$F154</f>
        <v>0</v>
      </c>
      <c r="O154" s="84">
        <f>(VLOOKUP($E154,$D$4:$AH$583,12,)/VLOOKUP($E154,$D$4:$AH$583,3,))*$F154</f>
        <v>0</v>
      </c>
      <c r="P154" s="84">
        <f>(VLOOKUP($E154,$D$4:$AH$583,13,)/VLOOKUP($E154,$D$4:$AH$583,3,))*$F154</f>
        <v>0</v>
      </c>
      <c r="Q154" s="84">
        <f>(VLOOKUP($E154,$D$4:$AH$583,14,)/VLOOKUP($E154,$D$4:$AH$583,3,))*$F154</f>
        <v>0</v>
      </c>
      <c r="R154" s="84">
        <f>(VLOOKUP($E154,$D$4:$AH$583,15,)/VLOOKUP($E154,$D$4:$AH$583,3,))*$F154</f>
        <v>0</v>
      </c>
      <c r="S154" s="84">
        <f>(VLOOKUP($E154,$D$4:$AH$583,16,)/VLOOKUP($E154,$D$4:$AH$583,3,))*$F154</f>
        <v>0</v>
      </c>
      <c r="T154" s="35">
        <f>SUM(G154:S154)</f>
        <v>140857.53391689004</v>
      </c>
      <c r="U154" s="85" t="str">
        <f>IF(ABS(F154-T154)&lt;0.01,"ok","err")</f>
        <v>ok</v>
      </c>
    </row>
    <row r="155" spans="1:21" s="28" customFormat="1" x14ac:dyDescent="0.2">
      <c r="A155" s="28" t="s">
        <v>228</v>
      </c>
      <c r="C155" s="28" t="s">
        <v>345</v>
      </c>
      <c r="D155" s="28" t="s">
        <v>350</v>
      </c>
      <c r="E155" s="28" t="s">
        <v>315</v>
      </c>
      <c r="F155" s="25">
        <f>VLOOKUP(C155,'S5-Functional Assignment'!$C$1:$AP$743,8,)</f>
        <v>6991.8553995963503</v>
      </c>
      <c r="G155" s="84">
        <f>(VLOOKUP($E155,$D$4:$AH$583,4,)/VLOOKUP($E155,$D$4:$AH$583,3,))*$F155</f>
        <v>2970.0415089837552</v>
      </c>
      <c r="H155" s="84">
        <f>(VLOOKUP($E155,$D$4:$AH$583,5,)/VLOOKUP($E155,$D$4:$AH$583,3,))*$F155</f>
        <v>0</v>
      </c>
      <c r="I155" s="84">
        <f>(VLOOKUP($E155,$D$4:$AH$583,6,)/VLOOKUP($E155,$D$4:$AH$583,3,))*$F155</f>
        <v>1036.540722240167</v>
      </c>
      <c r="J155" s="84">
        <f>(VLOOKUP($E155,$D$4:$AH$583,7,)/VLOOKUP($E155,$D$4:$AH$583,3,))*$F155</f>
        <v>2985.2731683724282</v>
      </c>
      <c r="K155" s="84">
        <f>(VLOOKUP($E155,$D$4:$AH$583,8,)/VLOOKUP($E155,$D$4:$AH$583,3,))*$F155</f>
        <v>0</v>
      </c>
      <c r="L155" s="84">
        <f>(VLOOKUP($E155,$D$4:$AH$583,9,)/VLOOKUP($E155,$D$4:$AH$583,3,))*$F155</f>
        <v>0</v>
      </c>
      <c r="M155" s="84">
        <f>(VLOOKUP($E155,$D$4:$AH$583,10,)/VLOOKUP($E155,$D$4:$AH$583,3,))*$F155</f>
        <v>0</v>
      </c>
      <c r="N155" s="84">
        <f>(VLOOKUP($E155,$D$4:$AH$583,11,)/VLOOKUP($E155,$D$4:$AH$583,3,))*$F155</f>
        <v>0</v>
      </c>
      <c r="O155" s="84">
        <f>(VLOOKUP($E155,$D$4:$AH$583,12,)/VLOOKUP($E155,$D$4:$AH$583,3,))*$F155</f>
        <v>0</v>
      </c>
      <c r="P155" s="84">
        <f>(VLOOKUP($E155,$D$4:$AH$583,13,)/VLOOKUP($E155,$D$4:$AH$583,3,))*$F155</f>
        <v>0</v>
      </c>
      <c r="Q155" s="84">
        <f>(VLOOKUP($E155,$D$4:$AH$583,14,)/VLOOKUP($E155,$D$4:$AH$583,3,))*$F155</f>
        <v>0</v>
      </c>
      <c r="R155" s="84">
        <f>(VLOOKUP($E155,$D$4:$AH$583,15,)/VLOOKUP($E155,$D$4:$AH$583,3,))*$F155</f>
        <v>0</v>
      </c>
      <c r="S155" s="84">
        <f>(VLOOKUP($E155,$D$4:$AH$583,16,)/VLOOKUP($E155,$D$4:$AH$583,3,))*$F155</f>
        <v>0</v>
      </c>
      <c r="T155" s="25">
        <f>SUM(G155:S155)</f>
        <v>6991.8553995963503</v>
      </c>
      <c r="U155" s="85" t="str">
        <f>IF(ABS(F155-T155)&lt;0.01,"ok","err")</f>
        <v>ok</v>
      </c>
    </row>
    <row r="156" spans="1:21" s="28" customFormat="1" x14ac:dyDescent="0.2">
      <c r="A156" s="28" t="s">
        <v>229</v>
      </c>
      <c r="D156" s="28" t="s">
        <v>351</v>
      </c>
      <c r="F156" s="84">
        <f>SUM(F154:F155)</f>
        <v>147849.3893164864</v>
      </c>
      <c r="G156" s="84">
        <f t="shared" ref="G156:S156" si="16">G154+G155</f>
        <v>62804.334221959871</v>
      </c>
      <c r="H156" s="84">
        <f t="shared" si="16"/>
        <v>0</v>
      </c>
      <c r="I156" s="84">
        <f t="shared" si="16"/>
        <v>21918.633041771125</v>
      </c>
      <c r="J156" s="84">
        <f t="shared" si="16"/>
        <v>63126.422052755399</v>
      </c>
      <c r="K156" s="84">
        <f t="shared" si="16"/>
        <v>0</v>
      </c>
      <c r="L156" s="84">
        <f t="shared" si="16"/>
        <v>0</v>
      </c>
      <c r="M156" s="84">
        <f t="shared" si="16"/>
        <v>0</v>
      </c>
      <c r="N156" s="84">
        <f t="shared" si="16"/>
        <v>0</v>
      </c>
      <c r="O156" s="84">
        <f t="shared" si="16"/>
        <v>0</v>
      </c>
      <c r="P156" s="84">
        <f t="shared" si="16"/>
        <v>0</v>
      </c>
      <c r="Q156" s="84">
        <f t="shared" si="16"/>
        <v>0</v>
      </c>
      <c r="R156" s="84">
        <f t="shared" si="16"/>
        <v>0</v>
      </c>
      <c r="S156" s="84">
        <f t="shared" si="16"/>
        <v>0</v>
      </c>
      <c r="T156" s="35">
        <f>SUM(G156:S156)</f>
        <v>147849.3893164864</v>
      </c>
      <c r="U156" s="85" t="str">
        <f>IF(ABS(F156-T156)&lt;0.01,"ok","err")</f>
        <v>ok</v>
      </c>
    </row>
    <row r="157" spans="1:21" s="28" customFormat="1" x14ac:dyDescent="0.2">
      <c r="F157" s="25"/>
      <c r="G157" s="25"/>
    </row>
    <row r="158" spans="1:21" s="28" customFormat="1" x14ac:dyDescent="0.2">
      <c r="A158" s="81" t="s">
        <v>3</v>
      </c>
      <c r="B158" s="82"/>
      <c r="C158" s="82"/>
      <c r="D158" s="82"/>
      <c r="E158" s="82"/>
      <c r="F158" s="25"/>
      <c r="G158" s="25"/>
    </row>
    <row r="159" spans="1:21" s="28" customFormat="1" x14ac:dyDescent="0.2">
      <c r="A159" s="86" t="s">
        <v>207</v>
      </c>
      <c r="C159" s="28" t="s">
        <v>345</v>
      </c>
      <c r="D159" s="28" t="s">
        <v>352</v>
      </c>
      <c r="E159" s="28" t="s">
        <v>729</v>
      </c>
      <c r="F159" s="84">
        <f>VLOOKUP(C159,'S5-Functional Assignment'!$C$1:$AP$743,9,)</f>
        <v>5033810.7482800176</v>
      </c>
      <c r="G159" s="84">
        <f>(VLOOKUP($E159,$D$4:$AH$583,4,)/VLOOKUP($E159,$D$4:$AH$583,3,))*$F159</f>
        <v>1365021.463735336</v>
      </c>
      <c r="H159" s="84">
        <f>(VLOOKUP($E159,$D$4:$AH$583,5,)/VLOOKUP($E159,$D$4:$AH$583,3,))*$F159</f>
        <v>0</v>
      </c>
      <c r="I159" s="84">
        <f>(VLOOKUP($E159,$D$4:$AH$583,6,)/VLOOKUP($E159,$D$4:$AH$583,3,))*$F159</f>
        <v>474287.11875549809</v>
      </c>
      <c r="J159" s="84">
        <f>(VLOOKUP($E159,$D$4:$AH$583,7,)/VLOOKUP($E159,$D$4:$AH$583,3,))*$F159</f>
        <v>1292675.693394776</v>
      </c>
      <c r="K159" s="84">
        <f>(VLOOKUP($E159,$D$4:$AH$583,8,)/VLOOKUP($E159,$D$4:$AH$583,3,))*$F159</f>
        <v>103205.34220858605</v>
      </c>
      <c r="L159" s="84">
        <f>(VLOOKUP($E159,$D$4:$AH$583,9,)/VLOOKUP($E159,$D$4:$AH$583,3,))*$F159</f>
        <v>384940.70924173231</v>
      </c>
      <c r="M159" s="84">
        <f>(VLOOKUP($E159,$D$4:$AH$583,10,)/VLOOKUP($E159,$D$4:$AH$583,3,))*$F159</f>
        <v>1413680.4209440884</v>
      </c>
      <c r="N159" s="84">
        <f>(VLOOKUP($E159,$D$4:$AH$583,11,)/VLOOKUP($E159,$D$4:$AH$583,3,))*$F159</f>
        <v>0</v>
      </c>
      <c r="O159" s="84">
        <f>(VLOOKUP($E159,$D$4:$AH$583,12,)/VLOOKUP($E159,$D$4:$AH$583,3,))*$F159</f>
        <v>0</v>
      </c>
      <c r="P159" s="84">
        <f>(VLOOKUP($E159,$D$4:$AH$583,13,)/VLOOKUP($E159,$D$4:$AH$583,3,))*$F159</f>
        <v>0</v>
      </c>
      <c r="Q159" s="84">
        <f>(VLOOKUP($E159,$D$4:$AH$583,14,)/VLOOKUP($E159,$D$4:$AH$583,3,))*$F159</f>
        <v>0</v>
      </c>
      <c r="R159" s="84">
        <f>(VLOOKUP($E159,$D$4:$AH$583,15,)/VLOOKUP($E159,$D$4:$AH$583,3,))*$F159</f>
        <v>0</v>
      </c>
      <c r="S159" s="84">
        <f>(VLOOKUP($E159,$D$4:$AH$583,16,)/VLOOKUP($E159,$D$4:$AH$583,3,))*$F159</f>
        <v>0</v>
      </c>
      <c r="T159" s="35">
        <f>SUM(G159:S159)</f>
        <v>5033810.7482800167</v>
      </c>
      <c r="U159" s="85" t="str">
        <f>IF(ABS(F159-T159)&lt;0.01,"ok","err")</f>
        <v>ok</v>
      </c>
    </row>
    <row r="160" spans="1:21" s="28" customFormat="1" x14ac:dyDescent="0.2">
      <c r="A160" s="28" t="s">
        <v>228</v>
      </c>
      <c r="C160" s="28" t="s">
        <v>345</v>
      </c>
      <c r="D160" s="28" t="s">
        <v>353</v>
      </c>
      <c r="E160" s="28" t="s">
        <v>317</v>
      </c>
      <c r="F160" s="25">
        <f>VLOOKUP(C160,'S5-Functional Assignment'!$C$1:$AP$743,10,)</f>
        <v>206497.32295150991</v>
      </c>
      <c r="G160" s="84">
        <f>(VLOOKUP($E160,$D$4:$AH$583,4,)/VLOOKUP($E160,$D$4:$AH$583,3,))*$F160</f>
        <v>16258.35789760071</v>
      </c>
      <c r="H160" s="84">
        <f>(VLOOKUP($E160,$D$4:$AH$583,5,)/VLOOKUP($E160,$D$4:$AH$583,3,))*$F160</f>
        <v>0</v>
      </c>
      <c r="I160" s="84">
        <f>(VLOOKUP($E160,$D$4:$AH$583,6,)/VLOOKUP($E160,$D$4:$AH$583,3,))*$F160</f>
        <v>5961.1763295428273</v>
      </c>
      <c r="J160" s="84">
        <f>(VLOOKUP($E160,$D$4:$AH$583,7,)/VLOOKUP($E160,$D$4:$AH$583,3,))*$F160</f>
        <v>26369.389799342105</v>
      </c>
      <c r="K160" s="84">
        <f>(VLOOKUP($E160,$D$4:$AH$583,8,)/VLOOKUP($E160,$D$4:$AH$583,3,))*$F160</f>
        <v>19121.395175685211</v>
      </c>
      <c r="L160" s="84">
        <f>(VLOOKUP($E160,$D$4:$AH$583,9,)/VLOOKUP($E160,$D$4:$AH$583,3,))*$F160</f>
        <v>26764.244303047348</v>
      </c>
      <c r="M160" s="84">
        <f>(VLOOKUP($E160,$D$4:$AH$583,10,)/VLOOKUP($E160,$D$4:$AH$583,3,))*$F160</f>
        <v>112022.75948104009</v>
      </c>
      <c r="N160" s="84">
        <f>(VLOOKUP($E160,$D$4:$AH$583,11,)/VLOOKUP($E160,$D$4:$AH$583,3,))*$F160</f>
        <v>0</v>
      </c>
      <c r="O160" s="84">
        <f>(VLOOKUP($E160,$D$4:$AH$583,12,)/VLOOKUP($E160,$D$4:$AH$583,3,))*$F160</f>
        <v>0</v>
      </c>
      <c r="P160" s="84">
        <f>(VLOOKUP($E160,$D$4:$AH$583,13,)/VLOOKUP($E160,$D$4:$AH$583,3,))*$F160</f>
        <v>0</v>
      </c>
      <c r="Q160" s="84">
        <f>(VLOOKUP($E160,$D$4:$AH$583,14,)/VLOOKUP($E160,$D$4:$AH$583,3,))*$F160</f>
        <v>0</v>
      </c>
      <c r="R160" s="84">
        <f>(VLOOKUP($E160,$D$4:$AH$583,15,)/VLOOKUP($E160,$D$4:$AH$583,3,))*$F160</f>
        <v>0</v>
      </c>
      <c r="S160" s="84">
        <f>(VLOOKUP($E160,$D$4:$AH$583,16,)/VLOOKUP($E160,$D$4:$AH$583,3,))*$F160</f>
        <v>0</v>
      </c>
      <c r="T160" s="25">
        <f>SUM(G160:S160)</f>
        <v>206497.32298625831</v>
      </c>
      <c r="U160" s="85" t="str">
        <f>IF(ABS(F160-T160)&lt;0.01,"ok","err")</f>
        <v>ok</v>
      </c>
    </row>
    <row r="161" spans="1:21" s="28" customFormat="1" x14ac:dyDescent="0.2">
      <c r="A161" s="28" t="s">
        <v>230</v>
      </c>
      <c r="D161" s="28" t="s">
        <v>671</v>
      </c>
      <c r="F161" s="84">
        <f>SUM(F159:F160)</f>
        <v>5240308.0712315273</v>
      </c>
      <c r="G161" s="84">
        <f t="shared" ref="G161:S161" si="17">G159+G160</f>
        <v>1381279.8216329366</v>
      </c>
      <c r="H161" s="84">
        <f t="shared" si="17"/>
        <v>0</v>
      </c>
      <c r="I161" s="84">
        <f t="shared" si="17"/>
        <v>480248.29508504091</v>
      </c>
      <c r="J161" s="84">
        <f t="shared" si="17"/>
        <v>1319045.083194118</v>
      </c>
      <c r="K161" s="84">
        <f t="shared" si="17"/>
        <v>122326.73738427125</v>
      </c>
      <c r="L161" s="84">
        <f t="shared" si="17"/>
        <v>411704.95354477968</v>
      </c>
      <c r="M161" s="84">
        <f t="shared" si="17"/>
        <v>1525703.1804251284</v>
      </c>
      <c r="N161" s="84">
        <f t="shared" si="17"/>
        <v>0</v>
      </c>
      <c r="O161" s="84">
        <f t="shared" si="17"/>
        <v>0</v>
      </c>
      <c r="P161" s="84">
        <f t="shared" si="17"/>
        <v>0</v>
      </c>
      <c r="Q161" s="84">
        <f t="shared" si="17"/>
        <v>0</v>
      </c>
      <c r="R161" s="84">
        <f t="shared" si="17"/>
        <v>0</v>
      </c>
      <c r="S161" s="84">
        <f t="shared" si="17"/>
        <v>0</v>
      </c>
      <c r="T161" s="35">
        <f>SUM(G161:S161)</f>
        <v>5240308.0712662749</v>
      </c>
      <c r="U161" s="85" t="str">
        <f>IF(ABS(F161-T161)&lt;0.01,"ok","err")</f>
        <v>ok</v>
      </c>
    </row>
    <row r="162" spans="1:21" s="28" customFormat="1" x14ac:dyDescent="0.2">
      <c r="F162" s="25"/>
    </row>
    <row r="163" spans="1:21" s="28" customFormat="1" x14ac:dyDescent="0.2">
      <c r="A163" s="1" t="s">
        <v>5</v>
      </c>
      <c r="B163" s="19"/>
      <c r="C163" s="19"/>
      <c r="D163" s="19"/>
      <c r="E163" s="19"/>
      <c r="F163" s="25"/>
    </row>
    <row r="164" spans="1:21" s="28" customFormat="1" x14ac:dyDescent="0.2">
      <c r="A164" s="9" t="s">
        <v>228</v>
      </c>
      <c r="B164" s="19"/>
      <c r="C164" s="19" t="s">
        <v>345</v>
      </c>
      <c r="D164" s="19" t="s">
        <v>355</v>
      </c>
      <c r="E164" s="19" t="s">
        <v>318</v>
      </c>
      <c r="F164" s="84">
        <f>VLOOKUP(C164,'S5-Functional Assignment'!$C$1:$AP$743,11,)</f>
        <v>378494.66319590237</v>
      </c>
      <c r="G164" s="84">
        <f>(VLOOKUP($E164,$D$4:$AH$583,4,)/VLOOKUP($E164,$D$4:$AH$583,3,))*$F164</f>
        <v>89405.145931510328</v>
      </c>
      <c r="H164" s="84">
        <f>(VLOOKUP($E164,$D$4:$AH$583,5,)/VLOOKUP($E164,$D$4:$AH$583,3,))*$F164</f>
        <v>0</v>
      </c>
      <c r="I164" s="84">
        <f>(VLOOKUP($E164,$D$4:$AH$583,6,)/VLOOKUP($E164,$D$4:$AH$583,3,))*$F164</f>
        <v>32780.668442837756</v>
      </c>
      <c r="J164" s="84">
        <f>(VLOOKUP($E164,$D$4:$AH$583,7,)/VLOOKUP($E164,$D$4:$AH$583,3,))*$F164</f>
        <v>145005.98141482496</v>
      </c>
      <c r="K164" s="84">
        <f>(VLOOKUP($E164,$D$4:$AH$583,8,)/VLOOKUP($E164,$D$4:$AH$583,3,))*$F164</f>
        <v>105149.06467574422</v>
      </c>
      <c r="L164" s="84">
        <f>(VLOOKUP($E164,$D$4:$AH$583,9,)/VLOOKUP($E164,$D$4:$AH$583,3,))*$F164</f>
        <v>6153.8027011915501</v>
      </c>
      <c r="M164" s="84">
        <f>(VLOOKUP($E164,$D$4:$AH$583,10,)/VLOOKUP($E164,$D$4:$AH$583,3,))*$F164</f>
        <v>0</v>
      </c>
      <c r="N164" s="84">
        <f>(VLOOKUP($E164,$D$4:$AH$583,11,)/VLOOKUP($E164,$D$4:$AH$583,3,))*$F164</f>
        <v>0</v>
      </c>
      <c r="O164" s="84">
        <f>(VLOOKUP($E164,$D$4:$AH$583,12,)/VLOOKUP($E164,$D$4:$AH$583,3,))*$F164</f>
        <v>0</v>
      </c>
      <c r="P164" s="84">
        <f>(VLOOKUP($E164,$D$4:$AH$583,13,)/VLOOKUP($E164,$D$4:$AH$583,3,))*$F164</f>
        <v>0</v>
      </c>
      <c r="Q164" s="84">
        <f>(VLOOKUP($E164,$D$4:$AH$583,14,)/VLOOKUP($E164,$D$4:$AH$583,3,))*$F164</f>
        <v>0</v>
      </c>
      <c r="R164" s="84">
        <f>(VLOOKUP($E164,$D$4:$AH$583,15,)/VLOOKUP($E164,$D$4:$AH$583,3,))*$F164</f>
        <v>0</v>
      </c>
      <c r="S164" s="84">
        <f>(VLOOKUP($E164,$D$4:$AH$583,16,)/VLOOKUP($E164,$D$4:$AH$583,3,))*$F164</f>
        <v>0</v>
      </c>
      <c r="T164" s="35">
        <f>SUM(G164:S164)</f>
        <v>378494.66316610883</v>
      </c>
      <c r="U164" s="85" t="str">
        <f>IF(ABS(F164-T164)&lt;0.01,"ok","err")</f>
        <v>ok</v>
      </c>
    </row>
    <row r="165" spans="1:21" s="28" customFormat="1" x14ac:dyDescent="0.2">
      <c r="A165" s="86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85"/>
    </row>
    <row r="166" spans="1:21" s="28" customFormat="1" x14ac:dyDescent="0.2">
      <c r="A166" s="1" t="s">
        <v>6</v>
      </c>
      <c r="B166" s="19"/>
      <c r="C166" s="19"/>
      <c r="D166" s="19"/>
      <c r="E166" s="19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85"/>
    </row>
    <row r="167" spans="1:21" s="28" customFormat="1" x14ac:dyDescent="0.2">
      <c r="A167" s="86" t="s">
        <v>207</v>
      </c>
      <c r="C167" s="28" t="s">
        <v>345</v>
      </c>
      <c r="D167" s="28" t="s">
        <v>356</v>
      </c>
      <c r="E167" s="28" t="s">
        <v>319</v>
      </c>
      <c r="F167" s="84">
        <f>VLOOKUP(C167,'S5-Functional Assignment'!$C$1:$AP$743,12,)</f>
        <v>23612.312839420105</v>
      </c>
      <c r="G167" s="84">
        <f>(VLOOKUP($E167,$D$4:$AH$583,4,)/VLOOKUP($E167,$D$4:$AH$583,3,))*$F167</f>
        <v>9913.6894658419806</v>
      </c>
      <c r="H167" s="84">
        <f>(VLOOKUP($E167,$D$4:$AH$583,5,)/VLOOKUP($E167,$D$4:$AH$583,3,))*$F167</f>
        <v>0</v>
      </c>
      <c r="I167" s="84">
        <f>(VLOOKUP($E167,$D$4:$AH$583,6,)/VLOOKUP($E167,$D$4:$AH$583,3,))*$F167</f>
        <v>3444.5870177925526</v>
      </c>
      <c r="J167" s="84">
        <f>(VLOOKUP($E167,$D$4:$AH$583,7,)/VLOOKUP($E167,$D$4:$AH$583,3,))*$F167</f>
        <v>9388.2665912735465</v>
      </c>
      <c r="K167" s="84">
        <f>(VLOOKUP($E167,$D$4:$AH$583,8,)/VLOOKUP($E167,$D$4:$AH$583,3,))*$F167</f>
        <v>749.54551342516766</v>
      </c>
      <c r="L167" s="84">
        <f>(VLOOKUP($E167,$D$4:$AH$583,9,)/VLOOKUP($E167,$D$4:$AH$583,3,))*$F167</f>
        <v>116.22437287321094</v>
      </c>
      <c r="M167" s="84">
        <f>(VLOOKUP($E167,$D$4:$AH$583,10,)/VLOOKUP($E167,$D$4:$AH$583,3,))*$F167</f>
        <v>0</v>
      </c>
      <c r="N167" s="84">
        <f>(VLOOKUP($E167,$D$4:$AH$583,11,)/VLOOKUP($E167,$D$4:$AH$583,3,))*$F167</f>
        <v>0</v>
      </c>
      <c r="O167" s="84">
        <f>(VLOOKUP($E167,$D$4:$AH$583,12,)/VLOOKUP($E167,$D$4:$AH$583,3,))*$F167</f>
        <v>0</v>
      </c>
      <c r="P167" s="84">
        <f>(VLOOKUP($E167,$D$4:$AH$583,13,)/VLOOKUP($E167,$D$4:$AH$583,3,))*$F167</f>
        <v>0</v>
      </c>
      <c r="Q167" s="84">
        <f>(VLOOKUP($E167,$D$4:$AH$583,14,)/VLOOKUP($E167,$D$4:$AH$583,3,))*$F167</f>
        <v>0</v>
      </c>
      <c r="R167" s="84">
        <f>(VLOOKUP($E167,$D$4:$AH$583,15,)/VLOOKUP($E167,$D$4:$AH$583,3,))*$F167</f>
        <v>0</v>
      </c>
      <c r="S167" s="84">
        <f>(VLOOKUP($E167,$D$4:$AH$583,16,)/VLOOKUP($E167,$D$4:$AH$583,3,))*$F167</f>
        <v>0</v>
      </c>
      <c r="T167" s="35">
        <f>SUM(G167:S167)</f>
        <v>23612.312961206459</v>
      </c>
      <c r="U167" s="85" t="str">
        <f>IF(ABS(F167-T167)&lt;0.01,"ok","err")</f>
        <v>ok</v>
      </c>
    </row>
    <row r="168" spans="1:21" s="28" customFormat="1" x14ac:dyDescent="0.2">
      <c r="A168" s="86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35"/>
      <c r="U168" s="85"/>
    </row>
    <row r="169" spans="1:21" s="28" customFormat="1" x14ac:dyDescent="0.2">
      <c r="A169" s="86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35"/>
      <c r="U169" s="85"/>
    </row>
    <row r="170" spans="1:21" s="28" customFormat="1" x14ac:dyDescent="0.2">
      <c r="A170" s="7" t="s">
        <v>346</v>
      </c>
      <c r="B170" s="19"/>
      <c r="C170" s="19"/>
      <c r="D170" s="19"/>
      <c r="E170" s="19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35"/>
      <c r="U170" s="85"/>
    </row>
    <row r="171" spans="1:21" s="28" customFormat="1" x14ac:dyDescent="0.2">
      <c r="F171" s="25"/>
    </row>
    <row r="172" spans="1:21" s="28" customFormat="1" x14ac:dyDescent="0.2">
      <c r="A172" s="81" t="s">
        <v>7</v>
      </c>
      <c r="B172" s="82"/>
      <c r="C172" s="82"/>
      <c r="D172" s="82"/>
      <c r="E172" s="82"/>
      <c r="F172" s="25"/>
    </row>
    <row r="173" spans="1:21" s="28" customFormat="1" x14ac:dyDescent="0.2">
      <c r="A173" s="86" t="s">
        <v>207</v>
      </c>
      <c r="C173" s="28" t="s">
        <v>345</v>
      </c>
      <c r="D173" s="28" t="s">
        <v>357</v>
      </c>
      <c r="E173" s="28" t="s">
        <v>320</v>
      </c>
      <c r="F173" s="84">
        <f>VLOOKUP(C173,'S5-Functional Assignment'!$C$1:$AP$743,13,)</f>
        <v>344466.75825831771</v>
      </c>
      <c r="G173" s="84">
        <f>(VLOOKUP($E173,$D$4:$AH$583,4,)/VLOOKUP($E173,$D$4:$AH$583,3,))*$F173</f>
        <v>151466.14025090018</v>
      </c>
      <c r="H173" s="84">
        <f>(VLOOKUP($E173,$D$4:$AH$583,5,)/VLOOKUP($E173,$D$4:$AH$583,3,))*$F173</f>
        <v>0</v>
      </c>
      <c r="I173" s="84">
        <f>(VLOOKUP($E173,$D$4:$AH$583,6,)/VLOOKUP($E173,$D$4:$AH$583,3,))*$F173</f>
        <v>52321.322229429825</v>
      </c>
      <c r="J173" s="84">
        <f>(VLOOKUP($E173,$D$4:$AH$583,7,)/VLOOKUP($E173,$D$4:$AH$583,3,))*$F173</f>
        <v>127410.59483525997</v>
      </c>
      <c r="K173" s="84">
        <f>(VLOOKUP($E173,$D$4:$AH$583,8,)/VLOOKUP($E173,$D$4:$AH$583,3,))*$F173</f>
        <v>11487.459678390922</v>
      </c>
      <c r="L173" s="84">
        <f>(VLOOKUP($E173,$D$4:$AH$583,9,)/VLOOKUP($E173,$D$4:$AH$583,3,))*$F173</f>
        <v>1781.2431308223377</v>
      </c>
      <c r="M173" s="84">
        <f>(VLOOKUP($E173,$D$4:$AH$583,10,)/VLOOKUP($E173,$D$4:$AH$583,3,))*$F173</f>
        <v>0</v>
      </c>
      <c r="N173" s="84">
        <f>(VLOOKUP($E173,$D$4:$AH$583,11,)/VLOOKUP($E173,$D$4:$AH$583,3,))*$F173</f>
        <v>0</v>
      </c>
      <c r="O173" s="84">
        <f>(VLOOKUP($E173,$D$4:$AH$583,12,)/VLOOKUP($E173,$D$4:$AH$583,3,))*$F173</f>
        <v>0</v>
      </c>
      <c r="P173" s="84">
        <f>(VLOOKUP($E173,$D$4:$AH$583,13,)/VLOOKUP($E173,$D$4:$AH$583,3,))*$F173</f>
        <v>0</v>
      </c>
      <c r="Q173" s="84">
        <f>(VLOOKUP($E173,$D$4:$AH$583,14,)/VLOOKUP($E173,$D$4:$AH$583,3,))*$F173</f>
        <v>0</v>
      </c>
      <c r="R173" s="84">
        <f>(VLOOKUP($E173,$D$4:$AH$583,15,)/VLOOKUP($E173,$D$4:$AH$583,3,))*$F173</f>
        <v>0</v>
      </c>
      <c r="S173" s="84">
        <f>(VLOOKUP($E173,$D$4:$AH$583,16,)/VLOOKUP($E173,$D$4:$AH$583,3,))*$F173</f>
        <v>0</v>
      </c>
      <c r="T173" s="35">
        <f>SUM(G173:S173)</f>
        <v>344466.76012480323</v>
      </c>
      <c r="U173" s="85" t="str">
        <f>IF(ABS(F173-T173)&lt;0.01,"ok","err")</f>
        <v>ok</v>
      </c>
    </row>
    <row r="174" spans="1:21" s="28" customFormat="1" x14ac:dyDescent="0.2">
      <c r="A174" s="86" t="s">
        <v>208</v>
      </c>
      <c r="C174" s="28" t="s">
        <v>345</v>
      </c>
      <c r="D174" s="28" t="s">
        <v>358</v>
      </c>
      <c r="E174" s="28" t="s">
        <v>321</v>
      </c>
      <c r="F174" s="25">
        <f>VLOOKUP(C174,'S5-Functional Assignment'!$C$1:$AP$743,14,)</f>
        <v>846635.44872065086</v>
      </c>
      <c r="G174" s="84">
        <f>(VLOOKUP($E174,$D$4:$AH$583,4,)/VLOOKUP($E174,$D$4:$AH$583,3,))*$F174</f>
        <v>720075.94238478411</v>
      </c>
      <c r="H174" s="84">
        <f>(VLOOKUP($E174,$D$4:$AH$583,5,)/VLOOKUP($E174,$D$4:$AH$583,3,))*$F174</f>
        <v>0</v>
      </c>
      <c r="I174" s="84">
        <f>(VLOOKUP($E174,$D$4:$AH$583,6,)/VLOOKUP($E174,$D$4:$AH$583,3,))*$F174</f>
        <v>101363.82132795492</v>
      </c>
      <c r="J174" s="84">
        <f>(VLOOKUP($E174,$D$4:$AH$583,7,)/VLOOKUP($E174,$D$4:$AH$583,3,))*$F174</f>
        <v>23568.657378249551</v>
      </c>
      <c r="K174" s="84">
        <f>(VLOOKUP($E174,$D$4:$AH$583,8,)/VLOOKUP($E174,$D$4:$AH$583,3,))*$F174</f>
        <v>1557.2978741052466</v>
      </c>
      <c r="L174" s="84">
        <f>(VLOOKUP($E174,$D$4:$AH$583,9,)/VLOOKUP($E174,$D$4:$AH$583,3,))*$F174</f>
        <v>69.729755556951332</v>
      </c>
      <c r="M174" s="84">
        <f>(VLOOKUP($E174,$D$4:$AH$583,10,)/VLOOKUP($E174,$D$4:$AH$583,3,))*$F174</f>
        <v>0</v>
      </c>
      <c r="N174" s="84">
        <f>(VLOOKUP($E174,$D$4:$AH$583,11,)/VLOOKUP($E174,$D$4:$AH$583,3,))*$F174</f>
        <v>0</v>
      </c>
      <c r="O174" s="84">
        <f>(VLOOKUP($E174,$D$4:$AH$583,12,)/VLOOKUP($E174,$D$4:$AH$583,3,))*$F174</f>
        <v>0</v>
      </c>
      <c r="P174" s="84">
        <f>(VLOOKUP($E174,$D$4:$AH$583,13,)/VLOOKUP($E174,$D$4:$AH$583,3,))*$F174</f>
        <v>0</v>
      </c>
      <c r="Q174" s="84">
        <f>(VLOOKUP($E174,$D$4:$AH$583,14,)/VLOOKUP($E174,$D$4:$AH$583,3,))*$F174</f>
        <v>0</v>
      </c>
      <c r="R174" s="84">
        <f>(VLOOKUP($E174,$D$4:$AH$583,15,)/VLOOKUP($E174,$D$4:$AH$583,3,))*$F174</f>
        <v>0</v>
      </c>
      <c r="S174" s="84">
        <f>(VLOOKUP($E174,$D$4:$AH$583,16,)/VLOOKUP($E174,$D$4:$AH$583,3,))*$F174</f>
        <v>0</v>
      </c>
      <c r="T174" s="25">
        <f>SUM(G174:S174)</f>
        <v>846635.44872065075</v>
      </c>
      <c r="U174" s="85" t="str">
        <f>IF(ABS(F174-T174)&lt;0.01,"ok","err")</f>
        <v>ok</v>
      </c>
    </row>
    <row r="175" spans="1:21" s="28" customFormat="1" x14ac:dyDescent="0.2">
      <c r="A175" s="28" t="s">
        <v>231</v>
      </c>
      <c r="F175" s="25">
        <f>SUM(F173:F174)</f>
        <v>1191102.2069789686</v>
      </c>
      <c r="G175" s="84">
        <f t="shared" ref="G175:S175" si="18">G173+G174</f>
        <v>871542.08263568429</v>
      </c>
      <c r="H175" s="84">
        <f t="shared" si="18"/>
        <v>0</v>
      </c>
      <c r="I175" s="84">
        <f t="shared" si="18"/>
        <v>153685.14355738476</v>
      </c>
      <c r="J175" s="84">
        <f t="shared" si="18"/>
        <v>150979.25221350952</v>
      </c>
      <c r="K175" s="84">
        <f t="shared" si="18"/>
        <v>13044.757552496169</v>
      </c>
      <c r="L175" s="84">
        <f t="shared" si="18"/>
        <v>1850.9728863792891</v>
      </c>
      <c r="M175" s="84">
        <f t="shared" si="18"/>
        <v>0</v>
      </c>
      <c r="N175" s="84">
        <f t="shared" si="18"/>
        <v>0</v>
      </c>
      <c r="O175" s="84">
        <f t="shared" si="18"/>
        <v>0</v>
      </c>
      <c r="P175" s="84">
        <f t="shared" si="18"/>
        <v>0</v>
      </c>
      <c r="Q175" s="84">
        <f t="shared" si="18"/>
        <v>0</v>
      </c>
      <c r="R175" s="84">
        <f t="shared" si="18"/>
        <v>0</v>
      </c>
      <c r="S175" s="84">
        <f t="shared" si="18"/>
        <v>0</v>
      </c>
      <c r="T175" s="35">
        <f>SUM(G175:S175)</f>
        <v>1191102.208845454</v>
      </c>
      <c r="U175" s="85" t="str">
        <f>IF(ABS(F175-T175)&lt;0.01,"ok","err")</f>
        <v>ok</v>
      </c>
    </row>
    <row r="176" spans="1:21" s="28" customFormat="1" x14ac:dyDescent="0.2">
      <c r="F176" s="25"/>
    </row>
    <row r="177" spans="1:21" s="28" customFormat="1" x14ac:dyDescent="0.2">
      <c r="A177" s="81" t="s">
        <v>9</v>
      </c>
      <c r="B177" s="82"/>
      <c r="C177" s="82"/>
      <c r="D177" s="82"/>
      <c r="E177" s="82"/>
      <c r="F177" s="25"/>
    </row>
    <row r="178" spans="1:21" s="28" customFormat="1" x14ac:dyDescent="0.2">
      <c r="A178" s="86" t="s">
        <v>208</v>
      </c>
      <c r="C178" s="28" t="s">
        <v>345</v>
      </c>
      <c r="D178" s="28" t="s">
        <v>350</v>
      </c>
      <c r="E178" s="28" t="s">
        <v>322</v>
      </c>
      <c r="F178" s="84">
        <f>VLOOKUP(C178,'S5-Functional Assignment'!$C$1:$AP$743,15,)</f>
        <v>294253.33619531558</v>
      </c>
      <c r="G178" s="84">
        <f>(VLOOKUP($E178,$D$4:$AH$583,4,)/VLOOKUP($E178,$D$4:$AH$583,3,))*$F178</f>
        <v>240892.6637942594</v>
      </c>
      <c r="H178" s="84">
        <f>(VLOOKUP($E178,$D$4:$AH$583,5,)/VLOOKUP($E178,$D$4:$AH$583,3,))*$F178</f>
        <v>0</v>
      </c>
      <c r="I178" s="84">
        <f>(VLOOKUP($E178,$D$4:$AH$583,6,)/VLOOKUP($E178,$D$4:$AH$583,3,))*$F178</f>
        <v>31596.585879714654</v>
      </c>
      <c r="J178" s="84">
        <f>(VLOOKUP($E178,$D$4:$AH$583,7,)/VLOOKUP($E178,$D$4:$AH$583,3,))*$F178</f>
        <v>20358.65657052544</v>
      </c>
      <c r="K178" s="84">
        <f>(VLOOKUP($E178,$D$4:$AH$583,8,)/VLOOKUP($E178,$D$4:$AH$583,3,))*$F178</f>
        <v>1345.1972290189392</v>
      </c>
      <c r="L178" s="84">
        <f>(VLOOKUP($E178,$D$4:$AH$583,9,)/VLOOKUP($E178,$D$4:$AH$583,3,))*$F178</f>
        <v>60.232711747116696</v>
      </c>
      <c r="M178" s="84">
        <f>(VLOOKUP($E178,$D$4:$AH$583,10,)/VLOOKUP($E178,$D$4:$AH$583,3,))*$F178</f>
        <v>0</v>
      </c>
      <c r="N178" s="84">
        <f>(VLOOKUP($E178,$D$4:$AH$583,11,)/VLOOKUP($E178,$D$4:$AH$583,3,))*$F178</f>
        <v>0</v>
      </c>
      <c r="O178" s="84">
        <f>(VLOOKUP($E178,$D$4:$AH$583,12,)/VLOOKUP($E178,$D$4:$AH$583,3,))*$F178</f>
        <v>0</v>
      </c>
      <c r="P178" s="84">
        <f>(VLOOKUP($E178,$D$4:$AH$583,13,)/VLOOKUP($E178,$D$4:$AH$583,3,))*$F178</f>
        <v>0</v>
      </c>
      <c r="Q178" s="84">
        <f>(VLOOKUP($E178,$D$4:$AH$583,14,)/VLOOKUP($E178,$D$4:$AH$583,3,))*$F178</f>
        <v>0</v>
      </c>
      <c r="R178" s="84">
        <f>(VLOOKUP($E178,$D$4:$AH$583,15,)/VLOOKUP($E178,$D$4:$AH$583,3,))*$F178</f>
        <v>0</v>
      </c>
      <c r="S178" s="84">
        <f>(VLOOKUP($E178,$D$4:$AH$583,16,)/VLOOKUP($E178,$D$4:$AH$583,3,))*$F178</f>
        <v>0</v>
      </c>
      <c r="T178" s="84">
        <f>SUM(G178:S178)</f>
        <v>294253.33618526557</v>
      </c>
      <c r="U178" s="85" t="str">
        <f>IF(ABS(F178-T178)&lt;0.01,"ok","err")</f>
        <v>ok</v>
      </c>
    </row>
    <row r="179" spans="1:21" s="28" customFormat="1" x14ac:dyDescent="0.2">
      <c r="F179" s="25"/>
    </row>
    <row r="180" spans="1:21" s="28" customFormat="1" x14ac:dyDescent="0.2">
      <c r="A180" s="81" t="s">
        <v>10</v>
      </c>
      <c r="B180" s="82"/>
      <c r="C180" s="82"/>
      <c r="D180" s="82"/>
      <c r="E180" s="82"/>
      <c r="F180" s="25"/>
    </row>
    <row r="181" spans="1:21" s="28" customFormat="1" x14ac:dyDescent="0.2">
      <c r="A181" s="86" t="s">
        <v>208</v>
      </c>
      <c r="C181" s="28" t="s">
        <v>345</v>
      </c>
      <c r="D181" s="28" t="s">
        <v>359</v>
      </c>
      <c r="E181" s="28" t="s">
        <v>323</v>
      </c>
      <c r="F181" s="84">
        <f>VLOOKUP(C181,'S5-Functional Assignment'!$C$1:$AP$743,16,)</f>
        <v>417181.32761199039</v>
      </c>
      <c r="G181" s="84">
        <f>(VLOOKUP($E181,$D$4:$AH$583,4,)/VLOOKUP($E181,$D$4:$AH$583,3,))*$F181</f>
        <v>257306.14395751216</v>
      </c>
      <c r="H181" s="84">
        <f>(VLOOKUP($E181,$D$4:$AH$583,5,)/VLOOKUP($E181,$D$4:$AH$583,3,))*$F181</f>
        <v>27458.170171837806</v>
      </c>
      <c r="I181" s="84">
        <f>(VLOOKUP($E181,$D$4:$AH$583,6,)/VLOOKUP($E181,$D$4:$AH$583,3,))*$F181</f>
        <v>58206.416442472088</v>
      </c>
      <c r="J181" s="84">
        <f>(VLOOKUP($E181,$D$4:$AH$583,7,)/VLOOKUP($E181,$D$4:$AH$583,3,))*$F181</f>
        <v>61495.526816080324</v>
      </c>
      <c r="K181" s="84">
        <f>(VLOOKUP($E181,$D$4:$AH$583,8,)/VLOOKUP($E181,$D$4:$AH$583,3,))*$F181</f>
        <v>11859.771307304176</v>
      </c>
      <c r="L181" s="84">
        <f>(VLOOKUP($E181,$D$4:$AH$583,9,)/VLOOKUP($E181,$D$4:$AH$583,3,))*$F181</f>
        <v>855.29898250962742</v>
      </c>
      <c r="M181" s="84">
        <f>(VLOOKUP($E181,$D$4:$AH$583,10,)/VLOOKUP($E181,$D$4:$AH$583,3,))*$F181</f>
        <v>0</v>
      </c>
      <c r="N181" s="84">
        <f>(VLOOKUP($E181,$D$4:$AH$583,11,)/VLOOKUP($E181,$D$4:$AH$583,3,))*$F181</f>
        <v>0</v>
      </c>
      <c r="O181" s="84">
        <f>(VLOOKUP($E181,$D$4:$AH$583,12,)/VLOOKUP($E181,$D$4:$AH$583,3,))*$F181</f>
        <v>0</v>
      </c>
      <c r="P181" s="84">
        <f>(VLOOKUP($E181,$D$4:$AH$583,13,)/VLOOKUP($E181,$D$4:$AH$583,3,))*$F181</f>
        <v>0</v>
      </c>
      <c r="Q181" s="84">
        <f>(VLOOKUP($E181,$D$4:$AH$583,14,)/VLOOKUP($E181,$D$4:$AH$583,3,))*$F181</f>
        <v>0</v>
      </c>
      <c r="R181" s="84">
        <f>(VLOOKUP($E181,$D$4:$AH$583,15,)/VLOOKUP($E181,$D$4:$AH$583,3,))*$F181</f>
        <v>0</v>
      </c>
      <c r="S181" s="84">
        <f>(VLOOKUP($E181,$D$4:$AH$583,16,)/VLOOKUP($E181,$D$4:$AH$583,3,))*$F181</f>
        <v>0</v>
      </c>
      <c r="T181" s="35">
        <f>SUM(G181:S181)</f>
        <v>417181.32767771615</v>
      </c>
      <c r="U181" s="85" t="str">
        <f>IF(ABS(F181-T181)&lt;0.01,"ok","err")</f>
        <v>ok</v>
      </c>
    </row>
    <row r="182" spans="1:21" s="28" customFormat="1" x14ac:dyDescent="0.2">
      <c r="F182" s="25"/>
    </row>
    <row r="183" spans="1:21" s="28" customFormat="1" x14ac:dyDescent="0.2">
      <c r="A183" s="81" t="s">
        <v>11</v>
      </c>
      <c r="B183" s="82"/>
      <c r="C183" s="82"/>
      <c r="D183" s="82"/>
      <c r="E183" s="82"/>
      <c r="F183" s="25"/>
    </row>
    <row r="184" spans="1:21" s="28" customFormat="1" x14ac:dyDescent="0.2">
      <c r="A184" s="86" t="s">
        <v>208</v>
      </c>
      <c r="C184" s="28" t="s">
        <v>345</v>
      </c>
      <c r="D184" s="28" t="s">
        <v>360</v>
      </c>
      <c r="E184" s="28" t="s">
        <v>324</v>
      </c>
      <c r="F184" s="84">
        <f>VLOOKUP(C184,'S5-Functional Assignment'!$C$1:$AP$743,17,)</f>
        <v>687779.50756659114</v>
      </c>
      <c r="G184" s="84">
        <f>(VLOOKUP($E184,$D$4:$AH$583,4,)/VLOOKUP($E184,$D$4:$AH$583,3,))*$F184</f>
        <v>494642.06367630564</v>
      </c>
      <c r="H184" s="84">
        <f>(VLOOKUP($E184,$D$4:$AH$583,5,)/VLOOKUP($E184,$D$4:$AH$583,3,))*$F184</f>
        <v>53309.528171252365</v>
      </c>
      <c r="I184" s="84">
        <f>(VLOOKUP($E184,$D$4:$AH$583,6,)/VLOOKUP($E184,$D$4:$AH$583,3,))*$F184</f>
        <v>70228.944107188319</v>
      </c>
      <c r="J184" s="84">
        <f>(VLOOKUP($E184,$D$4:$AH$583,7,)/VLOOKUP($E184,$D$4:$AH$583,3,))*$F184</f>
        <v>65133.960369074921</v>
      </c>
      <c r="K184" s="84">
        <f>(VLOOKUP($E184,$D$4:$AH$583,8,)/VLOOKUP($E184,$D$4:$AH$583,3,))*$F184</f>
        <v>2321.8058462403319</v>
      </c>
      <c r="L184" s="84">
        <f>(VLOOKUP($E184,$D$4:$AH$583,9,)/VLOOKUP($E184,$D$4:$AH$583,3,))*$F184</f>
        <v>194.83685422995791</v>
      </c>
      <c r="M184" s="84">
        <f>(VLOOKUP($E184,$D$4:$AH$583,10,)/VLOOKUP($E184,$D$4:$AH$583,3,))*$F184</f>
        <v>1948.3685422995788</v>
      </c>
      <c r="N184" s="84">
        <f>(VLOOKUP($E184,$D$4:$AH$583,11,)/VLOOKUP($E184,$D$4:$AH$583,3,))*$F184</f>
        <v>0</v>
      </c>
      <c r="O184" s="84">
        <f>(VLOOKUP($E184,$D$4:$AH$583,12,)/VLOOKUP($E184,$D$4:$AH$583,3,))*$F184</f>
        <v>0</v>
      </c>
      <c r="P184" s="84">
        <f>(VLOOKUP($E184,$D$4:$AH$583,13,)/VLOOKUP($E184,$D$4:$AH$583,3,))*$F184</f>
        <v>0</v>
      </c>
      <c r="Q184" s="84">
        <f>(VLOOKUP($E184,$D$4:$AH$583,14,)/VLOOKUP($E184,$D$4:$AH$583,3,))*$F184</f>
        <v>0</v>
      </c>
      <c r="R184" s="84">
        <f>(VLOOKUP($E184,$D$4:$AH$583,15,)/VLOOKUP($E184,$D$4:$AH$583,3,))*$F184</f>
        <v>0</v>
      </c>
      <c r="S184" s="84">
        <f>(VLOOKUP($E184,$D$4:$AH$583,16,)/VLOOKUP($E184,$D$4:$AH$583,3,))*$F184</f>
        <v>0</v>
      </c>
      <c r="T184" s="35">
        <f>SUM(G184:S184)</f>
        <v>687779.50756659126</v>
      </c>
      <c r="U184" s="85" t="str">
        <f>IF(ABS(F184-T184)&lt;0.01,"ok","err")</f>
        <v>ok</v>
      </c>
    </row>
    <row r="185" spans="1:21" s="28" customFormat="1" x14ac:dyDescent="0.2">
      <c r="F185" s="25"/>
    </row>
    <row r="186" spans="1:21" s="28" customFormat="1" x14ac:dyDescent="0.2">
      <c r="A186" s="81" t="s">
        <v>12</v>
      </c>
      <c r="B186" s="82"/>
      <c r="C186" s="82"/>
      <c r="D186" s="82"/>
      <c r="E186" s="82"/>
      <c r="F186" s="25"/>
    </row>
    <row r="187" spans="1:21" s="28" customFormat="1" x14ac:dyDescent="0.2">
      <c r="A187" s="86" t="s">
        <v>208</v>
      </c>
      <c r="C187" s="28" t="s">
        <v>345</v>
      </c>
      <c r="D187" s="28" t="s">
        <v>361</v>
      </c>
      <c r="E187" s="28" t="s">
        <v>325</v>
      </c>
      <c r="F187" s="84">
        <f>VLOOKUP(C187,'S5-Functional Assignment'!$C$1:$AP$743,18,)</f>
        <v>39.14506379808531</v>
      </c>
      <c r="G187" s="84">
        <f>(VLOOKUP($E187,$D$4:$AH$583,4,)/VLOOKUP($E187,$D$4:$AH$583,3,))*$F187</f>
        <v>30.540150806130438</v>
      </c>
      <c r="H187" s="84">
        <f>(VLOOKUP($E187,$D$4:$AH$583,5,)/VLOOKUP($E187,$D$4:$AH$583,3,))*$F187</f>
        <v>3.2940186145410379</v>
      </c>
      <c r="I187" s="84">
        <f>(VLOOKUP($E187,$D$4:$AH$583,6,)/VLOOKUP($E187,$D$4:$AH$583,3,))*$F187</f>
        <v>4.3180905437164991</v>
      </c>
      <c r="J187" s="84">
        <f>(VLOOKUP($E187,$D$4:$AH$583,7,)/VLOOKUP($E187,$D$4:$AH$583,3,))*$F187</f>
        <v>0.96621759208758307</v>
      </c>
      <c r="K187" s="84">
        <f>(VLOOKUP($E187,$D$4:$AH$583,8,)/VLOOKUP($E187,$D$4:$AH$583,3,))*$F187</f>
        <v>2.3576478408643978E-2</v>
      </c>
      <c r="L187" s="84">
        <f>(VLOOKUP($E187,$D$4:$AH$583,9,)/VLOOKUP($E187,$D$4:$AH$583,3,))*$F187</f>
        <v>3.0097632011034862E-3</v>
      </c>
      <c r="M187" s="84">
        <f>(VLOOKUP($E187,$D$4:$AH$583,10,)/VLOOKUP($E187,$D$4:$AH$583,3,))*$F187</f>
        <v>0</v>
      </c>
      <c r="N187" s="84">
        <f>(VLOOKUP($E187,$D$4:$AH$583,11,)/VLOOKUP($E187,$D$4:$AH$583,3,))*$F187</f>
        <v>0</v>
      </c>
      <c r="O187" s="84">
        <f>(VLOOKUP($E187,$D$4:$AH$583,12,)/VLOOKUP($E187,$D$4:$AH$583,3,))*$F187</f>
        <v>0</v>
      </c>
      <c r="P187" s="84">
        <f>(VLOOKUP($E187,$D$4:$AH$583,13,)/VLOOKUP($E187,$D$4:$AH$583,3,))*$F187</f>
        <v>0</v>
      </c>
      <c r="Q187" s="84">
        <f>(VLOOKUP($E187,$D$4:$AH$583,14,)/VLOOKUP($E187,$D$4:$AH$583,3,))*$F187</f>
        <v>0</v>
      </c>
      <c r="R187" s="84">
        <f>(VLOOKUP($E187,$D$4:$AH$583,15,)/VLOOKUP($E187,$D$4:$AH$583,3,))*$F187</f>
        <v>0</v>
      </c>
      <c r="S187" s="84">
        <f>(VLOOKUP($E187,$D$4:$AH$583,16,)/VLOOKUP($E187,$D$4:$AH$583,3,))*$F187</f>
        <v>0</v>
      </c>
      <c r="T187" s="35">
        <f>SUM(G187:S187)</f>
        <v>39.145063798085303</v>
      </c>
      <c r="U187" s="85" t="str">
        <f>IF(ABS(F187-T187)&lt;0.01,"ok","err")</f>
        <v>ok</v>
      </c>
    </row>
    <row r="188" spans="1:21" s="28" customFormat="1" x14ac:dyDescent="0.2">
      <c r="F188" s="25"/>
    </row>
    <row r="189" spans="1:21" s="28" customFormat="1" x14ac:dyDescent="0.2">
      <c r="A189" s="28" t="s">
        <v>13</v>
      </c>
      <c r="D189" s="28" t="s">
        <v>354</v>
      </c>
      <c r="F189" s="84">
        <f t="shared" ref="F189:S189" si="19">F151+F156+F161+F164+F167+F175+F178+F181+F184+F187</f>
        <v>8380619.959999999</v>
      </c>
      <c r="G189" s="84">
        <f t="shared" si="19"/>
        <v>3407816.4854668165</v>
      </c>
      <c r="H189" s="84">
        <f t="shared" si="19"/>
        <v>80770.992361704717</v>
      </c>
      <c r="I189" s="84">
        <f t="shared" si="19"/>
        <v>852113.59166474582</v>
      </c>
      <c r="J189" s="84">
        <f t="shared" si="19"/>
        <v>1834534.1154397542</v>
      </c>
      <c r="K189" s="84">
        <f t="shared" si="19"/>
        <v>256796.90308497866</v>
      </c>
      <c r="L189" s="84">
        <f t="shared" si="19"/>
        <v>420936.32506347366</v>
      </c>
      <c r="M189" s="84">
        <f t="shared" si="19"/>
        <v>1527651.548967428</v>
      </c>
      <c r="N189" s="84">
        <f t="shared" si="19"/>
        <v>0</v>
      </c>
      <c r="O189" s="84">
        <f t="shared" si="19"/>
        <v>0</v>
      </c>
      <c r="P189" s="84">
        <f t="shared" si="19"/>
        <v>0</v>
      </c>
      <c r="Q189" s="84">
        <f t="shared" si="19"/>
        <v>0</v>
      </c>
      <c r="R189" s="84">
        <f t="shared" si="19"/>
        <v>0</v>
      </c>
      <c r="S189" s="84">
        <f t="shared" si="19"/>
        <v>0</v>
      </c>
      <c r="T189" s="35">
        <f>SUM(G189:S189)</f>
        <v>8380619.9620489012</v>
      </c>
      <c r="U189" s="85" t="str">
        <f>IF(ABS(F189-T189)&lt;0.01,"ok","err")</f>
        <v>ok</v>
      </c>
    </row>
    <row r="194" spans="1:21" s="80" customFormat="1" x14ac:dyDescent="0.2">
      <c r="A194" s="79" t="s">
        <v>175</v>
      </c>
    </row>
    <row r="196" spans="1:21" s="82" customFormat="1" x14ac:dyDescent="0.2">
      <c r="A196" s="81" t="s">
        <v>737</v>
      </c>
    </row>
    <row r="197" spans="1:21" s="28" customFormat="1" x14ac:dyDescent="0.2">
      <c r="A197" s="83" t="s">
        <v>207</v>
      </c>
      <c r="B197" s="82"/>
      <c r="C197" s="82" t="s">
        <v>205</v>
      </c>
      <c r="D197" s="82" t="s">
        <v>282</v>
      </c>
      <c r="E197" s="82" t="s">
        <v>312</v>
      </c>
      <c r="F197" s="84">
        <f>VLOOKUP(C197,'S5-Functional Assignment'!$C$1:$AP$743,5,)</f>
        <v>0</v>
      </c>
      <c r="G197" s="84">
        <f>(VLOOKUP($E197,$D$4:$AH$583,4,)/VLOOKUP($E197,$D$4:$AH$583,3,))*$F197</f>
        <v>0</v>
      </c>
      <c r="H197" s="84">
        <f>(VLOOKUP($E197,$D$4:$AH$583,5,)/VLOOKUP($E197,$D$4:$AH$583,3,))*$F197</f>
        <v>0</v>
      </c>
      <c r="I197" s="84">
        <f>(VLOOKUP($E197,$D$4:$AH$583,6,)/VLOOKUP($E197,$D$4:$AH$583,3,))*$F197</f>
        <v>0</v>
      </c>
      <c r="J197" s="84">
        <f>(VLOOKUP($E197,$D$4:$AH$583,7,)/VLOOKUP($E197,$D$4:$AH$583,3,))*$F197</f>
        <v>0</v>
      </c>
      <c r="K197" s="84">
        <f>(VLOOKUP($E197,$D$4:$AH$583,8,)/VLOOKUP($E197,$D$4:$AH$583,3,))*$F197</f>
        <v>0</v>
      </c>
      <c r="L197" s="84">
        <f>(VLOOKUP($E197,$D$4:$AH$583,9,)/VLOOKUP($E197,$D$4:$AH$583,3,))*$F197</f>
        <v>0</v>
      </c>
      <c r="M197" s="84">
        <f>(VLOOKUP($E197,$D$4:$AH$583,10,)/VLOOKUP($E197,$D$4:$AH$583,3,))*$F197</f>
        <v>0</v>
      </c>
      <c r="N197" s="84">
        <f>(VLOOKUP($E197,$D$4:$AH$583,11,)/VLOOKUP($E197,$D$4:$AH$583,3,))*$F197</f>
        <v>0</v>
      </c>
      <c r="O197" s="84">
        <f>(VLOOKUP($E197,$D$4:$AH$583,12,)/VLOOKUP($E197,$D$4:$AH$583,3,))*$F197</f>
        <v>0</v>
      </c>
      <c r="P197" s="84">
        <f>(VLOOKUP($E197,$D$4:$AH$583,13,)/VLOOKUP($E197,$D$4:$AH$583,3,))*$F197</f>
        <v>0</v>
      </c>
      <c r="Q197" s="84">
        <f>(VLOOKUP($E197,$D$4:$AH$583,14,)/VLOOKUP($E197,$D$4:$AH$583,3,))*$F197</f>
        <v>0</v>
      </c>
      <c r="R197" s="84">
        <f>(VLOOKUP($E197,$D$4:$AH$583,15,)/VLOOKUP($E197,$D$4:$AH$583,3,))*$F197</f>
        <v>0</v>
      </c>
      <c r="S197" s="84">
        <f>(VLOOKUP($E197,$D$4:$AH$583,16,)/VLOOKUP($E197,$D$4:$AH$583,3,))*$F197</f>
        <v>0</v>
      </c>
      <c r="T197" s="35">
        <f>SUM(G197:S197)</f>
        <v>0</v>
      </c>
      <c r="U197" s="85" t="str">
        <f>IF(ABS(F197-T197)&lt;0.01,"ok","err")</f>
        <v>ok</v>
      </c>
    </row>
    <row r="198" spans="1:21" s="28" customFormat="1" x14ac:dyDescent="0.2">
      <c r="A198" s="86" t="s">
        <v>228</v>
      </c>
      <c r="C198" s="28" t="s">
        <v>205</v>
      </c>
      <c r="D198" s="28" t="s">
        <v>270</v>
      </c>
      <c r="E198" s="28" t="s">
        <v>313</v>
      </c>
      <c r="F198" s="25">
        <f>VLOOKUP(C198,'S5-Functional Assignment'!$C$1:$AP$743,6,)</f>
        <v>0</v>
      </c>
      <c r="G198" s="84">
        <f>(VLOOKUP($E198,$D$4:$AH$583,4,)/VLOOKUP($E198,$D$4:$AH$583,3,))*$F198</f>
        <v>0</v>
      </c>
      <c r="H198" s="84">
        <f>(VLOOKUP($E198,$D$4:$AH$583,5,)/VLOOKUP($E198,$D$4:$AH$583,3,))*$F198</f>
        <v>0</v>
      </c>
      <c r="I198" s="84">
        <f>(VLOOKUP($E198,$D$4:$AH$583,6,)/VLOOKUP($E198,$D$4:$AH$583,3,))*$F198</f>
        <v>0</v>
      </c>
      <c r="J198" s="84">
        <f>(VLOOKUP($E198,$D$4:$AH$583,7,)/VLOOKUP($E198,$D$4:$AH$583,3,))*$F198</f>
        <v>0</v>
      </c>
      <c r="K198" s="84">
        <f>(VLOOKUP($E198,$D$4:$AH$583,8,)/VLOOKUP($E198,$D$4:$AH$583,3,))*$F198</f>
        <v>0</v>
      </c>
      <c r="L198" s="84">
        <f>(VLOOKUP($E198,$D$4:$AH$583,9,)/VLOOKUP($E198,$D$4:$AH$583,3,))*$F198</f>
        <v>0</v>
      </c>
      <c r="M198" s="84">
        <f>(VLOOKUP($E198,$D$4:$AH$583,10,)/VLOOKUP($E198,$D$4:$AH$583,3,))*$F198</f>
        <v>0</v>
      </c>
      <c r="N198" s="84">
        <f>(VLOOKUP($E198,$D$4:$AH$583,11,)/VLOOKUP($E198,$D$4:$AH$583,3,))*$F198</f>
        <v>0</v>
      </c>
      <c r="O198" s="84">
        <f>(VLOOKUP($E198,$D$4:$AH$583,12,)/VLOOKUP($E198,$D$4:$AH$583,3,))*$F198</f>
        <v>0</v>
      </c>
      <c r="P198" s="84">
        <f>(VLOOKUP($E198,$D$4:$AH$583,13,)/VLOOKUP($E198,$D$4:$AH$583,3,))*$F198</f>
        <v>0</v>
      </c>
      <c r="Q198" s="84">
        <f>(VLOOKUP($E198,$D$4:$AH$583,14,)/VLOOKUP($E198,$D$4:$AH$583,3,))*$F198</f>
        <v>0</v>
      </c>
      <c r="R198" s="84">
        <f>(VLOOKUP($E198,$D$4:$AH$583,15,)/VLOOKUP($E198,$D$4:$AH$583,3,))*$F198</f>
        <v>0</v>
      </c>
      <c r="S198" s="84">
        <f>(VLOOKUP($E198,$D$4:$AH$583,16,)/VLOOKUP($E198,$D$4:$AH$583,3,))*$F198</f>
        <v>0</v>
      </c>
      <c r="T198" s="25">
        <f>SUM(G198:S198)</f>
        <v>0</v>
      </c>
      <c r="U198" s="85" t="str">
        <f>IF(ABS(F198-T198)&lt;0.01,"ok","err")</f>
        <v>ok</v>
      </c>
    </row>
    <row r="199" spans="1:21" s="28" customFormat="1" x14ac:dyDescent="0.2">
      <c r="A199" s="28" t="s">
        <v>664</v>
      </c>
      <c r="D199" s="28" t="s">
        <v>336</v>
      </c>
      <c r="F199" s="84">
        <f t="shared" ref="F199:S199" si="20">F197+F198</f>
        <v>0</v>
      </c>
      <c r="G199" s="84">
        <f t="shared" si="20"/>
        <v>0</v>
      </c>
      <c r="H199" s="84">
        <f t="shared" si="20"/>
        <v>0</v>
      </c>
      <c r="I199" s="84">
        <f t="shared" si="20"/>
        <v>0</v>
      </c>
      <c r="J199" s="84">
        <f t="shared" si="20"/>
        <v>0</v>
      </c>
      <c r="K199" s="84">
        <f t="shared" si="20"/>
        <v>0</v>
      </c>
      <c r="L199" s="84">
        <f t="shared" si="20"/>
        <v>0</v>
      </c>
      <c r="M199" s="84">
        <f t="shared" si="20"/>
        <v>0</v>
      </c>
      <c r="N199" s="84">
        <f t="shared" si="20"/>
        <v>0</v>
      </c>
      <c r="O199" s="84">
        <f t="shared" si="20"/>
        <v>0</v>
      </c>
      <c r="P199" s="84">
        <f t="shared" si="20"/>
        <v>0</v>
      </c>
      <c r="Q199" s="84">
        <f t="shared" si="20"/>
        <v>0</v>
      </c>
      <c r="R199" s="84">
        <f t="shared" si="20"/>
        <v>0</v>
      </c>
      <c r="S199" s="84">
        <f t="shared" si="20"/>
        <v>0</v>
      </c>
      <c r="T199" s="35">
        <f>SUM(G199:S199)</f>
        <v>0</v>
      </c>
      <c r="U199" s="85" t="str">
        <f>IF(ABS(F199-T199)&lt;0.01,"ok","err")</f>
        <v>ok</v>
      </c>
    </row>
    <row r="200" spans="1:21" s="28" customFormat="1" x14ac:dyDescent="0.2">
      <c r="F200" s="25"/>
      <c r="G200" s="25"/>
    </row>
    <row r="201" spans="1:21" s="28" customFormat="1" x14ac:dyDescent="0.2">
      <c r="A201" s="74" t="s">
        <v>2</v>
      </c>
      <c r="B201" s="75"/>
      <c r="C201" s="75"/>
      <c r="D201" s="75"/>
      <c r="E201" s="75"/>
      <c r="F201" s="25"/>
      <c r="G201" s="25"/>
    </row>
    <row r="202" spans="1:21" s="28" customFormat="1" x14ac:dyDescent="0.2">
      <c r="A202" s="86" t="s">
        <v>207</v>
      </c>
      <c r="C202" s="28" t="s">
        <v>205</v>
      </c>
      <c r="D202" s="28" t="s">
        <v>271</v>
      </c>
      <c r="E202" s="28" t="s">
        <v>314</v>
      </c>
      <c r="F202" s="84">
        <f>VLOOKUP(C202,'S5-Functional Assignment'!$C$1:$AP$743,7,)</f>
        <v>1056224.7532666221</v>
      </c>
      <c r="G202" s="84">
        <f>(VLOOKUP($E202,$D$4:$AH$583,4,)/VLOOKUP($E202,$D$4:$AH$583,3,))*$F202</f>
        <v>448669.37039331481</v>
      </c>
      <c r="H202" s="84">
        <f>(VLOOKUP($E202,$D$4:$AH$583,5,)/VLOOKUP($E202,$D$4:$AH$583,3,))*$F202</f>
        <v>0</v>
      </c>
      <c r="I202" s="84">
        <f>(VLOOKUP($E202,$D$4:$AH$583,6,)/VLOOKUP($E202,$D$4:$AH$583,3,))*$F202</f>
        <v>156585.0415988483</v>
      </c>
      <c r="J202" s="84">
        <f>(VLOOKUP($E202,$D$4:$AH$583,7,)/VLOOKUP($E202,$D$4:$AH$583,3,))*$F202</f>
        <v>450970.34127445903</v>
      </c>
      <c r="K202" s="84">
        <f>(VLOOKUP($E202,$D$4:$AH$583,8,)/VLOOKUP($E202,$D$4:$AH$583,3,))*$F202</f>
        <v>0</v>
      </c>
      <c r="L202" s="84">
        <f>(VLOOKUP($E202,$D$4:$AH$583,9,)/VLOOKUP($E202,$D$4:$AH$583,3,))*$F202</f>
        <v>0</v>
      </c>
      <c r="M202" s="84">
        <f>(VLOOKUP($E202,$D$4:$AH$583,10,)/VLOOKUP($E202,$D$4:$AH$583,3,))*$F202</f>
        <v>0</v>
      </c>
      <c r="N202" s="84">
        <f>(VLOOKUP($E202,$D$4:$AH$583,11,)/VLOOKUP($E202,$D$4:$AH$583,3,))*$F202</f>
        <v>0</v>
      </c>
      <c r="O202" s="84">
        <f>(VLOOKUP($E202,$D$4:$AH$583,12,)/VLOOKUP($E202,$D$4:$AH$583,3,))*$F202</f>
        <v>0</v>
      </c>
      <c r="P202" s="84">
        <f>(VLOOKUP($E202,$D$4:$AH$583,13,)/VLOOKUP($E202,$D$4:$AH$583,3,))*$F202</f>
        <v>0</v>
      </c>
      <c r="Q202" s="84">
        <f>(VLOOKUP($E202,$D$4:$AH$583,14,)/VLOOKUP($E202,$D$4:$AH$583,3,))*$F202</f>
        <v>0</v>
      </c>
      <c r="R202" s="84">
        <f>(VLOOKUP($E202,$D$4:$AH$583,15,)/VLOOKUP($E202,$D$4:$AH$583,3,))*$F202</f>
        <v>0</v>
      </c>
      <c r="S202" s="84">
        <f>(VLOOKUP($E202,$D$4:$AH$583,16,)/VLOOKUP($E202,$D$4:$AH$583,3,))*$F202</f>
        <v>0</v>
      </c>
      <c r="T202" s="35">
        <f>SUM(G202:S202)</f>
        <v>1056224.7532666223</v>
      </c>
      <c r="U202" s="85" t="str">
        <f>IF(ABS(F202-T202)&lt;0.01,"ok","err")</f>
        <v>ok</v>
      </c>
    </row>
    <row r="203" spans="1:21" s="28" customFormat="1" x14ac:dyDescent="0.2">
      <c r="A203" s="28" t="s">
        <v>228</v>
      </c>
      <c r="C203" s="28" t="s">
        <v>205</v>
      </c>
      <c r="D203" s="28" t="s">
        <v>272</v>
      </c>
      <c r="E203" s="28" t="s">
        <v>315</v>
      </c>
      <c r="F203" s="25">
        <f>VLOOKUP(C203,'S5-Functional Assignment'!$C$1:$AP$743,8,)</f>
        <v>0</v>
      </c>
      <c r="G203" s="84">
        <f>(VLOOKUP($E203,$D$4:$AH$583,4,)/VLOOKUP($E203,$D$4:$AH$583,3,))*$F203</f>
        <v>0</v>
      </c>
      <c r="H203" s="84">
        <f>(VLOOKUP($E203,$D$4:$AH$583,5,)/VLOOKUP($E203,$D$4:$AH$583,3,))*$F203</f>
        <v>0</v>
      </c>
      <c r="I203" s="84">
        <f>(VLOOKUP($E203,$D$4:$AH$583,6,)/VLOOKUP($E203,$D$4:$AH$583,3,))*$F203</f>
        <v>0</v>
      </c>
      <c r="J203" s="84">
        <f>(VLOOKUP($E203,$D$4:$AH$583,7,)/VLOOKUP($E203,$D$4:$AH$583,3,))*$F203</f>
        <v>0</v>
      </c>
      <c r="K203" s="84">
        <f>(VLOOKUP($E203,$D$4:$AH$583,8,)/VLOOKUP($E203,$D$4:$AH$583,3,))*$F203</f>
        <v>0</v>
      </c>
      <c r="L203" s="84">
        <f>(VLOOKUP($E203,$D$4:$AH$583,9,)/VLOOKUP($E203,$D$4:$AH$583,3,))*$F203</f>
        <v>0</v>
      </c>
      <c r="M203" s="84">
        <f>(VLOOKUP($E203,$D$4:$AH$583,10,)/VLOOKUP($E203,$D$4:$AH$583,3,))*$F203</f>
        <v>0</v>
      </c>
      <c r="N203" s="84">
        <f>(VLOOKUP($E203,$D$4:$AH$583,11,)/VLOOKUP($E203,$D$4:$AH$583,3,))*$F203</f>
        <v>0</v>
      </c>
      <c r="O203" s="84">
        <f>(VLOOKUP($E203,$D$4:$AH$583,12,)/VLOOKUP($E203,$D$4:$AH$583,3,))*$F203</f>
        <v>0</v>
      </c>
      <c r="P203" s="84">
        <f>(VLOOKUP($E203,$D$4:$AH$583,13,)/VLOOKUP($E203,$D$4:$AH$583,3,))*$F203</f>
        <v>0</v>
      </c>
      <c r="Q203" s="84">
        <f>(VLOOKUP($E203,$D$4:$AH$583,14,)/VLOOKUP($E203,$D$4:$AH$583,3,))*$F203</f>
        <v>0</v>
      </c>
      <c r="R203" s="84">
        <f>(VLOOKUP($E203,$D$4:$AH$583,15,)/VLOOKUP($E203,$D$4:$AH$583,3,))*$F203</f>
        <v>0</v>
      </c>
      <c r="S203" s="84">
        <f>(VLOOKUP($E203,$D$4:$AH$583,16,)/VLOOKUP($E203,$D$4:$AH$583,3,))*$F203</f>
        <v>0</v>
      </c>
      <c r="T203" s="25">
        <f>SUM(G203:S203)</f>
        <v>0</v>
      </c>
      <c r="U203" s="85" t="str">
        <f>IF(ABS(F203-T203)&lt;0.01,"ok","err")</f>
        <v>ok</v>
      </c>
    </row>
    <row r="204" spans="1:21" s="28" customFormat="1" x14ac:dyDescent="0.2">
      <c r="A204" s="28" t="s">
        <v>229</v>
      </c>
      <c r="D204" s="28" t="s">
        <v>337</v>
      </c>
      <c r="F204" s="84">
        <f>SUM(F202:F203)</f>
        <v>1056224.7532666221</v>
      </c>
      <c r="G204" s="84">
        <f t="shared" ref="G204:S204" si="21">G202+G203</f>
        <v>448669.37039331481</v>
      </c>
      <c r="H204" s="84">
        <f t="shared" si="21"/>
        <v>0</v>
      </c>
      <c r="I204" s="84">
        <f t="shared" si="21"/>
        <v>156585.0415988483</v>
      </c>
      <c r="J204" s="84">
        <f t="shared" si="21"/>
        <v>450970.34127445903</v>
      </c>
      <c r="K204" s="84">
        <f t="shared" si="21"/>
        <v>0</v>
      </c>
      <c r="L204" s="84">
        <f t="shared" si="21"/>
        <v>0</v>
      </c>
      <c r="M204" s="84">
        <f t="shared" si="21"/>
        <v>0</v>
      </c>
      <c r="N204" s="84">
        <f t="shared" si="21"/>
        <v>0</v>
      </c>
      <c r="O204" s="84">
        <f t="shared" si="21"/>
        <v>0</v>
      </c>
      <c r="P204" s="84">
        <f t="shared" si="21"/>
        <v>0</v>
      </c>
      <c r="Q204" s="84">
        <f t="shared" si="21"/>
        <v>0</v>
      </c>
      <c r="R204" s="84">
        <f t="shared" si="21"/>
        <v>0</v>
      </c>
      <c r="S204" s="84">
        <f t="shared" si="21"/>
        <v>0</v>
      </c>
      <c r="T204" s="35">
        <f>SUM(G204:S204)</f>
        <v>1056224.7532666223</v>
      </c>
      <c r="U204" s="85" t="str">
        <f>IF(ABS(F204-T204)&lt;0.01,"ok","err")</f>
        <v>ok</v>
      </c>
    </row>
    <row r="205" spans="1:21" s="28" customFormat="1" x14ac:dyDescent="0.2">
      <c r="F205" s="25"/>
      <c r="G205" s="25"/>
    </row>
    <row r="206" spans="1:21" s="28" customFormat="1" x14ac:dyDescent="0.2">
      <c r="A206" s="81" t="s">
        <v>3</v>
      </c>
      <c r="B206" s="82"/>
      <c r="C206" s="82"/>
      <c r="D206" s="82"/>
      <c r="E206" s="82"/>
      <c r="F206" s="25"/>
      <c r="G206" s="25"/>
    </row>
    <row r="207" spans="1:21" s="28" customFormat="1" x14ac:dyDescent="0.2">
      <c r="A207" s="86" t="s">
        <v>207</v>
      </c>
      <c r="C207" s="28" t="s">
        <v>205</v>
      </c>
      <c r="D207" s="28" t="s">
        <v>273</v>
      </c>
      <c r="E207" s="28" t="s">
        <v>729</v>
      </c>
      <c r="F207" s="84">
        <f>VLOOKUP(C207,'S5-Functional Assignment'!$C$1:$AP$743,9,)</f>
        <v>2609760.7864790694</v>
      </c>
      <c r="G207" s="84">
        <f>(VLOOKUP($E207,$D$4:$AH$583,4,)/VLOOKUP($E207,$D$4:$AH$583,3,))*$F207</f>
        <v>707690.38942831848</v>
      </c>
      <c r="H207" s="84">
        <f>(VLOOKUP($E207,$D$4:$AH$583,5,)/VLOOKUP($E207,$D$4:$AH$583,3,))*$F207</f>
        <v>0</v>
      </c>
      <c r="I207" s="84">
        <f>(VLOOKUP($E207,$D$4:$AH$583,6,)/VLOOKUP($E207,$D$4:$AH$583,3,))*$F207</f>
        <v>245892.42344543271</v>
      </c>
      <c r="J207" s="84">
        <f>(VLOOKUP($E207,$D$4:$AH$583,7,)/VLOOKUP($E207,$D$4:$AH$583,3,))*$F207</f>
        <v>670182.98918151215</v>
      </c>
      <c r="K207" s="84">
        <f>(VLOOKUP($E207,$D$4:$AH$583,8,)/VLOOKUP($E207,$D$4:$AH$583,3,))*$F207</f>
        <v>53506.432506059376</v>
      </c>
      <c r="L207" s="84">
        <f>(VLOOKUP($E207,$D$4:$AH$583,9,)/VLOOKUP($E207,$D$4:$AH$583,3,))*$F207</f>
        <v>199571.10394779401</v>
      </c>
      <c r="M207" s="84">
        <f>(VLOOKUP($E207,$D$4:$AH$583,10,)/VLOOKUP($E207,$D$4:$AH$583,3,))*$F207</f>
        <v>732917.44796995213</v>
      </c>
      <c r="N207" s="84">
        <f>(VLOOKUP($E207,$D$4:$AH$583,11,)/VLOOKUP($E207,$D$4:$AH$583,3,))*$F207</f>
        <v>0</v>
      </c>
      <c r="O207" s="84">
        <f>(VLOOKUP($E207,$D$4:$AH$583,12,)/VLOOKUP($E207,$D$4:$AH$583,3,))*$F207</f>
        <v>0</v>
      </c>
      <c r="P207" s="84">
        <f>(VLOOKUP($E207,$D$4:$AH$583,13,)/VLOOKUP($E207,$D$4:$AH$583,3,))*$F207</f>
        <v>0</v>
      </c>
      <c r="Q207" s="84">
        <f>(VLOOKUP($E207,$D$4:$AH$583,14,)/VLOOKUP($E207,$D$4:$AH$583,3,))*$F207</f>
        <v>0</v>
      </c>
      <c r="R207" s="84">
        <f>(VLOOKUP($E207,$D$4:$AH$583,15,)/VLOOKUP($E207,$D$4:$AH$583,3,))*$F207</f>
        <v>0</v>
      </c>
      <c r="S207" s="84">
        <f>(VLOOKUP($E207,$D$4:$AH$583,16,)/VLOOKUP($E207,$D$4:$AH$583,3,))*$F207</f>
        <v>0</v>
      </c>
      <c r="T207" s="35">
        <f>SUM(G207:S207)</f>
        <v>2609760.7864790689</v>
      </c>
      <c r="U207" s="85" t="str">
        <f>IF(ABS(F207-T207)&lt;0.01,"ok","err")</f>
        <v>ok</v>
      </c>
    </row>
    <row r="208" spans="1:21" s="28" customFormat="1" x14ac:dyDescent="0.2">
      <c r="A208" s="28" t="s">
        <v>228</v>
      </c>
      <c r="C208" s="28" t="s">
        <v>205</v>
      </c>
      <c r="D208" s="28" t="s">
        <v>274</v>
      </c>
      <c r="E208" s="28" t="s">
        <v>317</v>
      </c>
      <c r="F208" s="25">
        <f>VLOOKUP(C208,'S5-Functional Assignment'!$C$1:$AP$743,10,)</f>
        <v>0</v>
      </c>
      <c r="G208" s="84">
        <f>(VLOOKUP($E208,$D$4:$AH$583,4,)/VLOOKUP($E208,$D$4:$AH$583,3,))*$F208</f>
        <v>0</v>
      </c>
      <c r="H208" s="84">
        <f>(VLOOKUP($E208,$D$4:$AH$583,5,)/VLOOKUP($E208,$D$4:$AH$583,3,))*$F208</f>
        <v>0</v>
      </c>
      <c r="I208" s="84">
        <f>(VLOOKUP($E208,$D$4:$AH$583,6,)/VLOOKUP($E208,$D$4:$AH$583,3,))*$F208</f>
        <v>0</v>
      </c>
      <c r="J208" s="84">
        <f>(VLOOKUP($E208,$D$4:$AH$583,7,)/VLOOKUP($E208,$D$4:$AH$583,3,))*$F208</f>
        <v>0</v>
      </c>
      <c r="K208" s="84">
        <f>(VLOOKUP($E208,$D$4:$AH$583,8,)/VLOOKUP($E208,$D$4:$AH$583,3,))*$F208</f>
        <v>0</v>
      </c>
      <c r="L208" s="84">
        <f>(VLOOKUP($E208,$D$4:$AH$583,9,)/VLOOKUP($E208,$D$4:$AH$583,3,))*$F208</f>
        <v>0</v>
      </c>
      <c r="M208" s="84">
        <f>(VLOOKUP($E208,$D$4:$AH$583,10,)/VLOOKUP($E208,$D$4:$AH$583,3,))*$F208</f>
        <v>0</v>
      </c>
      <c r="N208" s="84">
        <f>(VLOOKUP($E208,$D$4:$AH$583,11,)/VLOOKUP($E208,$D$4:$AH$583,3,))*$F208</f>
        <v>0</v>
      </c>
      <c r="O208" s="84">
        <f>(VLOOKUP($E208,$D$4:$AH$583,12,)/VLOOKUP($E208,$D$4:$AH$583,3,))*$F208</f>
        <v>0</v>
      </c>
      <c r="P208" s="84">
        <f>(VLOOKUP($E208,$D$4:$AH$583,13,)/VLOOKUP($E208,$D$4:$AH$583,3,))*$F208</f>
        <v>0</v>
      </c>
      <c r="Q208" s="84">
        <f>(VLOOKUP($E208,$D$4:$AH$583,14,)/VLOOKUP($E208,$D$4:$AH$583,3,))*$F208</f>
        <v>0</v>
      </c>
      <c r="R208" s="84">
        <f>(VLOOKUP($E208,$D$4:$AH$583,15,)/VLOOKUP($E208,$D$4:$AH$583,3,))*$F208</f>
        <v>0</v>
      </c>
      <c r="S208" s="84">
        <f>(VLOOKUP($E208,$D$4:$AH$583,16,)/VLOOKUP($E208,$D$4:$AH$583,3,))*$F208</f>
        <v>0</v>
      </c>
      <c r="T208" s="25">
        <f>SUM(G208:S208)</f>
        <v>0</v>
      </c>
      <c r="U208" s="85" t="str">
        <f>IF(ABS(F208-T208)&lt;0.01,"ok","err")</f>
        <v>ok</v>
      </c>
    </row>
    <row r="209" spans="1:21" s="28" customFormat="1" x14ac:dyDescent="0.2">
      <c r="A209" s="28" t="s">
        <v>230</v>
      </c>
      <c r="D209" s="28" t="s">
        <v>338</v>
      </c>
      <c r="F209" s="84">
        <f>SUM(F207:F208)</f>
        <v>2609760.7864790694</v>
      </c>
      <c r="G209" s="84">
        <f t="shared" ref="G209:S209" si="22">G207+G208</f>
        <v>707690.38942831848</v>
      </c>
      <c r="H209" s="84">
        <f t="shared" si="22"/>
        <v>0</v>
      </c>
      <c r="I209" s="84">
        <f t="shared" si="22"/>
        <v>245892.42344543271</v>
      </c>
      <c r="J209" s="84">
        <f t="shared" si="22"/>
        <v>670182.98918151215</v>
      </c>
      <c r="K209" s="84">
        <f t="shared" si="22"/>
        <v>53506.432506059376</v>
      </c>
      <c r="L209" s="84">
        <f t="shared" si="22"/>
        <v>199571.10394779401</v>
      </c>
      <c r="M209" s="84">
        <f t="shared" si="22"/>
        <v>732917.44796995213</v>
      </c>
      <c r="N209" s="84">
        <f t="shared" si="22"/>
        <v>0</v>
      </c>
      <c r="O209" s="84">
        <f t="shared" si="22"/>
        <v>0</v>
      </c>
      <c r="P209" s="84">
        <f t="shared" si="22"/>
        <v>0</v>
      </c>
      <c r="Q209" s="84">
        <f t="shared" si="22"/>
        <v>0</v>
      </c>
      <c r="R209" s="84">
        <f t="shared" si="22"/>
        <v>0</v>
      </c>
      <c r="S209" s="84">
        <f t="shared" si="22"/>
        <v>0</v>
      </c>
      <c r="T209" s="35">
        <f>SUM(G209:S209)</f>
        <v>2609760.7864790689</v>
      </c>
      <c r="U209" s="85" t="str">
        <f>IF(ABS(F209-T209)&lt;0.01,"ok","err")</f>
        <v>ok</v>
      </c>
    </row>
    <row r="210" spans="1:21" s="28" customFormat="1" x14ac:dyDescent="0.2">
      <c r="F210" s="25"/>
    </row>
    <row r="211" spans="1:21" s="28" customFormat="1" x14ac:dyDescent="0.2">
      <c r="A211" s="1" t="s">
        <v>5</v>
      </c>
      <c r="B211" s="19"/>
      <c r="C211" s="19"/>
      <c r="D211" s="19"/>
      <c r="E211" s="19"/>
      <c r="F211" s="25"/>
    </row>
    <row r="212" spans="1:21" s="28" customFormat="1" x14ac:dyDescent="0.2">
      <c r="A212" s="9" t="s">
        <v>228</v>
      </c>
      <c r="B212" s="19"/>
      <c r="C212" s="19" t="s">
        <v>205</v>
      </c>
      <c r="D212" s="19" t="s">
        <v>275</v>
      </c>
      <c r="E212" s="19" t="s">
        <v>318</v>
      </c>
      <c r="F212" s="84">
        <f>VLOOKUP(C212,'S5-Functional Assignment'!$C$1:$AP$743,11,)</f>
        <v>0</v>
      </c>
      <c r="G212" s="84">
        <f>(VLOOKUP($E212,$D$4:$AH$583,4,)/VLOOKUP($E212,$D$4:$AH$583,3,))*$F212</f>
        <v>0</v>
      </c>
      <c r="H212" s="84">
        <f>(VLOOKUP($E212,$D$4:$AH$583,5,)/VLOOKUP($E212,$D$4:$AH$583,3,))*$F212</f>
        <v>0</v>
      </c>
      <c r="I212" s="84">
        <f>(VLOOKUP($E212,$D$4:$AH$583,6,)/VLOOKUP($E212,$D$4:$AH$583,3,))*$F212</f>
        <v>0</v>
      </c>
      <c r="J212" s="84">
        <f>(VLOOKUP($E212,$D$4:$AH$583,7,)/VLOOKUP($E212,$D$4:$AH$583,3,))*$F212</f>
        <v>0</v>
      </c>
      <c r="K212" s="84">
        <f>(VLOOKUP($E212,$D$4:$AH$583,8,)/VLOOKUP($E212,$D$4:$AH$583,3,))*$F212</f>
        <v>0</v>
      </c>
      <c r="L212" s="84">
        <f>(VLOOKUP($E212,$D$4:$AH$583,9,)/VLOOKUP($E212,$D$4:$AH$583,3,))*$F212</f>
        <v>0</v>
      </c>
      <c r="M212" s="84">
        <f>(VLOOKUP($E212,$D$4:$AH$583,10,)/VLOOKUP($E212,$D$4:$AH$583,3,))*$F212</f>
        <v>0</v>
      </c>
      <c r="N212" s="84">
        <f>(VLOOKUP($E212,$D$4:$AH$583,11,)/VLOOKUP($E212,$D$4:$AH$583,3,))*$F212</f>
        <v>0</v>
      </c>
      <c r="O212" s="84">
        <f>(VLOOKUP($E212,$D$4:$AH$583,12,)/VLOOKUP($E212,$D$4:$AH$583,3,))*$F212</f>
        <v>0</v>
      </c>
      <c r="P212" s="84">
        <f>(VLOOKUP($E212,$D$4:$AH$583,13,)/VLOOKUP($E212,$D$4:$AH$583,3,))*$F212</f>
        <v>0</v>
      </c>
      <c r="Q212" s="84">
        <f>(VLOOKUP($E212,$D$4:$AH$583,14,)/VLOOKUP($E212,$D$4:$AH$583,3,))*$F212</f>
        <v>0</v>
      </c>
      <c r="R212" s="84">
        <f>(VLOOKUP($E212,$D$4:$AH$583,15,)/VLOOKUP($E212,$D$4:$AH$583,3,))*$F212</f>
        <v>0</v>
      </c>
      <c r="S212" s="84">
        <f>(VLOOKUP($E212,$D$4:$AH$583,16,)/VLOOKUP($E212,$D$4:$AH$583,3,))*$F212</f>
        <v>0</v>
      </c>
      <c r="T212" s="35">
        <f>SUM(G212:S212)</f>
        <v>0</v>
      </c>
      <c r="U212" s="85" t="str">
        <f>IF(ABS(F212-T212)&lt;0.01,"ok","err")</f>
        <v>ok</v>
      </c>
    </row>
    <row r="213" spans="1:21" s="28" customFormat="1" x14ac:dyDescent="0.2">
      <c r="A213" s="86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85"/>
    </row>
    <row r="214" spans="1:21" s="28" customFormat="1" x14ac:dyDescent="0.2">
      <c r="A214" s="1" t="s">
        <v>6</v>
      </c>
      <c r="B214" s="19"/>
      <c r="C214" s="19"/>
      <c r="D214" s="19"/>
      <c r="E214" s="19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85"/>
    </row>
    <row r="215" spans="1:21" s="28" customFormat="1" x14ac:dyDescent="0.2">
      <c r="A215" s="86" t="s">
        <v>207</v>
      </c>
      <c r="C215" s="28" t="s">
        <v>205</v>
      </c>
      <c r="D215" s="28" t="s">
        <v>276</v>
      </c>
      <c r="E215" s="28" t="s">
        <v>319</v>
      </c>
      <c r="F215" s="84">
        <f>VLOOKUP(C215,'S5-Functional Assignment'!$C$1:$AP$743,12,)</f>
        <v>128976.17452225088</v>
      </c>
      <c r="G215" s="84">
        <f>(VLOOKUP($E215,$D$4:$AH$583,4,)/VLOOKUP($E215,$D$4:$AH$583,3,))*$F215</f>
        <v>54150.974171881979</v>
      </c>
      <c r="H215" s="84">
        <f>(VLOOKUP($E215,$D$4:$AH$583,5,)/VLOOKUP($E215,$D$4:$AH$583,3,))*$F215</f>
        <v>0</v>
      </c>
      <c r="I215" s="84">
        <f>(VLOOKUP($E215,$D$4:$AH$583,6,)/VLOOKUP($E215,$D$4:$AH$583,3,))*$F215</f>
        <v>18815.168991925097</v>
      </c>
      <c r="J215" s="84">
        <f>(VLOOKUP($E215,$D$4:$AH$583,7,)/VLOOKUP($E215,$D$4:$AH$583,3,))*$F215</f>
        <v>51280.987109234484</v>
      </c>
      <c r="K215" s="84">
        <f>(VLOOKUP($E215,$D$4:$AH$583,8,)/VLOOKUP($E215,$D$4:$AH$583,3,))*$F215</f>
        <v>4094.1992260284137</v>
      </c>
      <c r="L215" s="84">
        <f>(VLOOKUP($E215,$D$4:$AH$583,9,)/VLOOKUP($E215,$D$4:$AH$583,3,))*$F215</f>
        <v>634.84568840747909</v>
      </c>
      <c r="M215" s="84">
        <f>(VLOOKUP($E215,$D$4:$AH$583,10,)/VLOOKUP($E215,$D$4:$AH$583,3,))*$F215</f>
        <v>0</v>
      </c>
      <c r="N215" s="84">
        <f>(VLOOKUP($E215,$D$4:$AH$583,11,)/VLOOKUP($E215,$D$4:$AH$583,3,))*$F215</f>
        <v>0</v>
      </c>
      <c r="O215" s="84">
        <f>(VLOOKUP($E215,$D$4:$AH$583,12,)/VLOOKUP($E215,$D$4:$AH$583,3,))*$F215</f>
        <v>0</v>
      </c>
      <c r="P215" s="84">
        <f>(VLOOKUP($E215,$D$4:$AH$583,13,)/VLOOKUP($E215,$D$4:$AH$583,3,))*$F215</f>
        <v>0</v>
      </c>
      <c r="Q215" s="84">
        <f>(VLOOKUP($E215,$D$4:$AH$583,14,)/VLOOKUP($E215,$D$4:$AH$583,3,))*$F215</f>
        <v>0</v>
      </c>
      <c r="R215" s="84">
        <f>(VLOOKUP($E215,$D$4:$AH$583,15,)/VLOOKUP($E215,$D$4:$AH$583,3,))*$F215</f>
        <v>0</v>
      </c>
      <c r="S215" s="84">
        <f>(VLOOKUP($E215,$D$4:$AH$583,16,)/VLOOKUP($E215,$D$4:$AH$583,3,))*$F215</f>
        <v>0</v>
      </c>
      <c r="T215" s="35">
        <f>SUM(G215:S215)</f>
        <v>128976.17518747746</v>
      </c>
      <c r="U215" s="85" t="str">
        <f>IF(ABS(F215-T215)&lt;0.01,"ok","err")</f>
        <v>ok</v>
      </c>
    </row>
    <row r="216" spans="1:21" s="28" customFormat="1" x14ac:dyDescent="0.2">
      <c r="F216" s="25"/>
    </row>
    <row r="217" spans="1:21" s="28" customFormat="1" x14ac:dyDescent="0.2">
      <c r="F217" s="25"/>
    </row>
    <row r="218" spans="1:21" s="28" customFormat="1" x14ac:dyDescent="0.2">
      <c r="A218" s="79" t="s">
        <v>343</v>
      </c>
      <c r="B218" s="80"/>
      <c r="C218" s="80"/>
      <c r="D218" s="80"/>
      <c r="E218" s="80"/>
      <c r="F218" s="25"/>
    </row>
    <row r="219" spans="1:21" s="28" customFormat="1" x14ac:dyDescent="0.2">
      <c r="F219" s="25"/>
    </row>
    <row r="220" spans="1:21" s="28" customFormat="1" x14ac:dyDescent="0.2">
      <c r="A220" s="81" t="s">
        <v>7</v>
      </c>
      <c r="B220" s="82"/>
      <c r="C220" s="82"/>
      <c r="D220" s="82"/>
      <c r="E220" s="82"/>
      <c r="F220" s="25"/>
    </row>
    <row r="221" spans="1:21" s="28" customFormat="1" x14ac:dyDescent="0.2">
      <c r="A221" s="86" t="s">
        <v>207</v>
      </c>
      <c r="C221" s="28" t="s">
        <v>205</v>
      </c>
      <c r="D221" s="28" t="s">
        <v>277</v>
      </c>
      <c r="E221" s="28" t="s">
        <v>320</v>
      </c>
      <c r="F221" s="84">
        <f>VLOOKUP(C221,'S5-Functional Assignment'!$C$1:$AP$743,13,)</f>
        <v>1194600.3239615893</v>
      </c>
      <c r="G221" s="84">
        <f>(VLOOKUP($E221,$D$4:$AH$583,4,)/VLOOKUP($E221,$D$4:$AH$583,3,))*$F221</f>
        <v>525280.00416588166</v>
      </c>
      <c r="H221" s="84">
        <f>(VLOOKUP($E221,$D$4:$AH$583,5,)/VLOOKUP($E221,$D$4:$AH$583,3,))*$F221</f>
        <v>0</v>
      </c>
      <c r="I221" s="84">
        <f>(VLOOKUP($E221,$D$4:$AH$583,6,)/VLOOKUP($E221,$D$4:$AH$583,3,))*$F221</f>
        <v>181448.76678783659</v>
      </c>
      <c r="J221" s="84">
        <f>(VLOOKUP($E221,$D$4:$AH$583,7,)/VLOOKUP($E221,$D$4:$AH$583,3,))*$F221</f>
        <v>441856.09849819267</v>
      </c>
      <c r="K221" s="84">
        <f>(VLOOKUP($E221,$D$4:$AH$583,8,)/VLOOKUP($E221,$D$4:$AH$583,3,))*$F221</f>
        <v>39838.163550778932</v>
      </c>
      <c r="L221" s="84">
        <f>(VLOOKUP($E221,$D$4:$AH$583,9,)/VLOOKUP($E221,$D$4:$AH$583,3,))*$F221</f>
        <v>6177.297431814929</v>
      </c>
      <c r="M221" s="84">
        <f>(VLOOKUP($E221,$D$4:$AH$583,10,)/VLOOKUP($E221,$D$4:$AH$583,3,))*$F221</f>
        <v>0</v>
      </c>
      <c r="N221" s="84">
        <f>(VLOOKUP($E221,$D$4:$AH$583,11,)/VLOOKUP($E221,$D$4:$AH$583,3,))*$F221</f>
        <v>0</v>
      </c>
      <c r="O221" s="84">
        <f>(VLOOKUP($E221,$D$4:$AH$583,12,)/VLOOKUP($E221,$D$4:$AH$583,3,))*$F221</f>
        <v>0</v>
      </c>
      <c r="P221" s="84">
        <f>(VLOOKUP($E221,$D$4:$AH$583,13,)/VLOOKUP($E221,$D$4:$AH$583,3,))*$F221</f>
        <v>0</v>
      </c>
      <c r="Q221" s="84">
        <f>(VLOOKUP($E221,$D$4:$AH$583,14,)/VLOOKUP($E221,$D$4:$AH$583,3,))*$F221</f>
        <v>0</v>
      </c>
      <c r="R221" s="84">
        <f>(VLOOKUP($E221,$D$4:$AH$583,15,)/VLOOKUP($E221,$D$4:$AH$583,3,))*$F221</f>
        <v>0</v>
      </c>
      <c r="S221" s="84">
        <f>(VLOOKUP($E221,$D$4:$AH$583,16,)/VLOOKUP($E221,$D$4:$AH$583,3,))*$F221</f>
        <v>0</v>
      </c>
      <c r="T221" s="35">
        <f>SUM(G221:S221)</f>
        <v>1194600.3304345049</v>
      </c>
      <c r="U221" s="85" t="str">
        <f>IF(ABS(F221-T221)&lt;0.01,"ok","err")</f>
        <v>ok</v>
      </c>
    </row>
    <row r="222" spans="1:21" s="28" customFormat="1" x14ac:dyDescent="0.2">
      <c r="A222" s="86" t="s">
        <v>208</v>
      </c>
      <c r="C222" s="28" t="s">
        <v>205</v>
      </c>
      <c r="D222" s="28" t="s">
        <v>278</v>
      </c>
      <c r="E222" s="28" t="s">
        <v>321</v>
      </c>
      <c r="F222" s="25">
        <f>VLOOKUP(C222,'S5-Functional Assignment'!$C$1:$AP$743,14,)</f>
        <v>2936106.1904284153</v>
      </c>
      <c r="G222" s="84">
        <f>(VLOOKUP($E222,$D$4:$AH$583,4,)/VLOOKUP($E222,$D$4:$AH$583,3,))*$F222</f>
        <v>2497201.6411660207</v>
      </c>
      <c r="H222" s="84">
        <f>(VLOOKUP($E222,$D$4:$AH$583,5,)/VLOOKUP($E222,$D$4:$AH$583,3,))*$F222</f>
        <v>0</v>
      </c>
      <c r="I222" s="84">
        <f>(VLOOKUP($E222,$D$4:$AH$583,6,)/VLOOKUP($E222,$D$4:$AH$583,3,))*$F222</f>
        <v>351526.67389041372</v>
      </c>
      <c r="J222" s="84">
        <f>(VLOOKUP($E222,$D$4:$AH$583,7,)/VLOOKUP($E222,$D$4:$AH$583,3,))*$F222</f>
        <v>81735.392645007902</v>
      </c>
      <c r="K222" s="84">
        <f>(VLOOKUP($E222,$D$4:$AH$583,8,)/VLOOKUP($E222,$D$4:$AH$583,3,))*$F222</f>
        <v>5400.6620386740924</v>
      </c>
      <c r="L222" s="84">
        <f>(VLOOKUP($E222,$D$4:$AH$583,9,)/VLOOKUP($E222,$D$4:$AH$583,3,))*$F222</f>
        <v>241.82068829883997</v>
      </c>
      <c r="M222" s="84">
        <f>(VLOOKUP($E222,$D$4:$AH$583,10,)/VLOOKUP($E222,$D$4:$AH$583,3,))*$F222</f>
        <v>0</v>
      </c>
      <c r="N222" s="84">
        <f>(VLOOKUP($E222,$D$4:$AH$583,11,)/VLOOKUP($E222,$D$4:$AH$583,3,))*$F222</f>
        <v>0</v>
      </c>
      <c r="O222" s="84">
        <f>(VLOOKUP($E222,$D$4:$AH$583,12,)/VLOOKUP($E222,$D$4:$AH$583,3,))*$F222</f>
        <v>0</v>
      </c>
      <c r="P222" s="84">
        <f>(VLOOKUP($E222,$D$4:$AH$583,13,)/VLOOKUP($E222,$D$4:$AH$583,3,))*$F222</f>
        <v>0</v>
      </c>
      <c r="Q222" s="84">
        <f>(VLOOKUP($E222,$D$4:$AH$583,14,)/VLOOKUP($E222,$D$4:$AH$583,3,))*$F222</f>
        <v>0</v>
      </c>
      <c r="R222" s="84">
        <f>(VLOOKUP($E222,$D$4:$AH$583,15,)/VLOOKUP($E222,$D$4:$AH$583,3,))*$F222</f>
        <v>0</v>
      </c>
      <c r="S222" s="84">
        <f>(VLOOKUP($E222,$D$4:$AH$583,16,)/VLOOKUP($E222,$D$4:$AH$583,3,))*$F222</f>
        <v>0</v>
      </c>
      <c r="T222" s="25">
        <f>SUM(G222:S222)</f>
        <v>2936106.1904284153</v>
      </c>
      <c r="U222" s="85" t="str">
        <f>IF(ABS(F222-T222)&lt;0.01,"ok","err")</f>
        <v>ok</v>
      </c>
    </row>
    <row r="223" spans="1:21" s="28" customFormat="1" x14ac:dyDescent="0.2">
      <c r="A223" s="28" t="s">
        <v>231</v>
      </c>
      <c r="F223" s="25">
        <f>SUM(F221:F222)</f>
        <v>4130706.5143900048</v>
      </c>
      <c r="G223" s="84">
        <f t="shared" ref="G223:S223" si="23">G221+G222</f>
        <v>3022481.6453319024</v>
      </c>
      <c r="H223" s="84">
        <f t="shared" si="23"/>
        <v>0</v>
      </c>
      <c r="I223" s="84">
        <f t="shared" si="23"/>
        <v>532975.44067825028</v>
      </c>
      <c r="J223" s="84">
        <f t="shared" si="23"/>
        <v>523591.49114320055</v>
      </c>
      <c r="K223" s="84">
        <f t="shared" si="23"/>
        <v>45238.825589453023</v>
      </c>
      <c r="L223" s="84">
        <f t="shared" si="23"/>
        <v>6419.1181201137688</v>
      </c>
      <c r="M223" s="84">
        <f t="shared" si="23"/>
        <v>0</v>
      </c>
      <c r="N223" s="84">
        <f t="shared" si="23"/>
        <v>0</v>
      </c>
      <c r="O223" s="84">
        <f t="shared" si="23"/>
        <v>0</v>
      </c>
      <c r="P223" s="84">
        <f t="shared" si="23"/>
        <v>0</v>
      </c>
      <c r="Q223" s="84">
        <f t="shared" si="23"/>
        <v>0</v>
      </c>
      <c r="R223" s="84">
        <f t="shared" si="23"/>
        <v>0</v>
      </c>
      <c r="S223" s="84">
        <f t="shared" si="23"/>
        <v>0</v>
      </c>
      <c r="T223" s="35">
        <f>SUM(G223:S223)</f>
        <v>4130706.5208629197</v>
      </c>
      <c r="U223" s="85" t="str">
        <f>IF(ABS(F223-T223)&lt;0.01,"ok","err")</f>
        <v>ok</v>
      </c>
    </row>
    <row r="224" spans="1:21" s="28" customFormat="1" x14ac:dyDescent="0.2">
      <c r="F224" s="25"/>
    </row>
    <row r="225" spans="1:21" s="28" customFormat="1" x14ac:dyDescent="0.2">
      <c r="A225" s="81" t="s">
        <v>9</v>
      </c>
      <c r="B225" s="82"/>
      <c r="C225" s="82"/>
      <c r="D225" s="82"/>
      <c r="E225" s="82"/>
      <c r="F225" s="25"/>
    </row>
    <row r="226" spans="1:21" s="28" customFormat="1" x14ac:dyDescent="0.2">
      <c r="A226" s="86" t="s">
        <v>208</v>
      </c>
      <c r="C226" s="28" t="s">
        <v>205</v>
      </c>
      <c r="D226" s="28" t="s">
        <v>272</v>
      </c>
      <c r="E226" s="28" t="s">
        <v>322</v>
      </c>
      <c r="F226" s="84">
        <f>VLOOKUP(C226,'S5-Functional Assignment'!$C$1:$AP$743,15,)</f>
        <v>987264.67378044699</v>
      </c>
      <c r="G226" s="84">
        <f>(VLOOKUP($E226,$D$4:$AH$583,4,)/VLOOKUP($E226,$D$4:$AH$583,3,))*$F226</f>
        <v>808231.50626602303</v>
      </c>
      <c r="H226" s="84">
        <f>(VLOOKUP($E226,$D$4:$AH$583,5,)/VLOOKUP($E226,$D$4:$AH$583,3,))*$F226</f>
        <v>0</v>
      </c>
      <c r="I226" s="84">
        <f>(VLOOKUP($E226,$D$4:$AH$583,6,)/VLOOKUP($E226,$D$4:$AH$583,3,))*$F226</f>
        <v>106011.34877331245</v>
      </c>
      <c r="J226" s="84">
        <f>(VLOOKUP($E226,$D$4:$AH$583,7,)/VLOOKUP($E226,$D$4:$AH$583,3,))*$F226</f>
        <v>68306.387610051257</v>
      </c>
      <c r="K226" s="84">
        <f>(VLOOKUP($E226,$D$4:$AH$583,8,)/VLOOKUP($E226,$D$4:$AH$583,3,))*$F226</f>
        <v>4513.3411931690671</v>
      </c>
      <c r="L226" s="84">
        <f>(VLOOKUP($E226,$D$4:$AH$583,9,)/VLOOKUP($E226,$D$4:$AH$583,3,))*$F226</f>
        <v>202.08990417174931</v>
      </c>
      <c r="M226" s="84">
        <f>(VLOOKUP($E226,$D$4:$AH$583,10,)/VLOOKUP($E226,$D$4:$AH$583,3,))*$F226</f>
        <v>0</v>
      </c>
      <c r="N226" s="84">
        <f>(VLOOKUP($E226,$D$4:$AH$583,11,)/VLOOKUP($E226,$D$4:$AH$583,3,))*$F226</f>
        <v>0</v>
      </c>
      <c r="O226" s="84">
        <f>(VLOOKUP($E226,$D$4:$AH$583,12,)/VLOOKUP($E226,$D$4:$AH$583,3,))*$F226</f>
        <v>0</v>
      </c>
      <c r="P226" s="84">
        <f>(VLOOKUP($E226,$D$4:$AH$583,13,)/VLOOKUP($E226,$D$4:$AH$583,3,))*$F226</f>
        <v>0</v>
      </c>
      <c r="Q226" s="84">
        <f>(VLOOKUP($E226,$D$4:$AH$583,14,)/VLOOKUP($E226,$D$4:$AH$583,3,))*$F226</f>
        <v>0</v>
      </c>
      <c r="R226" s="84">
        <f>(VLOOKUP($E226,$D$4:$AH$583,15,)/VLOOKUP($E226,$D$4:$AH$583,3,))*$F226</f>
        <v>0</v>
      </c>
      <c r="S226" s="84">
        <f>(VLOOKUP($E226,$D$4:$AH$583,16,)/VLOOKUP($E226,$D$4:$AH$583,3,))*$F226</f>
        <v>0</v>
      </c>
      <c r="T226" s="84">
        <f>SUM(G226:S226)</f>
        <v>987264.67374672752</v>
      </c>
      <c r="U226" s="85" t="str">
        <f>IF(ABS(F226-T226)&lt;0.01,"ok","err")</f>
        <v>ok</v>
      </c>
    </row>
    <row r="227" spans="1:21" s="28" customFormat="1" x14ac:dyDescent="0.2">
      <c r="F227" s="25"/>
    </row>
    <row r="228" spans="1:21" s="28" customFormat="1" x14ac:dyDescent="0.2">
      <c r="A228" s="81" t="s">
        <v>10</v>
      </c>
      <c r="B228" s="82"/>
      <c r="C228" s="82"/>
      <c r="D228" s="82"/>
      <c r="E228" s="82"/>
      <c r="F228" s="25"/>
    </row>
    <row r="229" spans="1:21" s="28" customFormat="1" x14ac:dyDescent="0.2">
      <c r="A229" s="86" t="s">
        <v>208</v>
      </c>
      <c r="C229" s="28" t="s">
        <v>205</v>
      </c>
      <c r="D229" s="28" t="s">
        <v>279</v>
      </c>
      <c r="E229" s="28" t="s">
        <v>323</v>
      </c>
      <c r="F229" s="84">
        <f>VLOOKUP(C229,'S5-Functional Assignment'!$C$1:$AP$743,16,)</f>
        <v>990097.09756160644</v>
      </c>
      <c r="G229" s="84">
        <f>(VLOOKUP($E229,$D$4:$AH$583,4,)/VLOOKUP($E229,$D$4:$AH$583,3,))*$F229</f>
        <v>610665.07404675975</v>
      </c>
      <c r="H229" s="84">
        <f>(VLOOKUP($E229,$D$4:$AH$583,5,)/VLOOKUP($E229,$D$4:$AH$583,3,))*$F229</f>
        <v>65166.51823107127</v>
      </c>
      <c r="I229" s="84">
        <f>(VLOOKUP($E229,$D$4:$AH$583,6,)/VLOOKUP($E229,$D$4:$AH$583,3,))*$F229</f>
        <v>138141.37921521254</v>
      </c>
      <c r="J229" s="84">
        <f>(VLOOKUP($E229,$D$4:$AH$583,7,)/VLOOKUP($E229,$D$4:$AH$583,3,))*$F229</f>
        <v>145947.43001118227</v>
      </c>
      <c r="K229" s="84">
        <f>(VLOOKUP($E229,$D$4:$AH$583,8,)/VLOOKUP($E229,$D$4:$AH$583,3,))*$F229</f>
        <v>28146.813799939573</v>
      </c>
      <c r="L229" s="84">
        <f>(VLOOKUP($E229,$D$4:$AH$583,9,)/VLOOKUP($E229,$D$4:$AH$583,3,))*$F229</f>
        <v>2029.8824134281272</v>
      </c>
      <c r="M229" s="84">
        <f>(VLOOKUP($E229,$D$4:$AH$583,10,)/VLOOKUP($E229,$D$4:$AH$583,3,))*$F229</f>
        <v>0</v>
      </c>
      <c r="N229" s="84">
        <f>(VLOOKUP($E229,$D$4:$AH$583,11,)/VLOOKUP($E229,$D$4:$AH$583,3,))*$F229</f>
        <v>0</v>
      </c>
      <c r="O229" s="84">
        <f>(VLOOKUP($E229,$D$4:$AH$583,12,)/VLOOKUP($E229,$D$4:$AH$583,3,))*$F229</f>
        <v>0</v>
      </c>
      <c r="P229" s="84">
        <f>(VLOOKUP($E229,$D$4:$AH$583,13,)/VLOOKUP($E229,$D$4:$AH$583,3,))*$F229</f>
        <v>0</v>
      </c>
      <c r="Q229" s="84">
        <f>(VLOOKUP($E229,$D$4:$AH$583,14,)/VLOOKUP($E229,$D$4:$AH$583,3,))*$F229</f>
        <v>0</v>
      </c>
      <c r="R229" s="84">
        <f>(VLOOKUP($E229,$D$4:$AH$583,15,)/VLOOKUP($E229,$D$4:$AH$583,3,))*$F229</f>
        <v>0</v>
      </c>
      <c r="S229" s="84">
        <f>(VLOOKUP($E229,$D$4:$AH$583,16,)/VLOOKUP($E229,$D$4:$AH$583,3,))*$F229</f>
        <v>0</v>
      </c>
      <c r="T229" s="35">
        <f>SUM(G229:S229)</f>
        <v>990097.09771759354</v>
      </c>
      <c r="U229" s="85" t="str">
        <f>IF(ABS(F229-T229)&lt;0.01,"ok","err")</f>
        <v>ok</v>
      </c>
    </row>
    <row r="230" spans="1:21" s="28" customFormat="1" x14ac:dyDescent="0.2">
      <c r="F230" s="25"/>
    </row>
    <row r="231" spans="1:21" s="28" customFormat="1" x14ac:dyDescent="0.2">
      <c r="A231" s="81" t="s">
        <v>11</v>
      </c>
      <c r="B231" s="82"/>
      <c r="C231" s="82"/>
      <c r="D231" s="82"/>
      <c r="E231" s="82"/>
      <c r="F231" s="25"/>
    </row>
    <row r="232" spans="1:21" s="28" customFormat="1" x14ac:dyDescent="0.2">
      <c r="A232" s="86" t="s">
        <v>208</v>
      </c>
      <c r="C232" s="28" t="s">
        <v>205</v>
      </c>
      <c r="D232" s="28" t="s">
        <v>280</v>
      </c>
      <c r="E232" s="28" t="s">
        <v>324</v>
      </c>
      <c r="F232" s="84">
        <f>VLOOKUP(C232,'S5-Functional Assignment'!$C$1:$AP$743,17,)</f>
        <v>0</v>
      </c>
      <c r="G232" s="84">
        <f>(VLOOKUP($E232,$D$4:$AH$583,4,)/VLOOKUP($E232,$D$4:$AH$583,3,))*$F232</f>
        <v>0</v>
      </c>
      <c r="H232" s="84">
        <f>(VLOOKUP($E232,$D$4:$AH$583,5,)/VLOOKUP($E232,$D$4:$AH$583,3,))*$F232</f>
        <v>0</v>
      </c>
      <c r="I232" s="84">
        <f>(VLOOKUP($E232,$D$4:$AH$583,6,)/VLOOKUP($E232,$D$4:$AH$583,3,))*$F232</f>
        <v>0</v>
      </c>
      <c r="J232" s="84">
        <f>(VLOOKUP($E232,$D$4:$AH$583,7,)/VLOOKUP($E232,$D$4:$AH$583,3,))*$F232</f>
        <v>0</v>
      </c>
      <c r="K232" s="84">
        <f>(VLOOKUP($E232,$D$4:$AH$583,8,)/VLOOKUP($E232,$D$4:$AH$583,3,))*$F232</f>
        <v>0</v>
      </c>
      <c r="L232" s="84">
        <f>(VLOOKUP($E232,$D$4:$AH$583,9,)/VLOOKUP($E232,$D$4:$AH$583,3,))*$F232</f>
        <v>0</v>
      </c>
      <c r="M232" s="84">
        <f>(VLOOKUP($E232,$D$4:$AH$583,10,)/VLOOKUP($E232,$D$4:$AH$583,3,))*$F232</f>
        <v>0</v>
      </c>
      <c r="N232" s="84">
        <f>(VLOOKUP($E232,$D$4:$AH$583,11,)/VLOOKUP($E232,$D$4:$AH$583,3,))*$F232</f>
        <v>0</v>
      </c>
      <c r="O232" s="84">
        <f>(VLOOKUP($E232,$D$4:$AH$583,12,)/VLOOKUP($E232,$D$4:$AH$583,3,))*$F232</f>
        <v>0</v>
      </c>
      <c r="P232" s="84">
        <f>(VLOOKUP($E232,$D$4:$AH$583,13,)/VLOOKUP($E232,$D$4:$AH$583,3,))*$F232</f>
        <v>0</v>
      </c>
      <c r="Q232" s="84">
        <f>(VLOOKUP($E232,$D$4:$AH$583,14,)/VLOOKUP($E232,$D$4:$AH$583,3,))*$F232</f>
        <v>0</v>
      </c>
      <c r="R232" s="84">
        <f>(VLOOKUP($E232,$D$4:$AH$583,15,)/VLOOKUP($E232,$D$4:$AH$583,3,))*$F232</f>
        <v>0</v>
      </c>
      <c r="S232" s="84">
        <f>(VLOOKUP($E232,$D$4:$AH$583,16,)/VLOOKUP($E232,$D$4:$AH$583,3,))*$F232</f>
        <v>0</v>
      </c>
      <c r="T232" s="35">
        <f>SUM(G232:S232)</f>
        <v>0</v>
      </c>
      <c r="U232" s="85" t="str">
        <f>IF(ABS(F232-T232)&lt;0.01,"ok","err")</f>
        <v>ok</v>
      </c>
    </row>
    <row r="233" spans="1:21" s="28" customFormat="1" x14ac:dyDescent="0.2">
      <c r="F233" s="25"/>
    </row>
    <row r="234" spans="1:21" s="28" customFormat="1" x14ac:dyDescent="0.2">
      <c r="A234" s="81" t="s">
        <v>12</v>
      </c>
      <c r="B234" s="82"/>
      <c r="C234" s="82"/>
      <c r="D234" s="82"/>
      <c r="E234" s="82"/>
      <c r="F234" s="25"/>
    </row>
    <row r="235" spans="1:21" s="28" customFormat="1" x14ac:dyDescent="0.2">
      <c r="A235" s="86" t="s">
        <v>208</v>
      </c>
      <c r="C235" s="28" t="s">
        <v>205</v>
      </c>
      <c r="D235" s="28" t="s">
        <v>281</v>
      </c>
      <c r="E235" s="28" t="s">
        <v>325</v>
      </c>
      <c r="F235" s="84">
        <f>VLOOKUP(C235,'S5-Functional Assignment'!$C$1:$AP$743,18,)</f>
        <v>0</v>
      </c>
      <c r="G235" s="84">
        <f>(VLOOKUP($E235,$D$4:$AH$583,4,)/VLOOKUP($E235,$D$4:$AH$583,3,))*$F235</f>
        <v>0</v>
      </c>
      <c r="H235" s="84">
        <f>(VLOOKUP($E235,$D$4:$AH$583,5,)/VLOOKUP($E235,$D$4:$AH$583,3,))*$F235</f>
        <v>0</v>
      </c>
      <c r="I235" s="84">
        <f>(VLOOKUP($E235,$D$4:$AH$583,6,)/VLOOKUP($E235,$D$4:$AH$583,3,))*$F235</f>
        <v>0</v>
      </c>
      <c r="J235" s="84">
        <f>(VLOOKUP($E235,$D$4:$AH$583,7,)/VLOOKUP($E235,$D$4:$AH$583,3,))*$F235</f>
        <v>0</v>
      </c>
      <c r="K235" s="84">
        <f>(VLOOKUP($E235,$D$4:$AH$583,8,)/VLOOKUP($E235,$D$4:$AH$583,3,))*$F235</f>
        <v>0</v>
      </c>
      <c r="L235" s="84">
        <f>(VLOOKUP($E235,$D$4:$AH$583,9,)/VLOOKUP($E235,$D$4:$AH$583,3,))*$F235</f>
        <v>0</v>
      </c>
      <c r="M235" s="84">
        <f>(VLOOKUP($E235,$D$4:$AH$583,10,)/VLOOKUP($E235,$D$4:$AH$583,3,))*$F235</f>
        <v>0</v>
      </c>
      <c r="N235" s="84">
        <f>(VLOOKUP($E235,$D$4:$AH$583,11,)/VLOOKUP($E235,$D$4:$AH$583,3,))*$F235</f>
        <v>0</v>
      </c>
      <c r="O235" s="84">
        <f>(VLOOKUP($E235,$D$4:$AH$583,12,)/VLOOKUP($E235,$D$4:$AH$583,3,))*$F235</f>
        <v>0</v>
      </c>
      <c r="P235" s="84">
        <f>(VLOOKUP($E235,$D$4:$AH$583,13,)/VLOOKUP($E235,$D$4:$AH$583,3,))*$F235</f>
        <v>0</v>
      </c>
      <c r="Q235" s="84">
        <f>(VLOOKUP($E235,$D$4:$AH$583,14,)/VLOOKUP($E235,$D$4:$AH$583,3,))*$F235</f>
        <v>0</v>
      </c>
      <c r="R235" s="84">
        <f>(VLOOKUP($E235,$D$4:$AH$583,15,)/VLOOKUP($E235,$D$4:$AH$583,3,))*$F235</f>
        <v>0</v>
      </c>
      <c r="S235" s="84">
        <f>(VLOOKUP($E235,$D$4:$AH$583,16,)/VLOOKUP($E235,$D$4:$AH$583,3,))*$F235</f>
        <v>0</v>
      </c>
      <c r="T235" s="35">
        <f>SUM(G235:S235)</f>
        <v>0</v>
      </c>
      <c r="U235" s="85" t="str">
        <f>IF(ABS(F235-T235)&lt;0.01,"ok","err")</f>
        <v>ok</v>
      </c>
    </row>
    <row r="236" spans="1:21" s="28" customFormat="1" x14ac:dyDescent="0.2">
      <c r="F236" s="25"/>
    </row>
    <row r="237" spans="1:21" s="28" customFormat="1" x14ac:dyDescent="0.2">
      <c r="A237" s="28" t="s">
        <v>13</v>
      </c>
      <c r="D237" s="28" t="s">
        <v>296</v>
      </c>
      <c r="F237" s="84">
        <f>F199+F204+F209+F212+F215+F223+F226+F229+F232+F235</f>
        <v>9903030.0000000019</v>
      </c>
      <c r="G237" s="84">
        <f t="shared" ref="G237:S237" si="24">G199+G204+G209+G212+G215+G223+G226+G229+G232+G235</f>
        <v>5651888.9596382007</v>
      </c>
      <c r="H237" s="84">
        <f t="shared" si="24"/>
        <v>65166.51823107127</v>
      </c>
      <c r="I237" s="84">
        <f t="shared" si="24"/>
        <v>1198420.8027029813</v>
      </c>
      <c r="J237" s="84">
        <f t="shared" si="24"/>
        <v>1910279.6263296399</v>
      </c>
      <c r="K237" s="84">
        <f t="shared" si="24"/>
        <v>135499.61231464945</v>
      </c>
      <c r="L237" s="84">
        <f t="shared" si="24"/>
        <v>208857.04007391512</v>
      </c>
      <c r="M237" s="84">
        <f t="shared" si="24"/>
        <v>732917.44796995213</v>
      </c>
      <c r="N237" s="84">
        <f t="shared" si="24"/>
        <v>0</v>
      </c>
      <c r="O237" s="84">
        <f t="shared" si="24"/>
        <v>0</v>
      </c>
      <c r="P237" s="84">
        <f t="shared" si="24"/>
        <v>0</v>
      </c>
      <c r="Q237" s="84">
        <f t="shared" si="24"/>
        <v>0</v>
      </c>
      <c r="R237" s="84">
        <f t="shared" si="24"/>
        <v>0</v>
      </c>
      <c r="S237" s="84">
        <f t="shared" si="24"/>
        <v>0</v>
      </c>
      <c r="T237" s="35">
        <f>SUM(G237:S237)</f>
        <v>9903030.0072604083</v>
      </c>
      <c r="U237" s="85" t="str">
        <f>IF(ABS(F237-T237)&lt;0.01,"ok","err")</f>
        <v>ok</v>
      </c>
    </row>
    <row r="242" spans="1:21" s="80" customFormat="1" x14ac:dyDescent="0.2">
      <c r="A242" s="79" t="s">
        <v>215</v>
      </c>
    </row>
    <row r="244" spans="1:21" s="82" customFormat="1" x14ac:dyDescent="0.2">
      <c r="A244" s="81" t="s">
        <v>737</v>
      </c>
    </row>
    <row r="245" spans="1:21" s="28" customFormat="1" x14ac:dyDescent="0.2">
      <c r="A245" s="83" t="s">
        <v>207</v>
      </c>
      <c r="B245" s="82"/>
      <c r="C245" s="82" t="s">
        <v>179</v>
      </c>
      <c r="D245" s="82" t="s">
        <v>283</v>
      </c>
      <c r="E245" s="82" t="s">
        <v>312</v>
      </c>
      <c r="F245" s="84">
        <f>VLOOKUP(C245,'S5-Functional Assignment'!$C$1:$AP$743,5,)</f>
        <v>0</v>
      </c>
      <c r="G245" s="84">
        <f>(VLOOKUP($E245,$D$4:$AH$583,4,)/VLOOKUP($E245,$D$4:$AH$583,3,))*$F245</f>
        <v>0</v>
      </c>
      <c r="H245" s="84">
        <f>(VLOOKUP($E245,$D$4:$AH$583,5,)/VLOOKUP($E245,$D$4:$AH$583,3,))*$F245</f>
        <v>0</v>
      </c>
      <c r="I245" s="84">
        <f>(VLOOKUP($E245,$D$4:$AH$583,6,)/VLOOKUP($E245,$D$4:$AH$583,3,))*$F245</f>
        <v>0</v>
      </c>
      <c r="J245" s="84">
        <f>(VLOOKUP($E245,$D$4:$AH$583,7,)/VLOOKUP($E245,$D$4:$AH$583,3,))*$F245</f>
        <v>0</v>
      </c>
      <c r="K245" s="84">
        <f>(VLOOKUP($E245,$D$4:$AH$583,8,)/VLOOKUP($E245,$D$4:$AH$583,3,))*$F245</f>
        <v>0</v>
      </c>
      <c r="L245" s="84">
        <f>(VLOOKUP($E245,$D$4:$AH$583,9,)/VLOOKUP($E245,$D$4:$AH$583,3,))*$F245</f>
        <v>0</v>
      </c>
      <c r="M245" s="84">
        <f>(VLOOKUP($E245,$D$4:$AH$583,10,)/VLOOKUP($E245,$D$4:$AH$583,3,))*$F245</f>
        <v>0</v>
      </c>
      <c r="N245" s="84">
        <f>(VLOOKUP($E245,$D$4:$AH$583,11,)/VLOOKUP($E245,$D$4:$AH$583,3,))*$F245</f>
        <v>0</v>
      </c>
      <c r="O245" s="84">
        <f>(VLOOKUP($E245,$D$4:$AH$583,12,)/VLOOKUP($E245,$D$4:$AH$583,3,))*$F245</f>
        <v>0</v>
      </c>
      <c r="P245" s="84">
        <f>(VLOOKUP($E245,$D$4:$AH$583,13,)/VLOOKUP($E245,$D$4:$AH$583,3,))*$F245</f>
        <v>0</v>
      </c>
      <c r="Q245" s="84">
        <f>(VLOOKUP($E245,$D$4:$AH$583,14,)/VLOOKUP($E245,$D$4:$AH$583,3,))*$F245</f>
        <v>0</v>
      </c>
      <c r="R245" s="84">
        <f>(VLOOKUP($E245,$D$4:$AH$583,15,)/VLOOKUP($E245,$D$4:$AH$583,3,))*$F245</f>
        <v>0</v>
      </c>
      <c r="S245" s="84">
        <f>(VLOOKUP($E245,$D$4:$AH$583,16,)/VLOOKUP($E245,$D$4:$AH$583,3,))*$F245</f>
        <v>0</v>
      </c>
      <c r="T245" s="35">
        <f>SUM(G245:S245)</f>
        <v>0</v>
      </c>
      <c r="U245" s="85" t="str">
        <f>IF(ABS(F245-T245)&lt;0.01,"ok","err")</f>
        <v>ok</v>
      </c>
    </row>
    <row r="246" spans="1:21" s="28" customFormat="1" x14ac:dyDescent="0.2">
      <c r="A246" s="86" t="s">
        <v>228</v>
      </c>
      <c r="C246" s="28" t="s">
        <v>179</v>
      </c>
      <c r="D246" s="28" t="s">
        <v>284</v>
      </c>
      <c r="E246" s="28" t="s">
        <v>313</v>
      </c>
      <c r="F246" s="25">
        <f>VLOOKUP(C246,'S5-Functional Assignment'!$C$1:$AP$743,6,)</f>
        <v>0</v>
      </c>
      <c r="G246" s="84">
        <f>(VLOOKUP($E246,$D$4:$AH$583,4,)/VLOOKUP($E246,$D$4:$AH$583,3,))*$F246</f>
        <v>0</v>
      </c>
      <c r="H246" s="84">
        <f>(VLOOKUP($E246,$D$4:$AH$583,5,)/VLOOKUP($E246,$D$4:$AH$583,3,))*$F246</f>
        <v>0</v>
      </c>
      <c r="I246" s="84">
        <f>(VLOOKUP($E246,$D$4:$AH$583,6,)/VLOOKUP($E246,$D$4:$AH$583,3,))*$F246</f>
        <v>0</v>
      </c>
      <c r="J246" s="84">
        <f>(VLOOKUP($E246,$D$4:$AH$583,7,)/VLOOKUP($E246,$D$4:$AH$583,3,))*$F246</f>
        <v>0</v>
      </c>
      <c r="K246" s="84">
        <f>(VLOOKUP($E246,$D$4:$AH$583,8,)/VLOOKUP($E246,$D$4:$AH$583,3,))*$F246</f>
        <v>0</v>
      </c>
      <c r="L246" s="84">
        <f>(VLOOKUP($E246,$D$4:$AH$583,9,)/VLOOKUP($E246,$D$4:$AH$583,3,))*$F246</f>
        <v>0</v>
      </c>
      <c r="M246" s="84">
        <f>(VLOOKUP($E246,$D$4:$AH$583,10,)/VLOOKUP($E246,$D$4:$AH$583,3,))*$F246</f>
        <v>0</v>
      </c>
      <c r="N246" s="84">
        <f>(VLOOKUP($E246,$D$4:$AH$583,11,)/VLOOKUP($E246,$D$4:$AH$583,3,))*$F246</f>
        <v>0</v>
      </c>
      <c r="O246" s="84">
        <f>(VLOOKUP($E246,$D$4:$AH$583,12,)/VLOOKUP($E246,$D$4:$AH$583,3,))*$F246</f>
        <v>0</v>
      </c>
      <c r="P246" s="84">
        <f>(VLOOKUP($E246,$D$4:$AH$583,13,)/VLOOKUP($E246,$D$4:$AH$583,3,))*$F246</f>
        <v>0</v>
      </c>
      <c r="Q246" s="84">
        <f>(VLOOKUP($E246,$D$4:$AH$583,14,)/VLOOKUP($E246,$D$4:$AH$583,3,))*$F246</f>
        <v>0</v>
      </c>
      <c r="R246" s="84">
        <f>(VLOOKUP($E246,$D$4:$AH$583,15,)/VLOOKUP($E246,$D$4:$AH$583,3,))*$F246</f>
        <v>0</v>
      </c>
      <c r="S246" s="84">
        <f>(VLOOKUP($E246,$D$4:$AH$583,16,)/VLOOKUP($E246,$D$4:$AH$583,3,))*$F246</f>
        <v>0</v>
      </c>
      <c r="T246" s="25">
        <f>SUM(G246:S246)</f>
        <v>0</v>
      </c>
      <c r="U246" s="85" t="str">
        <f>IF(ABS(F246-T246)&lt;0.01,"ok","err")</f>
        <v>ok</v>
      </c>
    </row>
    <row r="247" spans="1:21" s="28" customFormat="1" x14ac:dyDescent="0.2">
      <c r="A247" s="28" t="s">
        <v>664</v>
      </c>
      <c r="D247" s="28" t="s">
        <v>339</v>
      </c>
      <c r="F247" s="84">
        <f t="shared" ref="F247:S247" si="25">F245+F246</f>
        <v>0</v>
      </c>
      <c r="G247" s="84">
        <f t="shared" si="25"/>
        <v>0</v>
      </c>
      <c r="H247" s="84">
        <f t="shared" si="25"/>
        <v>0</v>
      </c>
      <c r="I247" s="84">
        <f t="shared" si="25"/>
        <v>0</v>
      </c>
      <c r="J247" s="84">
        <f t="shared" si="25"/>
        <v>0</v>
      </c>
      <c r="K247" s="84">
        <f t="shared" si="25"/>
        <v>0</v>
      </c>
      <c r="L247" s="84">
        <f t="shared" si="25"/>
        <v>0</v>
      </c>
      <c r="M247" s="84">
        <f t="shared" si="25"/>
        <v>0</v>
      </c>
      <c r="N247" s="84">
        <f t="shared" si="25"/>
        <v>0</v>
      </c>
      <c r="O247" s="84">
        <f t="shared" si="25"/>
        <v>0</v>
      </c>
      <c r="P247" s="84">
        <f t="shared" si="25"/>
        <v>0</v>
      </c>
      <c r="Q247" s="84">
        <f t="shared" si="25"/>
        <v>0</v>
      </c>
      <c r="R247" s="84">
        <f t="shared" si="25"/>
        <v>0</v>
      </c>
      <c r="S247" s="84">
        <f t="shared" si="25"/>
        <v>0</v>
      </c>
      <c r="T247" s="35">
        <f>SUM(G247:S247)</f>
        <v>0</v>
      </c>
      <c r="U247" s="85" t="str">
        <f>IF(ABS(F247-T247)&lt;0.01,"ok","err")</f>
        <v>ok</v>
      </c>
    </row>
    <row r="248" spans="1:21" s="28" customFormat="1" x14ac:dyDescent="0.2">
      <c r="F248" s="25"/>
      <c r="G248" s="25"/>
    </row>
    <row r="249" spans="1:21" s="28" customFormat="1" x14ac:dyDescent="0.2">
      <c r="A249" s="74" t="s">
        <v>2</v>
      </c>
      <c r="B249" s="75"/>
      <c r="C249" s="75"/>
      <c r="D249" s="75"/>
      <c r="E249" s="75"/>
      <c r="F249" s="25"/>
      <c r="G249" s="25"/>
    </row>
    <row r="250" spans="1:21" s="28" customFormat="1" x14ac:dyDescent="0.2">
      <c r="A250" s="86" t="s">
        <v>207</v>
      </c>
      <c r="C250" s="28" t="s">
        <v>179</v>
      </c>
      <c r="D250" s="28" t="s">
        <v>285</v>
      </c>
      <c r="E250" s="28" t="s">
        <v>314</v>
      </c>
      <c r="F250" s="84">
        <f>VLOOKUP(C250,'S5-Functional Assignment'!$C$1:$AP$743,7,)</f>
        <v>498046.97567423049</v>
      </c>
      <c r="G250" s="84">
        <f>(VLOOKUP($E250,$D$4:$AH$583,4,)/VLOOKUP($E250,$D$4:$AH$583,3,))*$F250</f>
        <v>211563.32713369397</v>
      </c>
      <c r="H250" s="84">
        <f>(VLOOKUP($E250,$D$4:$AH$583,5,)/VLOOKUP($E250,$D$4:$AH$583,3,))*$F250</f>
        <v>0</v>
      </c>
      <c r="I250" s="84">
        <f>(VLOOKUP($E250,$D$4:$AH$583,6,)/VLOOKUP($E250,$D$4:$AH$583,3,))*$F250</f>
        <v>73835.333022576713</v>
      </c>
      <c r="J250" s="84">
        <f>(VLOOKUP($E250,$D$4:$AH$583,7,)/VLOOKUP($E250,$D$4:$AH$583,3,))*$F250</f>
        <v>212648.31551795983</v>
      </c>
      <c r="K250" s="84">
        <f>(VLOOKUP($E250,$D$4:$AH$583,8,)/VLOOKUP($E250,$D$4:$AH$583,3,))*$F250</f>
        <v>0</v>
      </c>
      <c r="L250" s="84">
        <f>(VLOOKUP($E250,$D$4:$AH$583,9,)/VLOOKUP($E250,$D$4:$AH$583,3,))*$F250</f>
        <v>0</v>
      </c>
      <c r="M250" s="84">
        <f>(VLOOKUP($E250,$D$4:$AH$583,10,)/VLOOKUP($E250,$D$4:$AH$583,3,))*$F250</f>
        <v>0</v>
      </c>
      <c r="N250" s="84">
        <f>(VLOOKUP($E250,$D$4:$AH$583,11,)/VLOOKUP($E250,$D$4:$AH$583,3,))*$F250</f>
        <v>0</v>
      </c>
      <c r="O250" s="84">
        <f>(VLOOKUP($E250,$D$4:$AH$583,12,)/VLOOKUP($E250,$D$4:$AH$583,3,))*$F250</f>
        <v>0</v>
      </c>
      <c r="P250" s="84">
        <f>(VLOOKUP($E250,$D$4:$AH$583,13,)/VLOOKUP($E250,$D$4:$AH$583,3,))*$F250</f>
        <v>0</v>
      </c>
      <c r="Q250" s="84">
        <f>(VLOOKUP($E250,$D$4:$AH$583,14,)/VLOOKUP($E250,$D$4:$AH$583,3,))*$F250</f>
        <v>0</v>
      </c>
      <c r="R250" s="84">
        <f>(VLOOKUP($E250,$D$4:$AH$583,15,)/VLOOKUP($E250,$D$4:$AH$583,3,))*$F250</f>
        <v>0</v>
      </c>
      <c r="S250" s="84">
        <f>(VLOOKUP($E250,$D$4:$AH$583,16,)/VLOOKUP($E250,$D$4:$AH$583,3,))*$F250</f>
        <v>0</v>
      </c>
      <c r="T250" s="35">
        <f>SUM(G250:S250)</f>
        <v>498046.97567423049</v>
      </c>
      <c r="U250" s="85" t="str">
        <f>IF(ABS(F250-T250)&lt;0.01,"ok","err")</f>
        <v>ok</v>
      </c>
    </row>
    <row r="251" spans="1:21" s="28" customFormat="1" x14ac:dyDescent="0.2">
      <c r="A251" s="28" t="s">
        <v>228</v>
      </c>
      <c r="C251" s="28" t="s">
        <v>179</v>
      </c>
      <c r="D251" s="28" t="s">
        <v>286</v>
      </c>
      <c r="E251" s="28" t="s">
        <v>315</v>
      </c>
      <c r="F251" s="25">
        <f>VLOOKUP(C251,'S5-Functional Assignment'!$C$1:$AP$743,8,)</f>
        <v>0</v>
      </c>
      <c r="G251" s="84">
        <f>(VLOOKUP($E251,$D$4:$AH$583,4,)/VLOOKUP($E251,$D$4:$AH$583,3,))*$F251</f>
        <v>0</v>
      </c>
      <c r="H251" s="84">
        <f>(VLOOKUP($E251,$D$4:$AH$583,5,)/VLOOKUP($E251,$D$4:$AH$583,3,))*$F251</f>
        <v>0</v>
      </c>
      <c r="I251" s="84">
        <f>(VLOOKUP($E251,$D$4:$AH$583,6,)/VLOOKUP($E251,$D$4:$AH$583,3,))*$F251</f>
        <v>0</v>
      </c>
      <c r="J251" s="84">
        <f>(VLOOKUP($E251,$D$4:$AH$583,7,)/VLOOKUP($E251,$D$4:$AH$583,3,))*$F251</f>
        <v>0</v>
      </c>
      <c r="K251" s="84">
        <f>(VLOOKUP($E251,$D$4:$AH$583,8,)/VLOOKUP($E251,$D$4:$AH$583,3,))*$F251</f>
        <v>0</v>
      </c>
      <c r="L251" s="84">
        <f>(VLOOKUP($E251,$D$4:$AH$583,9,)/VLOOKUP($E251,$D$4:$AH$583,3,))*$F251</f>
        <v>0</v>
      </c>
      <c r="M251" s="84">
        <f>(VLOOKUP($E251,$D$4:$AH$583,10,)/VLOOKUP($E251,$D$4:$AH$583,3,))*$F251</f>
        <v>0</v>
      </c>
      <c r="N251" s="84">
        <f>(VLOOKUP($E251,$D$4:$AH$583,11,)/VLOOKUP($E251,$D$4:$AH$583,3,))*$F251</f>
        <v>0</v>
      </c>
      <c r="O251" s="84">
        <f>(VLOOKUP($E251,$D$4:$AH$583,12,)/VLOOKUP($E251,$D$4:$AH$583,3,))*$F251</f>
        <v>0</v>
      </c>
      <c r="P251" s="84">
        <f>(VLOOKUP($E251,$D$4:$AH$583,13,)/VLOOKUP($E251,$D$4:$AH$583,3,))*$F251</f>
        <v>0</v>
      </c>
      <c r="Q251" s="84">
        <f>(VLOOKUP($E251,$D$4:$AH$583,14,)/VLOOKUP($E251,$D$4:$AH$583,3,))*$F251</f>
        <v>0</v>
      </c>
      <c r="R251" s="84">
        <f>(VLOOKUP($E251,$D$4:$AH$583,15,)/VLOOKUP($E251,$D$4:$AH$583,3,))*$F251</f>
        <v>0</v>
      </c>
      <c r="S251" s="84">
        <f>(VLOOKUP($E251,$D$4:$AH$583,16,)/VLOOKUP($E251,$D$4:$AH$583,3,))*$F251</f>
        <v>0</v>
      </c>
      <c r="T251" s="25">
        <f>SUM(G251:S251)</f>
        <v>0</v>
      </c>
      <c r="U251" s="85" t="str">
        <f>IF(ABS(F251-T251)&lt;0.01,"ok","err")</f>
        <v>ok</v>
      </c>
    </row>
    <row r="252" spans="1:21" s="28" customFormat="1" x14ac:dyDescent="0.2">
      <c r="A252" s="28" t="s">
        <v>229</v>
      </c>
      <c r="D252" s="28" t="s">
        <v>340</v>
      </c>
      <c r="F252" s="84">
        <f>SUM(F250:F251)</f>
        <v>498046.97567423049</v>
      </c>
      <c r="G252" s="84">
        <f t="shared" ref="G252:S252" si="26">G250+G251</f>
        <v>211563.32713369397</v>
      </c>
      <c r="H252" s="84">
        <f t="shared" si="26"/>
        <v>0</v>
      </c>
      <c r="I252" s="84">
        <f t="shared" si="26"/>
        <v>73835.333022576713</v>
      </c>
      <c r="J252" s="84">
        <f t="shared" si="26"/>
        <v>212648.31551795983</v>
      </c>
      <c r="K252" s="84">
        <f t="shared" si="26"/>
        <v>0</v>
      </c>
      <c r="L252" s="84">
        <f t="shared" si="26"/>
        <v>0</v>
      </c>
      <c r="M252" s="84">
        <f t="shared" si="26"/>
        <v>0</v>
      </c>
      <c r="N252" s="84">
        <f t="shared" si="26"/>
        <v>0</v>
      </c>
      <c r="O252" s="84">
        <f t="shared" si="26"/>
        <v>0</v>
      </c>
      <c r="P252" s="84">
        <f t="shared" si="26"/>
        <v>0</v>
      </c>
      <c r="Q252" s="84">
        <f t="shared" si="26"/>
        <v>0</v>
      </c>
      <c r="R252" s="84">
        <f t="shared" si="26"/>
        <v>0</v>
      </c>
      <c r="S252" s="84">
        <f t="shared" si="26"/>
        <v>0</v>
      </c>
      <c r="T252" s="35">
        <f>SUM(G252:S252)</f>
        <v>498046.97567423049</v>
      </c>
      <c r="U252" s="85" t="str">
        <f>IF(ABS(F252-T252)&lt;0.01,"ok","err")</f>
        <v>ok</v>
      </c>
    </row>
    <row r="253" spans="1:21" s="28" customFormat="1" x14ac:dyDescent="0.2">
      <c r="F253" s="25"/>
      <c r="G253" s="25"/>
    </row>
    <row r="254" spans="1:21" s="28" customFormat="1" x14ac:dyDescent="0.2">
      <c r="A254" s="81" t="s">
        <v>3</v>
      </c>
      <c r="B254" s="82"/>
      <c r="C254" s="82"/>
      <c r="D254" s="82"/>
      <c r="E254" s="82"/>
      <c r="F254" s="25"/>
      <c r="G254" s="25"/>
    </row>
    <row r="255" spans="1:21" s="28" customFormat="1" x14ac:dyDescent="0.2">
      <c r="A255" s="86" t="s">
        <v>207</v>
      </c>
      <c r="C255" s="28" t="s">
        <v>179</v>
      </c>
      <c r="D255" s="28" t="s">
        <v>287</v>
      </c>
      <c r="E255" s="28" t="s">
        <v>729</v>
      </c>
      <c r="F255" s="84">
        <f>VLOOKUP(C255,'S5-Functional Assignment'!$C$1:$AP$743,9,)</f>
        <v>1061494.7725306463</v>
      </c>
      <c r="G255" s="84">
        <f>(VLOOKUP($E255,$D$4:$AH$583,4,)/VLOOKUP($E255,$D$4:$AH$583,3,))*$F255</f>
        <v>287846.17074495315</v>
      </c>
      <c r="H255" s="84">
        <f>(VLOOKUP($E255,$D$4:$AH$583,5,)/VLOOKUP($E255,$D$4:$AH$583,3,))*$F255</f>
        <v>0</v>
      </c>
      <c r="I255" s="84">
        <f>(VLOOKUP($E255,$D$4:$AH$583,6,)/VLOOKUP($E255,$D$4:$AH$583,3,))*$F255</f>
        <v>100014.34746222949</v>
      </c>
      <c r="J255" s="84">
        <f>(VLOOKUP($E255,$D$4:$AH$583,7,)/VLOOKUP($E255,$D$4:$AH$583,3,))*$F255</f>
        <v>272590.40113592549</v>
      </c>
      <c r="K255" s="84">
        <f>(VLOOKUP($E255,$D$4:$AH$583,8,)/VLOOKUP($E255,$D$4:$AH$583,3,))*$F255</f>
        <v>21763.220099023969</v>
      </c>
      <c r="L255" s="84">
        <f>(VLOOKUP($E255,$D$4:$AH$583,9,)/VLOOKUP($E255,$D$4:$AH$583,3,))*$F255</f>
        <v>81173.602073529575</v>
      </c>
      <c r="M255" s="84">
        <f>(VLOOKUP($E255,$D$4:$AH$583,10,)/VLOOKUP($E255,$D$4:$AH$583,3,))*$F255</f>
        <v>298107.03101498447</v>
      </c>
      <c r="N255" s="84">
        <f>(VLOOKUP($E255,$D$4:$AH$583,11,)/VLOOKUP($E255,$D$4:$AH$583,3,))*$F255</f>
        <v>0</v>
      </c>
      <c r="O255" s="84">
        <f>(VLOOKUP($E255,$D$4:$AH$583,12,)/VLOOKUP($E255,$D$4:$AH$583,3,))*$F255</f>
        <v>0</v>
      </c>
      <c r="P255" s="84">
        <f>(VLOOKUP($E255,$D$4:$AH$583,13,)/VLOOKUP($E255,$D$4:$AH$583,3,))*$F255</f>
        <v>0</v>
      </c>
      <c r="Q255" s="84">
        <f>(VLOOKUP($E255,$D$4:$AH$583,14,)/VLOOKUP($E255,$D$4:$AH$583,3,))*$F255</f>
        <v>0</v>
      </c>
      <c r="R255" s="84">
        <f>(VLOOKUP($E255,$D$4:$AH$583,15,)/VLOOKUP($E255,$D$4:$AH$583,3,))*$F255</f>
        <v>0</v>
      </c>
      <c r="S255" s="84">
        <f>(VLOOKUP($E255,$D$4:$AH$583,16,)/VLOOKUP($E255,$D$4:$AH$583,3,))*$F255</f>
        <v>0</v>
      </c>
      <c r="T255" s="35">
        <f>SUM(G255:S255)</f>
        <v>1061494.7725306461</v>
      </c>
      <c r="U255" s="85" t="str">
        <f>IF(ABS(F255-T255)&lt;0.01,"ok","err")</f>
        <v>ok</v>
      </c>
    </row>
    <row r="256" spans="1:21" s="28" customFormat="1" x14ac:dyDescent="0.2">
      <c r="A256" s="28" t="s">
        <v>228</v>
      </c>
      <c r="C256" s="28" t="s">
        <v>179</v>
      </c>
      <c r="D256" s="28" t="s">
        <v>288</v>
      </c>
      <c r="E256" s="28" t="s">
        <v>317</v>
      </c>
      <c r="F256" s="25">
        <f>VLOOKUP(C256,'S5-Functional Assignment'!$C$1:$AP$743,10,)</f>
        <v>0</v>
      </c>
      <c r="G256" s="84">
        <f>(VLOOKUP($E256,$D$4:$AH$583,4,)/VLOOKUP($E256,$D$4:$AH$583,3,))*$F256</f>
        <v>0</v>
      </c>
      <c r="H256" s="84">
        <f>(VLOOKUP($E256,$D$4:$AH$583,5,)/VLOOKUP($E256,$D$4:$AH$583,3,))*$F256</f>
        <v>0</v>
      </c>
      <c r="I256" s="84">
        <f>(VLOOKUP($E256,$D$4:$AH$583,6,)/VLOOKUP($E256,$D$4:$AH$583,3,))*$F256</f>
        <v>0</v>
      </c>
      <c r="J256" s="84">
        <f>(VLOOKUP($E256,$D$4:$AH$583,7,)/VLOOKUP($E256,$D$4:$AH$583,3,))*$F256</f>
        <v>0</v>
      </c>
      <c r="K256" s="84">
        <f>(VLOOKUP($E256,$D$4:$AH$583,8,)/VLOOKUP($E256,$D$4:$AH$583,3,))*$F256</f>
        <v>0</v>
      </c>
      <c r="L256" s="84">
        <f>(VLOOKUP($E256,$D$4:$AH$583,9,)/VLOOKUP($E256,$D$4:$AH$583,3,))*$F256</f>
        <v>0</v>
      </c>
      <c r="M256" s="84">
        <f>(VLOOKUP($E256,$D$4:$AH$583,10,)/VLOOKUP($E256,$D$4:$AH$583,3,))*$F256</f>
        <v>0</v>
      </c>
      <c r="N256" s="84">
        <f>(VLOOKUP($E256,$D$4:$AH$583,11,)/VLOOKUP($E256,$D$4:$AH$583,3,))*$F256</f>
        <v>0</v>
      </c>
      <c r="O256" s="84">
        <f>(VLOOKUP($E256,$D$4:$AH$583,12,)/VLOOKUP($E256,$D$4:$AH$583,3,))*$F256</f>
        <v>0</v>
      </c>
      <c r="P256" s="84">
        <f>(VLOOKUP($E256,$D$4:$AH$583,13,)/VLOOKUP($E256,$D$4:$AH$583,3,))*$F256</f>
        <v>0</v>
      </c>
      <c r="Q256" s="84">
        <f>(VLOOKUP($E256,$D$4:$AH$583,14,)/VLOOKUP($E256,$D$4:$AH$583,3,))*$F256</f>
        <v>0</v>
      </c>
      <c r="R256" s="84">
        <f>(VLOOKUP($E256,$D$4:$AH$583,15,)/VLOOKUP($E256,$D$4:$AH$583,3,))*$F256</f>
        <v>0</v>
      </c>
      <c r="S256" s="84">
        <f>(VLOOKUP($E256,$D$4:$AH$583,16,)/VLOOKUP($E256,$D$4:$AH$583,3,))*$F256</f>
        <v>0</v>
      </c>
      <c r="T256" s="25">
        <f>SUM(G256:S256)</f>
        <v>0</v>
      </c>
      <c r="U256" s="85" t="str">
        <f>IF(ABS(F256-T256)&lt;0.01,"ok","err")</f>
        <v>ok</v>
      </c>
    </row>
    <row r="257" spans="1:21" s="28" customFormat="1" x14ac:dyDescent="0.2">
      <c r="A257" s="28" t="s">
        <v>230</v>
      </c>
      <c r="D257" s="28" t="s">
        <v>341</v>
      </c>
      <c r="F257" s="84">
        <f>SUM(F255:F256)</f>
        <v>1061494.7725306463</v>
      </c>
      <c r="G257" s="84">
        <f t="shared" ref="G257:S257" si="27">G255+G256</f>
        <v>287846.17074495315</v>
      </c>
      <c r="H257" s="84">
        <f t="shared" si="27"/>
        <v>0</v>
      </c>
      <c r="I257" s="84">
        <f t="shared" si="27"/>
        <v>100014.34746222949</v>
      </c>
      <c r="J257" s="84">
        <f t="shared" si="27"/>
        <v>272590.40113592549</v>
      </c>
      <c r="K257" s="84">
        <f t="shared" si="27"/>
        <v>21763.220099023969</v>
      </c>
      <c r="L257" s="84">
        <f t="shared" si="27"/>
        <v>81173.602073529575</v>
      </c>
      <c r="M257" s="84">
        <f t="shared" si="27"/>
        <v>298107.03101498447</v>
      </c>
      <c r="N257" s="84">
        <f t="shared" si="27"/>
        <v>0</v>
      </c>
      <c r="O257" s="84">
        <f t="shared" si="27"/>
        <v>0</v>
      </c>
      <c r="P257" s="84">
        <f t="shared" si="27"/>
        <v>0</v>
      </c>
      <c r="Q257" s="84">
        <f t="shared" si="27"/>
        <v>0</v>
      </c>
      <c r="R257" s="84">
        <f t="shared" si="27"/>
        <v>0</v>
      </c>
      <c r="S257" s="84">
        <f t="shared" si="27"/>
        <v>0</v>
      </c>
      <c r="T257" s="35">
        <f>SUM(G257:S257)</f>
        <v>1061494.7725306461</v>
      </c>
      <c r="U257" s="85" t="str">
        <f>IF(ABS(F257-T257)&lt;0.01,"ok","err")</f>
        <v>ok</v>
      </c>
    </row>
    <row r="258" spans="1:21" s="28" customFormat="1" x14ac:dyDescent="0.2">
      <c r="F258" s="25"/>
    </row>
    <row r="259" spans="1:21" s="28" customFormat="1" x14ac:dyDescent="0.2">
      <c r="A259" s="1" t="s">
        <v>5</v>
      </c>
      <c r="B259" s="19"/>
      <c r="C259" s="19"/>
      <c r="D259" s="19"/>
      <c r="E259" s="19"/>
      <c r="F259" s="25"/>
    </row>
    <row r="260" spans="1:21" s="28" customFormat="1" x14ac:dyDescent="0.2">
      <c r="A260" s="9" t="s">
        <v>228</v>
      </c>
      <c r="B260" s="19"/>
      <c r="C260" s="19" t="s">
        <v>179</v>
      </c>
      <c r="D260" s="19" t="s">
        <v>289</v>
      </c>
      <c r="E260" s="19" t="s">
        <v>318</v>
      </c>
      <c r="F260" s="84">
        <f>VLOOKUP(C260,'S5-Functional Assignment'!$C$1:$AP$743,11,)</f>
        <v>0</v>
      </c>
      <c r="G260" s="84">
        <f>(VLOOKUP($E260,$D$4:$AH$583,4,)/VLOOKUP($E260,$D$4:$AH$583,3,))*$F260</f>
        <v>0</v>
      </c>
      <c r="H260" s="84">
        <f>(VLOOKUP($E260,$D$4:$AH$583,5,)/VLOOKUP($E260,$D$4:$AH$583,3,))*$F260</f>
        <v>0</v>
      </c>
      <c r="I260" s="84">
        <f>(VLOOKUP($E260,$D$4:$AH$583,6,)/VLOOKUP($E260,$D$4:$AH$583,3,))*$F260</f>
        <v>0</v>
      </c>
      <c r="J260" s="84">
        <f>(VLOOKUP($E260,$D$4:$AH$583,7,)/VLOOKUP($E260,$D$4:$AH$583,3,))*$F260</f>
        <v>0</v>
      </c>
      <c r="K260" s="84">
        <f>(VLOOKUP($E260,$D$4:$AH$583,8,)/VLOOKUP($E260,$D$4:$AH$583,3,))*$F260</f>
        <v>0</v>
      </c>
      <c r="L260" s="84">
        <f>(VLOOKUP($E260,$D$4:$AH$583,9,)/VLOOKUP($E260,$D$4:$AH$583,3,))*$F260</f>
        <v>0</v>
      </c>
      <c r="M260" s="84">
        <f>(VLOOKUP($E260,$D$4:$AH$583,10,)/VLOOKUP($E260,$D$4:$AH$583,3,))*$F260</f>
        <v>0</v>
      </c>
      <c r="N260" s="84">
        <f>(VLOOKUP($E260,$D$4:$AH$583,11,)/VLOOKUP($E260,$D$4:$AH$583,3,))*$F260</f>
        <v>0</v>
      </c>
      <c r="O260" s="84">
        <f>(VLOOKUP($E260,$D$4:$AH$583,12,)/VLOOKUP($E260,$D$4:$AH$583,3,))*$F260</f>
        <v>0</v>
      </c>
      <c r="P260" s="84">
        <f>(VLOOKUP($E260,$D$4:$AH$583,13,)/VLOOKUP($E260,$D$4:$AH$583,3,))*$F260</f>
        <v>0</v>
      </c>
      <c r="Q260" s="84">
        <f>(VLOOKUP($E260,$D$4:$AH$583,14,)/VLOOKUP($E260,$D$4:$AH$583,3,))*$F260</f>
        <v>0</v>
      </c>
      <c r="R260" s="84">
        <f>(VLOOKUP($E260,$D$4:$AH$583,15,)/VLOOKUP($E260,$D$4:$AH$583,3,))*$F260</f>
        <v>0</v>
      </c>
      <c r="S260" s="84">
        <f>(VLOOKUP($E260,$D$4:$AH$583,16,)/VLOOKUP($E260,$D$4:$AH$583,3,))*$F260</f>
        <v>0</v>
      </c>
      <c r="T260" s="35">
        <f>SUM(G260:S260)</f>
        <v>0</v>
      </c>
      <c r="U260" s="85" t="str">
        <f>IF(ABS(F260-T260)&lt;0.01,"ok","err")</f>
        <v>ok</v>
      </c>
    </row>
    <row r="261" spans="1:21" s="28" customFormat="1" x14ac:dyDescent="0.2">
      <c r="A261" s="86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85"/>
    </row>
    <row r="262" spans="1:21" s="28" customFormat="1" x14ac:dyDescent="0.2">
      <c r="A262" s="1" t="s">
        <v>6</v>
      </c>
      <c r="B262" s="19"/>
      <c r="C262" s="19"/>
      <c r="D262" s="19"/>
      <c r="E262" s="19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85"/>
    </row>
    <row r="263" spans="1:21" s="28" customFormat="1" x14ac:dyDescent="0.2">
      <c r="A263" s="86" t="s">
        <v>207</v>
      </c>
      <c r="C263" s="28" t="s">
        <v>179</v>
      </c>
      <c r="D263" s="28" t="s">
        <v>290</v>
      </c>
      <c r="E263" s="28" t="s">
        <v>319</v>
      </c>
      <c r="F263" s="84">
        <f>VLOOKUP(C263,'S5-Functional Assignment'!$C$1:$AP$743,12,)</f>
        <v>54115.791586666783</v>
      </c>
      <c r="G263" s="84">
        <f>(VLOOKUP($E263,$D$4:$AH$583,4,)/VLOOKUP($E263,$D$4:$AH$583,3,))*$F263</f>
        <v>22720.652425576376</v>
      </c>
      <c r="H263" s="84">
        <f>(VLOOKUP($E263,$D$4:$AH$583,5,)/VLOOKUP($E263,$D$4:$AH$583,3,))*$F263</f>
        <v>0</v>
      </c>
      <c r="I263" s="84">
        <f>(VLOOKUP($E263,$D$4:$AH$583,6,)/VLOOKUP($E263,$D$4:$AH$583,3,))*$F263</f>
        <v>7894.4639783782322</v>
      </c>
      <c r="J263" s="84">
        <f>(VLOOKUP($E263,$D$4:$AH$583,7,)/VLOOKUP($E263,$D$4:$AH$583,3,))*$F263</f>
        <v>21516.463959652632</v>
      </c>
      <c r="K263" s="84">
        <f>(VLOOKUP($E263,$D$4:$AH$583,8,)/VLOOKUP($E263,$D$4:$AH$583,3,))*$F263</f>
        <v>1717.8431043620585</v>
      </c>
      <c r="L263" s="84">
        <f>(VLOOKUP($E263,$D$4:$AH$583,9,)/VLOOKUP($E263,$D$4:$AH$583,3,))*$F263</f>
        <v>266.36839781308765</v>
      </c>
      <c r="M263" s="84">
        <f>(VLOOKUP($E263,$D$4:$AH$583,10,)/VLOOKUP($E263,$D$4:$AH$583,3,))*$F263</f>
        <v>0</v>
      </c>
      <c r="N263" s="84">
        <f>(VLOOKUP($E263,$D$4:$AH$583,11,)/VLOOKUP($E263,$D$4:$AH$583,3,))*$F263</f>
        <v>0</v>
      </c>
      <c r="O263" s="84">
        <f>(VLOOKUP($E263,$D$4:$AH$583,12,)/VLOOKUP($E263,$D$4:$AH$583,3,))*$F263</f>
        <v>0</v>
      </c>
      <c r="P263" s="84">
        <f>(VLOOKUP($E263,$D$4:$AH$583,13,)/VLOOKUP($E263,$D$4:$AH$583,3,))*$F263</f>
        <v>0</v>
      </c>
      <c r="Q263" s="84">
        <f>(VLOOKUP($E263,$D$4:$AH$583,14,)/VLOOKUP($E263,$D$4:$AH$583,3,))*$F263</f>
        <v>0</v>
      </c>
      <c r="R263" s="84">
        <f>(VLOOKUP($E263,$D$4:$AH$583,15,)/VLOOKUP($E263,$D$4:$AH$583,3,))*$F263</f>
        <v>0</v>
      </c>
      <c r="S263" s="84">
        <f>(VLOOKUP($E263,$D$4:$AH$583,16,)/VLOOKUP($E263,$D$4:$AH$583,3,))*$F263</f>
        <v>0</v>
      </c>
      <c r="T263" s="35">
        <f>SUM(G263:S263)</f>
        <v>54115.791865782383</v>
      </c>
      <c r="U263" s="85" t="str">
        <f>IF(ABS(F263-T263)&lt;0.01,"ok","err")</f>
        <v>ok</v>
      </c>
    </row>
    <row r="264" spans="1:21" s="28" customFormat="1" x14ac:dyDescent="0.2">
      <c r="F264" s="25"/>
    </row>
    <row r="265" spans="1:21" s="28" customFormat="1" x14ac:dyDescent="0.2">
      <c r="F265" s="25"/>
    </row>
    <row r="266" spans="1:21" s="28" customFormat="1" x14ac:dyDescent="0.2">
      <c r="A266" s="79" t="s">
        <v>344</v>
      </c>
      <c r="B266" s="80"/>
      <c r="C266" s="80"/>
      <c r="D266" s="80"/>
      <c r="E266" s="80"/>
      <c r="F266" s="25"/>
    </row>
    <row r="267" spans="1:21" s="28" customFormat="1" x14ac:dyDescent="0.2">
      <c r="F267" s="25"/>
    </row>
    <row r="268" spans="1:21" s="28" customFormat="1" x14ac:dyDescent="0.2">
      <c r="A268" s="81" t="s">
        <v>7</v>
      </c>
      <c r="B268" s="82"/>
      <c r="C268" s="82"/>
      <c r="D268" s="82"/>
      <c r="E268" s="82"/>
      <c r="F268" s="25"/>
    </row>
    <row r="269" spans="1:21" s="28" customFormat="1" x14ac:dyDescent="0.2">
      <c r="A269" s="86" t="s">
        <v>207</v>
      </c>
      <c r="C269" s="28" t="s">
        <v>179</v>
      </c>
      <c r="D269" s="28" t="s">
        <v>291</v>
      </c>
      <c r="E269" s="28" t="s">
        <v>320</v>
      </c>
      <c r="F269" s="84">
        <f>VLOOKUP(C269,'S5-Functional Assignment'!$C$1:$AP$743,13,)</f>
        <v>456676.18273064913</v>
      </c>
      <c r="G269" s="84">
        <f>(VLOOKUP($E269,$D$4:$AH$583,4,)/VLOOKUP($E269,$D$4:$AH$583,3,))*$F269</f>
        <v>200805.96192348548</v>
      </c>
      <c r="H269" s="84">
        <f>(VLOOKUP($E269,$D$4:$AH$583,5,)/VLOOKUP($E269,$D$4:$AH$583,3,))*$F269</f>
        <v>0</v>
      </c>
      <c r="I269" s="84">
        <f>(VLOOKUP($E269,$D$4:$AH$583,6,)/VLOOKUP($E269,$D$4:$AH$583,3,))*$F269</f>
        <v>69364.898465001053</v>
      </c>
      <c r="J269" s="84">
        <f>(VLOOKUP($E269,$D$4:$AH$583,7,)/VLOOKUP($E269,$D$4:$AH$583,3,))*$F269</f>
        <v>168914.36602766271</v>
      </c>
      <c r="K269" s="84">
        <f>(VLOOKUP($E269,$D$4:$AH$583,8,)/VLOOKUP($E269,$D$4:$AH$583,3,))*$F269</f>
        <v>15229.478924830746</v>
      </c>
      <c r="L269" s="84">
        <f>(VLOOKUP($E269,$D$4:$AH$583,9,)/VLOOKUP($E269,$D$4:$AH$583,3,))*$F269</f>
        <v>2361.4798641589773</v>
      </c>
      <c r="M269" s="84">
        <f>(VLOOKUP($E269,$D$4:$AH$583,10,)/VLOOKUP($E269,$D$4:$AH$583,3,))*$F269</f>
        <v>0</v>
      </c>
      <c r="N269" s="84">
        <f>(VLOOKUP($E269,$D$4:$AH$583,11,)/VLOOKUP($E269,$D$4:$AH$583,3,))*$F269</f>
        <v>0</v>
      </c>
      <c r="O269" s="84">
        <f>(VLOOKUP($E269,$D$4:$AH$583,12,)/VLOOKUP($E269,$D$4:$AH$583,3,))*$F269</f>
        <v>0</v>
      </c>
      <c r="P269" s="84">
        <f>(VLOOKUP($E269,$D$4:$AH$583,13,)/VLOOKUP($E269,$D$4:$AH$583,3,))*$F269</f>
        <v>0</v>
      </c>
      <c r="Q269" s="84">
        <f>(VLOOKUP($E269,$D$4:$AH$583,14,)/VLOOKUP($E269,$D$4:$AH$583,3,))*$F269</f>
        <v>0</v>
      </c>
      <c r="R269" s="84">
        <f>(VLOOKUP($E269,$D$4:$AH$583,15,)/VLOOKUP($E269,$D$4:$AH$583,3,))*$F269</f>
        <v>0</v>
      </c>
      <c r="S269" s="84">
        <f>(VLOOKUP($E269,$D$4:$AH$583,16,)/VLOOKUP($E269,$D$4:$AH$583,3,))*$F269</f>
        <v>0</v>
      </c>
      <c r="T269" s="35">
        <f>SUM(G269:S269)</f>
        <v>456676.18520513893</v>
      </c>
      <c r="U269" s="85" t="str">
        <f>IF(ABS(F269-T269)&lt;0.01,"ok","err")</f>
        <v>ok</v>
      </c>
    </row>
    <row r="270" spans="1:21" s="28" customFormat="1" x14ac:dyDescent="0.2">
      <c r="A270" s="86" t="s">
        <v>208</v>
      </c>
      <c r="C270" s="28" t="s">
        <v>179</v>
      </c>
      <c r="D270" s="28" t="s">
        <v>292</v>
      </c>
      <c r="E270" s="28" t="s">
        <v>321</v>
      </c>
      <c r="F270" s="25">
        <f>VLOOKUP(C270,'S5-Functional Assignment'!$C$1:$AP$743,14,)</f>
        <v>1122425.4173061738</v>
      </c>
      <c r="G270" s="84">
        <f>(VLOOKUP($E270,$D$4:$AH$583,4,)/VLOOKUP($E270,$D$4:$AH$583,3,))*$F270</f>
        <v>954639.38031970523</v>
      </c>
      <c r="H270" s="84">
        <f>(VLOOKUP($E270,$D$4:$AH$583,5,)/VLOOKUP($E270,$D$4:$AH$583,3,))*$F270</f>
        <v>0</v>
      </c>
      <c r="I270" s="84">
        <f>(VLOOKUP($E270,$D$4:$AH$583,6,)/VLOOKUP($E270,$D$4:$AH$583,3,))*$F270</f>
        <v>134382.90308503018</v>
      </c>
      <c r="J270" s="84">
        <f>(VLOOKUP($E270,$D$4:$AH$583,7,)/VLOOKUP($E270,$D$4:$AH$583,3,))*$F270</f>
        <v>31246.104959463562</v>
      </c>
      <c r="K270" s="84">
        <f>(VLOOKUP($E270,$D$4:$AH$583,8,)/VLOOKUP($E270,$D$4:$AH$583,3,))*$F270</f>
        <v>2064.5848444615963</v>
      </c>
      <c r="L270" s="84">
        <f>(VLOOKUP($E270,$D$4:$AH$583,9,)/VLOOKUP($E270,$D$4:$AH$583,3,))*$F270</f>
        <v>92.444097513205804</v>
      </c>
      <c r="M270" s="84">
        <f>(VLOOKUP($E270,$D$4:$AH$583,10,)/VLOOKUP($E270,$D$4:$AH$583,3,))*$F270</f>
        <v>0</v>
      </c>
      <c r="N270" s="84">
        <f>(VLOOKUP($E270,$D$4:$AH$583,11,)/VLOOKUP($E270,$D$4:$AH$583,3,))*$F270</f>
        <v>0</v>
      </c>
      <c r="O270" s="84">
        <f>(VLOOKUP($E270,$D$4:$AH$583,12,)/VLOOKUP($E270,$D$4:$AH$583,3,))*$F270</f>
        <v>0</v>
      </c>
      <c r="P270" s="84">
        <f>(VLOOKUP($E270,$D$4:$AH$583,13,)/VLOOKUP($E270,$D$4:$AH$583,3,))*$F270</f>
        <v>0</v>
      </c>
      <c r="Q270" s="84">
        <f>(VLOOKUP($E270,$D$4:$AH$583,14,)/VLOOKUP($E270,$D$4:$AH$583,3,))*$F270</f>
        <v>0</v>
      </c>
      <c r="R270" s="84">
        <f>(VLOOKUP($E270,$D$4:$AH$583,15,)/VLOOKUP($E270,$D$4:$AH$583,3,))*$F270</f>
        <v>0</v>
      </c>
      <c r="S270" s="84">
        <f>(VLOOKUP($E270,$D$4:$AH$583,16,)/VLOOKUP($E270,$D$4:$AH$583,3,))*$F270</f>
        <v>0</v>
      </c>
      <c r="T270" s="25">
        <f>SUM(G270:S270)</f>
        <v>1122425.4173061736</v>
      </c>
      <c r="U270" s="85" t="str">
        <f>IF(ABS(F270-T270)&lt;0.01,"ok","err")</f>
        <v>ok</v>
      </c>
    </row>
    <row r="271" spans="1:21" s="28" customFormat="1" x14ac:dyDescent="0.2">
      <c r="A271" s="28" t="s">
        <v>231</v>
      </c>
      <c r="F271" s="25">
        <f>SUM(F269:F270)</f>
        <v>1579101.600036823</v>
      </c>
      <c r="G271" s="84">
        <f t="shared" ref="G271:S271" si="28">G269+G270</f>
        <v>1155445.3422431906</v>
      </c>
      <c r="H271" s="84">
        <f t="shared" si="28"/>
        <v>0</v>
      </c>
      <c r="I271" s="84">
        <f t="shared" si="28"/>
        <v>203747.80155003123</v>
      </c>
      <c r="J271" s="84">
        <f t="shared" si="28"/>
        <v>200160.47098712626</v>
      </c>
      <c r="K271" s="84">
        <f t="shared" si="28"/>
        <v>17294.063769292341</v>
      </c>
      <c r="L271" s="84">
        <f t="shared" si="28"/>
        <v>2453.9239616721829</v>
      </c>
      <c r="M271" s="84">
        <f t="shared" si="28"/>
        <v>0</v>
      </c>
      <c r="N271" s="84">
        <f t="shared" si="28"/>
        <v>0</v>
      </c>
      <c r="O271" s="84">
        <f t="shared" si="28"/>
        <v>0</v>
      </c>
      <c r="P271" s="84">
        <f t="shared" si="28"/>
        <v>0</v>
      </c>
      <c r="Q271" s="84">
        <f t="shared" si="28"/>
        <v>0</v>
      </c>
      <c r="R271" s="84">
        <f t="shared" si="28"/>
        <v>0</v>
      </c>
      <c r="S271" s="84">
        <f t="shared" si="28"/>
        <v>0</v>
      </c>
      <c r="T271" s="35">
        <f>SUM(G271:S271)</f>
        <v>1579101.6025113126</v>
      </c>
      <c r="U271" s="85" t="str">
        <f>IF(ABS(F271-T271)&lt;0.01,"ok","err")</f>
        <v>ok</v>
      </c>
    </row>
    <row r="272" spans="1:21" s="28" customFormat="1" x14ac:dyDescent="0.2">
      <c r="F272" s="25"/>
    </row>
    <row r="273" spans="1:21" s="28" customFormat="1" x14ac:dyDescent="0.2">
      <c r="A273" s="81" t="s">
        <v>9</v>
      </c>
      <c r="B273" s="82"/>
      <c r="C273" s="82"/>
      <c r="D273" s="82"/>
      <c r="E273" s="82"/>
      <c r="F273" s="25"/>
    </row>
    <row r="274" spans="1:21" s="28" customFormat="1" x14ac:dyDescent="0.2">
      <c r="A274" s="86" t="s">
        <v>208</v>
      </c>
      <c r="C274" s="28" t="s">
        <v>179</v>
      </c>
      <c r="D274" s="28" t="s">
        <v>286</v>
      </c>
      <c r="E274" s="28" t="s">
        <v>322</v>
      </c>
      <c r="F274" s="84">
        <f>VLOOKUP(C274,'S5-Functional Assignment'!$C$1:$AP$743,15,)</f>
        <v>360174.68700892373</v>
      </c>
      <c r="G274" s="84">
        <f>(VLOOKUP($E274,$D$4:$AH$583,4,)/VLOOKUP($E274,$D$4:$AH$583,3,))*$F274</f>
        <v>294859.66380769457</v>
      </c>
      <c r="H274" s="84">
        <f>(VLOOKUP($E274,$D$4:$AH$583,5,)/VLOOKUP($E274,$D$4:$AH$583,3,))*$F274</f>
        <v>0</v>
      </c>
      <c r="I274" s="84">
        <f>(VLOOKUP($E274,$D$4:$AH$583,6,)/VLOOKUP($E274,$D$4:$AH$583,3,))*$F274</f>
        <v>38675.144951365808</v>
      </c>
      <c r="J274" s="84">
        <f>(VLOOKUP($E274,$D$4:$AH$583,7,)/VLOOKUP($E274,$D$4:$AH$583,3,))*$F274</f>
        <v>24919.590897497877</v>
      </c>
      <c r="K274" s="84">
        <f>(VLOOKUP($E274,$D$4:$AH$583,8,)/VLOOKUP($E274,$D$4:$AH$583,3,))*$F274</f>
        <v>1646.5607397755007</v>
      </c>
      <c r="L274" s="84">
        <f>(VLOOKUP($E274,$D$4:$AH$583,9,)/VLOOKUP($E274,$D$4:$AH$583,3,))*$F274</f>
        <v>73.726600288455273</v>
      </c>
      <c r="M274" s="84">
        <f>(VLOOKUP($E274,$D$4:$AH$583,10,)/VLOOKUP($E274,$D$4:$AH$583,3,))*$F274</f>
        <v>0</v>
      </c>
      <c r="N274" s="84">
        <f>(VLOOKUP($E274,$D$4:$AH$583,11,)/VLOOKUP($E274,$D$4:$AH$583,3,))*$F274</f>
        <v>0</v>
      </c>
      <c r="O274" s="84">
        <f>(VLOOKUP($E274,$D$4:$AH$583,12,)/VLOOKUP($E274,$D$4:$AH$583,3,))*$F274</f>
        <v>0</v>
      </c>
      <c r="P274" s="84">
        <f>(VLOOKUP($E274,$D$4:$AH$583,13,)/VLOOKUP($E274,$D$4:$AH$583,3,))*$F274</f>
        <v>0</v>
      </c>
      <c r="Q274" s="84">
        <f>(VLOOKUP($E274,$D$4:$AH$583,14,)/VLOOKUP($E274,$D$4:$AH$583,3,))*$F274</f>
        <v>0</v>
      </c>
      <c r="R274" s="84">
        <f>(VLOOKUP($E274,$D$4:$AH$583,15,)/VLOOKUP($E274,$D$4:$AH$583,3,))*$F274</f>
        <v>0</v>
      </c>
      <c r="S274" s="84">
        <f>(VLOOKUP($E274,$D$4:$AH$583,16,)/VLOOKUP($E274,$D$4:$AH$583,3,))*$F274</f>
        <v>0</v>
      </c>
      <c r="T274" s="84">
        <f>SUM(G274:S274)</f>
        <v>360174.68699662224</v>
      </c>
      <c r="U274" s="85" t="str">
        <f>IF(ABS(F274-T274)&lt;0.01,"ok","err")</f>
        <v>ok</v>
      </c>
    </row>
    <row r="275" spans="1:21" s="28" customFormat="1" x14ac:dyDescent="0.2">
      <c r="F275" s="25"/>
    </row>
    <row r="276" spans="1:21" s="28" customFormat="1" x14ac:dyDescent="0.2">
      <c r="A276" s="81" t="s">
        <v>10</v>
      </c>
      <c r="B276" s="82"/>
      <c r="C276" s="82"/>
      <c r="D276" s="82"/>
      <c r="E276" s="82"/>
      <c r="F276" s="25"/>
    </row>
    <row r="277" spans="1:21" s="28" customFormat="1" x14ac:dyDescent="0.2">
      <c r="A277" s="86" t="s">
        <v>208</v>
      </c>
      <c r="C277" s="28" t="s">
        <v>179</v>
      </c>
      <c r="D277" s="28" t="s">
        <v>293</v>
      </c>
      <c r="E277" s="28" t="s">
        <v>323</v>
      </c>
      <c r="F277" s="84">
        <f>VLOOKUP(C277,'S5-Functional Assignment'!$C$1:$AP$743,16,)</f>
        <v>340418.17316270934</v>
      </c>
      <c r="G277" s="84">
        <f>(VLOOKUP($E277,$D$4:$AH$583,4,)/VLOOKUP($E277,$D$4:$AH$583,3,))*$F277</f>
        <v>209960.70934177612</v>
      </c>
      <c r="H277" s="84">
        <f>(VLOOKUP($E277,$D$4:$AH$583,5,)/VLOOKUP($E277,$D$4:$AH$583,3,))*$F277</f>
        <v>22405.749034341894</v>
      </c>
      <c r="I277" s="84">
        <f>(VLOOKUP($E277,$D$4:$AH$583,6,)/VLOOKUP($E277,$D$4:$AH$583,3,))*$F277</f>
        <v>47496.186047241339</v>
      </c>
      <c r="J277" s="84">
        <f>(VLOOKUP($E277,$D$4:$AH$583,7,)/VLOOKUP($E277,$D$4:$AH$583,3,))*$F277</f>
        <v>50180.085998189315</v>
      </c>
      <c r="K277" s="84">
        <f>(VLOOKUP($E277,$D$4:$AH$583,8,)/VLOOKUP($E277,$D$4:$AH$583,3,))*$F277</f>
        <v>9677.5224952421086</v>
      </c>
      <c r="L277" s="84">
        <f>(VLOOKUP($E277,$D$4:$AH$583,9,)/VLOOKUP($E277,$D$4:$AH$583,3,))*$F277</f>
        <v>697.92029955053795</v>
      </c>
      <c r="M277" s="84">
        <f>(VLOOKUP($E277,$D$4:$AH$583,10,)/VLOOKUP($E277,$D$4:$AH$583,3,))*$F277</f>
        <v>0</v>
      </c>
      <c r="N277" s="84">
        <f>(VLOOKUP($E277,$D$4:$AH$583,11,)/VLOOKUP($E277,$D$4:$AH$583,3,))*$F277</f>
        <v>0</v>
      </c>
      <c r="O277" s="84">
        <f>(VLOOKUP($E277,$D$4:$AH$583,12,)/VLOOKUP($E277,$D$4:$AH$583,3,))*$F277</f>
        <v>0</v>
      </c>
      <c r="P277" s="84">
        <f>(VLOOKUP($E277,$D$4:$AH$583,13,)/VLOOKUP($E277,$D$4:$AH$583,3,))*$F277</f>
        <v>0</v>
      </c>
      <c r="Q277" s="84">
        <f>(VLOOKUP($E277,$D$4:$AH$583,14,)/VLOOKUP($E277,$D$4:$AH$583,3,))*$F277</f>
        <v>0</v>
      </c>
      <c r="R277" s="84">
        <f>(VLOOKUP($E277,$D$4:$AH$583,15,)/VLOOKUP($E277,$D$4:$AH$583,3,))*$F277</f>
        <v>0</v>
      </c>
      <c r="S277" s="84">
        <f>(VLOOKUP($E277,$D$4:$AH$583,16,)/VLOOKUP($E277,$D$4:$AH$583,3,))*$F277</f>
        <v>0</v>
      </c>
      <c r="T277" s="35">
        <f>SUM(G277:S277)</f>
        <v>340418.17321634135</v>
      </c>
      <c r="U277" s="85" t="str">
        <f>IF(ABS(F277-T277)&lt;0.01,"ok","err")</f>
        <v>ok</v>
      </c>
    </row>
    <row r="278" spans="1:21" s="28" customFormat="1" x14ac:dyDescent="0.2">
      <c r="F278" s="25"/>
    </row>
    <row r="279" spans="1:21" s="28" customFormat="1" x14ac:dyDescent="0.2">
      <c r="A279" s="81" t="s">
        <v>11</v>
      </c>
      <c r="B279" s="82"/>
      <c r="C279" s="82"/>
      <c r="D279" s="82"/>
      <c r="E279" s="82"/>
      <c r="F279" s="25"/>
    </row>
    <row r="280" spans="1:21" s="28" customFormat="1" x14ac:dyDescent="0.2">
      <c r="A280" s="86" t="s">
        <v>208</v>
      </c>
      <c r="C280" s="28" t="s">
        <v>179</v>
      </c>
      <c r="D280" s="28" t="s">
        <v>294</v>
      </c>
      <c r="E280" s="28" t="s">
        <v>324</v>
      </c>
      <c r="F280" s="84">
        <f>VLOOKUP(C280,'S5-Functional Assignment'!$C$1:$AP$743,17,)</f>
        <v>0</v>
      </c>
      <c r="G280" s="84">
        <f>(VLOOKUP($E280,$D$4:$AH$583,4,)/VLOOKUP($E280,$D$4:$AH$583,3,))*$F280</f>
        <v>0</v>
      </c>
      <c r="H280" s="84">
        <f>(VLOOKUP($E280,$D$4:$AH$583,5,)/VLOOKUP($E280,$D$4:$AH$583,3,))*$F280</f>
        <v>0</v>
      </c>
      <c r="I280" s="84">
        <f>(VLOOKUP($E280,$D$4:$AH$583,6,)/VLOOKUP($E280,$D$4:$AH$583,3,))*$F280</f>
        <v>0</v>
      </c>
      <c r="J280" s="84">
        <f>(VLOOKUP($E280,$D$4:$AH$583,7,)/VLOOKUP($E280,$D$4:$AH$583,3,))*$F280</f>
        <v>0</v>
      </c>
      <c r="K280" s="84">
        <f>(VLOOKUP($E280,$D$4:$AH$583,8,)/VLOOKUP($E280,$D$4:$AH$583,3,))*$F280</f>
        <v>0</v>
      </c>
      <c r="L280" s="84">
        <f>(VLOOKUP($E280,$D$4:$AH$583,9,)/VLOOKUP($E280,$D$4:$AH$583,3,))*$F280</f>
        <v>0</v>
      </c>
      <c r="M280" s="84">
        <f>(VLOOKUP($E280,$D$4:$AH$583,10,)/VLOOKUP($E280,$D$4:$AH$583,3,))*$F280</f>
        <v>0</v>
      </c>
      <c r="N280" s="84">
        <f>(VLOOKUP($E280,$D$4:$AH$583,11,)/VLOOKUP($E280,$D$4:$AH$583,3,))*$F280</f>
        <v>0</v>
      </c>
      <c r="O280" s="84">
        <f>(VLOOKUP($E280,$D$4:$AH$583,12,)/VLOOKUP($E280,$D$4:$AH$583,3,))*$F280</f>
        <v>0</v>
      </c>
      <c r="P280" s="84">
        <f>(VLOOKUP($E280,$D$4:$AH$583,13,)/VLOOKUP($E280,$D$4:$AH$583,3,))*$F280</f>
        <v>0</v>
      </c>
      <c r="Q280" s="84">
        <f>(VLOOKUP($E280,$D$4:$AH$583,14,)/VLOOKUP($E280,$D$4:$AH$583,3,))*$F280</f>
        <v>0</v>
      </c>
      <c r="R280" s="84">
        <f>(VLOOKUP($E280,$D$4:$AH$583,15,)/VLOOKUP($E280,$D$4:$AH$583,3,))*$F280</f>
        <v>0</v>
      </c>
      <c r="S280" s="84">
        <f>(VLOOKUP($E280,$D$4:$AH$583,16,)/VLOOKUP($E280,$D$4:$AH$583,3,))*$F280</f>
        <v>0</v>
      </c>
      <c r="T280" s="35">
        <f>SUM(G280:S280)</f>
        <v>0</v>
      </c>
      <c r="U280" s="85" t="str">
        <f>IF(ABS(F280-T280)&lt;0.01,"ok","err")</f>
        <v>ok</v>
      </c>
    </row>
    <row r="281" spans="1:21" s="28" customFormat="1" x14ac:dyDescent="0.2">
      <c r="F281" s="25"/>
    </row>
    <row r="282" spans="1:21" s="28" customFormat="1" x14ac:dyDescent="0.2">
      <c r="A282" s="81" t="s">
        <v>12</v>
      </c>
      <c r="B282" s="82"/>
      <c r="C282" s="82"/>
      <c r="D282" s="82"/>
      <c r="E282" s="82"/>
      <c r="F282" s="25"/>
    </row>
    <row r="283" spans="1:21" s="28" customFormat="1" x14ac:dyDescent="0.2">
      <c r="A283" s="86" t="s">
        <v>208</v>
      </c>
      <c r="C283" s="28" t="s">
        <v>179</v>
      </c>
      <c r="D283" s="28" t="s">
        <v>295</v>
      </c>
      <c r="E283" s="28" t="s">
        <v>325</v>
      </c>
      <c r="F283" s="84">
        <f>VLOOKUP(C283,'S5-Functional Assignment'!$C$1:$AP$743,18,)</f>
        <v>0</v>
      </c>
      <c r="G283" s="84">
        <f>(VLOOKUP($E283,$D$4:$AH$583,4,)/VLOOKUP($E283,$D$4:$AH$583,3,))*$F283</f>
        <v>0</v>
      </c>
      <c r="H283" s="84">
        <f>(VLOOKUP($E283,$D$4:$AH$583,5,)/VLOOKUP($E283,$D$4:$AH$583,3,))*$F283</f>
        <v>0</v>
      </c>
      <c r="I283" s="84">
        <f>(VLOOKUP($E283,$D$4:$AH$583,6,)/VLOOKUP($E283,$D$4:$AH$583,3,))*$F283</f>
        <v>0</v>
      </c>
      <c r="J283" s="84">
        <f>(VLOOKUP($E283,$D$4:$AH$583,7,)/VLOOKUP($E283,$D$4:$AH$583,3,))*$F283</f>
        <v>0</v>
      </c>
      <c r="K283" s="84">
        <f>(VLOOKUP($E283,$D$4:$AH$583,8,)/VLOOKUP($E283,$D$4:$AH$583,3,))*$F283</f>
        <v>0</v>
      </c>
      <c r="L283" s="84">
        <f>(VLOOKUP($E283,$D$4:$AH$583,9,)/VLOOKUP($E283,$D$4:$AH$583,3,))*$F283</f>
        <v>0</v>
      </c>
      <c r="M283" s="84">
        <f>(VLOOKUP($E283,$D$4:$AH$583,10,)/VLOOKUP($E283,$D$4:$AH$583,3,))*$F283</f>
        <v>0</v>
      </c>
      <c r="N283" s="84">
        <f>(VLOOKUP($E283,$D$4:$AH$583,11,)/VLOOKUP($E283,$D$4:$AH$583,3,))*$F283</f>
        <v>0</v>
      </c>
      <c r="O283" s="84">
        <f>(VLOOKUP($E283,$D$4:$AH$583,12,)/VLOOKUP($E283,$D$4:$AH$583,3,))*$F283</f>
        <v>0</v>
      </c>
      <c r="P283" s="84">
        <f>(VLOOKUP($E283,$D$4:$AH$583,13,)/VLOOKUP($E283,$D$4:$AH$583,3,))*$F283</f>
        <v>0</v>
      </c>
      <c r="Q283" s="84">
        <f>(VLOOKUP($E283,$D$4:$AH$583,14,)/VLOOKUP($E283,$D$4:$AH$583,3,))*$F283</f>
        <v>0</v>
      </c>
      <c r="R283" s="84">
        <f>(VLOOKUP($E283,$D$4:$AH$583,15,)/VLOOKUP($E283,$D$4:$AH$583,3,))*$F283</f>
        <v>0</v>
      </c>
      <c r="S283" s="84">
        <f>(VLOOKUP($E283,$D$4:$AH$583,16,)/VLOOKUP($E283,$D$4:$AH$583,3,))*$F283</f>
        <v>0</v>
      </c>
      <c r="T283" s="35">
        <f>SUM(G283:S283)</f>
        <v>0</v>
      </c>
      <c r="U283" s="85" t="str">
        <f>IF(ABS(F283-T283)&lt;0.01,"ok","err")</f>
        <v>ok</v>
      </c>
    </row>
    <row r="284" spans="1:21" s="28" customFormat="1" x14ac:dyDescent="0.2">
      <c r="F284" s="25"/>
    </row>
    <row r="285" spans="1:21" s="28" customFormat="1" x14ac:dyDescent="0.2">
      <c r="A285" s="28" t="s">
        <v>13</v>
      </c>
      <c r="D285" s="28" t="s">
        <v>297</v>
      </c>
      <c r="F285" s="84">
        <f>F247+F252+F257+F260+F263+F271+F274+F277+F280+F283</f>
        <v>3893351.9999999995</v>
      </c>
      <c r="G285" s="84">
        <f t="shared" ref="G285:S285" si="29">G247+G252+G257+G260+G263+G271+G274+G277+G280+G283</f>
        <v>2182395.8656968847</v>
      </c>
      <c r="H285" s="84">
        <f t="shared" si="29"/>
        <v>22405.749034341894</v>
      </c>
      <c r="I285" s="84">
        <f t="shared" si="29"/>
        <v>471663.27701182279</v>
      </c>
      <c r="J285" s="84">
        <f t="shared" si="29"/>
        <v>782015.32849635137</v>
      </c>
      <c r="K285" s="84">
        <f t="shared" si="29"/>
        <v>52099.210207695971</v>
      </c>
      <c r="L285" s="84">
        <f t="shared" si="29"/>
        <v>84665.541332853842</v>
      </c>
      <c r="M285" s="84">
        <f t="shared" si="29"/>
        <v>298107.03101498447</v>
      </c>
      <c r="N285" s="84">
        <f t="shared" si="29"/>
        <v>0</v>
      </c>
      <c r="O285" s="84">
        <f t="shared" si="29"/>
        <v>0</v>
      </c>
      <c r="P285" s="84">
        <f t="shared" si="29"/>
        <v>0</v>
      </c>
      <c r="Q285" s="84">
        <f t="shared" si="29"/>
        <v>0</v>
      </c>
      <c r="R285" s="84">
        <f t="shared" si="29"/>
        <v>0</v>
      </c>
      <c r="S285" s="84">
        <f t="shared" si="29"/>
        <v>0</v>
      </c>
      <c r="T285" s="35">
        <f>SUM(G285:S285)</f>
        <v>3893352.0027949354</v>
      </c>
      <c r="U285" s="85" t="str">
        <f>IF(ABS(F285-T285)&lt;0.01,"ok","err")</f>
        <v>ok</v>
      </c>
    </row>
    <row r="290" spans="1:21" s="80" customFormat="1" x14ac:dyDescent="0.2">
      <c r="A290" s="79" t="s">
        <v>657</v>
      </c>
    </row>
    <row r="292" spans="1:21" s="82" customFormat="1" x14ac:dyDescent="0.2">
      <c r="A292" s="81" t="s">
        <v>737</v>
      </c>
    </row>
    <row r="293" spans="1:21" s="28" customFormat="1" x14ac:dyDescent="0.2">
      <c r="A293" s="83" t="s">
        <v>207</v>
      </c>
      <c r="B293" s="82"/>
      <c r="C293" s="82" t="s">
        <v>309</v>
      </c>
      <c r="D293" s="82" t="s">
        <v>389</v>
      </c>
      <c r="E293" s="82" t="s">
        <v>312</v>
      </c>
      <c r="F293" s="84">
        <f>VLOOKUP(C293,'S5-Functional Assignment'!$C$1:$AP$743,5,)</f>
        <v>0</v>
      </c>
      <c r="G293" s="84">
        <f>(VLOOKUP($E293,$D$4:$AH$583,4,)/VLOOKUP($E293,$D$4:$AH$583,3,))*$F293</f>
        <v>0</v>
      </c>
      <c r="H293" s="84">
        <f>(VLOOKUP($E293,$D$4:$AH$583,5,)/VLOOKUP($E293,$D$4:$AH$583,3,))*$F293</f>
        <v>0</v>
      </c>
      <c r="I293" s="84">
        <f>(VLOOKUP($E293,$D$4:$AH$583,6,)/VLOOKUP($E293,$D$4:$AH$583,3,))*$F293</f>
        <v>0</v>
      </c>
      <c r="J293" s="84">
        <f>(VLOOKUP($E293,$D$4:$AH$583,7,)/VLOOKUP($E293,$D$4:$AH$583,3,))*$F293</f>
        <v>0</v>
      </c>
      <c r="K293" s="84">
        <f>(VLOOKUP($E293,$D$4:$AH$583,8,)/VLOOKUP($E293,$D$4:$AH$583,3,))*$F293</f>
        <v>0</v>
      </c>
      <c r="L293" s="84">
        <f>(VLOOKUP($E293,$D$4:$AH$583,9,)/VLOOKUP($E293,$D$4:$AH$583,3,))*$F293</f>
        <v>0</v>
      </c>
      <c r="M293" s="84">
        <f>(VLOOKUP($E293,$D$4:$AH$583,10,)/VLOOKUP($E293,$D$4:$AH$583,3,))*$F293</f>
        <v>0</v>
      </c>
      <c r="N293" s="84">
        <f>(VLOOKUP($E293,$D$4:$AH$583,11,)/VLOOKUP($E293,$D$4:$AH$583,3,))*$F293</f>
        <v>0</v>
      </c>
      <c r="O293" s="84">
        <f>(VLOOKUP($E293,$D$4:$AH$583,12,)/VLOOKUP($E293,$D$4:$AH$583,3,))*$F293</f>
        <v>0</v>
      </c>
      <c r="P293" s="84">
        <f>(VLOOKUP($E293,$D$4:$AH$583,13,)/VLOOKUP($E293,$D$4:$AH$583,3,))*$F293</f>
        <v>0</v>
      </c>
      <c r="Q293" s="84">
        <f>(VLOOKUP($E293,$D$4:$AH$583,14,)/VLOOKUP($E293,$D$4:$AH$583,3,))*$F293</f>
        <v>0</v>
      </c>
      <c r="R293" s="84">
        <f>(VLOOKUP($E293,$D$4:$AH$583,15,)/VLOOKUP($E293,$D$4:$AH$583,3,))*$F293</f>
        <v>0</v>
      </c>
      <c r="S293" s="84">
        <f>(VLOOKUP($E293,$D$4:$AH$583,16,)/VLOOKUP($E293,$D$4:$AH$583,3,))*$F293</f>
        <v>0</v>
      </c>
      <c r="T293" s="35">
        <f>SUM(G293:S293)</f>
        <v>0</v>
      </c>
      <c r="U293" s="85" t="str">
        <f>IF(ABS(F293-T293)&lt;0.01,"ok","err")</f>
        <v>ok</v>
      </c>
    </row>
    <row r="294" spans="1:21" s="28" customFormat="1" x14ac:dyDescent="0.2">
      <c r="A294" s="86" t="s">
        <v>228</v>
      </c>
      <c r="C294" s="28" t="s">
        <v>309</v>
      </c>
      <c r="D294" s="28" t="s">
        <v>373</v>
      </c>
      <c r="E294" s="28" t="s">
        <v>313</v>
      </c>
      <c r="F294" s="25">
        <f>VLOOKUP(C294,'S5-Functional Assignment'!$C$1:$AP$743,6,)</f>
        <v>0</v>
      </c>
      <c r="G294" s="84">
        <f>(VLOOKUP($E294,$D$4:$AH$583,4,)/VLOOKUP($E294,$D$4:$AH$583,3,))*$F294</f>
        <v>0</v>
      </c>
      <c r="H294" s="84">
        <f>(VLOOKUP($E294,$D$4:$AH$583,5,)/VLOOKUP($E294,$D$4:$AH$583,3,))*$F294</f>
        <v>0</v>
      </c>
      <c r="I294" s="84">
        <f>(VLOOKUP($E294,$D$4:$AH$583,6,)/VLOOKUP($E294,$D$4:$AH$583,3,))*$F294</f>
        <v>0</v>
      </c>
      <c r="J294" s="84">
        <f>(VLOOKUP($E294,$D$4:$AH$583,7,)/VLOOKUP($E294,$D$4:$AH$583,3,))*$F294</f>
        <v>0</v>
      </c>
      <c r="K294" s="84">
        <f>(VLOOKUP($E294,$D$4:$AH$583,8,)/VLOOKUP($E294,$D$4:$AH$583,3,))*$F294</f>
        <v>0</v>
      </c>
      <c r="L294" s="84">
        <f>(VLOOKUP($E294,$D$4:$AH$583,9,)/VLOOKUP($E294,$D$4:$AH$583,3,))*$F294</f>
        <v>0</v>
      </c>
      <c r="M294" s="84">
        <f>(VLOOKUP($E294,$D$4:$AH$583,10,)/VLOOKUP($E294,$D$4:$AH$583,3,))*$F294</f>
        <v>0</v>
      </c>
      <c r="N294" s="84">
        <f>(VLOOKUP($E294,$D$4:$AH$583,11,)/VLOOKUP($E294,$D$4:$AH$583,3,))*$F294</f>
        <v>0</v>
      </c>
      <c r="O294" s="84">
        <f>(VLOOKUP($E294,$D$4:$AH$583,12,)/VLOOKUP($E294,$D$4:$AH$583,3,))*$F294</f>
        <v>0</v>
      </c>
      <c r="P294" s="84">
        <f>(VLOOKUP($E294,$D$4:$AH$583,13,)/VLOOKUP($E294,$D$4:$AH$583,3,))*$F294</f>
        <v>0</v>
      </c>
      <c r="Q294" s="84">
        <f>(VLOOKUP($E294,$D$4:$AH$583,14,)/VLOOKUP($E294,$D$4:$AH$583,3,))*$F294</f>
        <v>0</v>
      </c>
      <c r="R294" s="84">
        <f>(VLOOKUP($E294,$D$4:$AH$583,15,)/VLOOKUP($E294,$D$4:$AH$583,3,))*$F294</f>
        <v>0</v>
      </c>
      <c r="S294" s="84">
        <f>(VLOOKUP($E294,$D$4:$AH$583,16,)/VLOOKUP($E294,$D$4:$AH$583,3,))*$F294</f>
        <v>0</v>
      </c>
      <c r="T294" s="25">
        <f>SUM(G294:S294)</f>
        <v>0</v>
      </c>
      <c r="U294" s="85" t="str">
        <f>IF(ABS(F294-T294)&lt;0.01,"ok","err")</f>
        <v>ok</v>
      </c>
    </row>
    <row r="295" spans="1:21" s="28" customFormat="1" x14ac:dyDescent="0.2">
      <c r="A295" s="28" t="s">
        <v>664</v>
      </c>
      <c r="D295" s="28" t="s">
        <v>374</v>
      </c>
      <c r="F295" s="84">
        <f t="shared" ref="F295:S295" si="30">F293+F294</f>
        <v>0</v>
      </c>
      <c r="G295" s="84">
        <f t="shared" si="30"/>
        <v>0</v>
      </c>
      <c r="H295" s="84">
        <f t="shared" si="30"/>
        <v>0</v>
      </c>
      <c r="I295" s="84">
        <f t="shared" si="30"/>
        <v>0</v>
      </c>
      <c r="J295" s="84">
        <f t="shared" si="30"/>
        <v>0</v>
      </c>
      <c r="K295" s="84">
        <f t="shared" si="30"/>
        <v>0</v>
      </c>
      <c r="L295" s="84">
        <f t="shared" si="30"/>
        <v>0</v>
      </c>
      <c r="M295" s="84">
        <f t="shared" si="30"/>
        <v>0</v>
      </c>
      <c r="N295" s="84">
        <f t="shared" si="30"/>
        <v>0</v>
      </c>
      <c r="O295" s="84">
        <f t="shared" si="30"/>
        <v>0</v>
      </c>
      <c r="P295" s="84">
        <f t="shared" si="30"/>
        <v>0</v>
      </c>
      <c r="Q295" s="84">
        <f t="shared" si="30"/>
        <v>0</v>
      </c>
      <c r="R295" s="84">
        <f t="shared" si="30"/>
        <v>0</v>
      </c>
      <c r="S295" s="84">
        <f t="shared" si="30"/>
        <v>0</v>
      </c>
      <c r="T295" s="35">
        <f>SUM(G295:S295)</f>
        <v>0</v>
      </c>
      <c r="U295" s="85" t="str">
        <f>IF(ABS(F295-T295)&lt;0.01,"ok","err")</f>
        <v>ok</v>
      </c>
    </row>
    <row r="296" spans="1:21" s="28" customFormat="1" x14ac:dyDescent="0.2">
      <c r="F296" s="25"/>
      <c r="G296" s="25"/>
    </row>
    <row r="297" spans="1:21" s="28" customFormat="1" x14ac:dyDescent="0.2">
      <c r="A297" s="74" t="s">
        <v>2</v>
      </c>
      <c r="B297" s="75"/>
      <c r="C297" s="75"/>
      <c r="D297" s="75"/>
      <c r="E297" s="75"/>
      <c r="F297" s="25"/>
      <c r="G297" s="25"/>
    </row>
    <row r="298" spans="1:21" s="28" customFormat="1" x14ac:dyDescent="0.2">
      <c r="A298" s="86" t="s">
        <v>207</v>
      </c>
      <c r="C298" s="28" t="s">
        <v>309</v>
      </c>
      <c r="D298" s="28" t="s">
        <v>375</v>
      </c>
      <c r="E298" s="28" t="s">
        <v>314</v>
      </c>
      <c r="F298" s="84">
        <f>VLOOKUP(C298,'S5-Functional Assignment'!$C$1:$AP$743,7,)</f>
        <v>337689.58121044119</v>
      </c>
      <c r="G298" s="84">
        <f>(VLOOKUP($E298,$D$4:$AH$583,4,)/VLOOKUP($E298,$D$4:$AH$583,3,))*$F298</f>
        <v>143445.76883043849</v>
      </c>
      <c r="H298" s="84">
        <f>(VLOOKUP($E298,$D$4:$AH$583,5,)/VLOOKUP($E298,$D$4:$AH$583,3,))*$F298</f>
        <v>0</v>
      </c>
      <c r="I298" s="84">
        <f>(VLOOKUP($E298,$D$4:$AH$583,6,)/VLOOKUP($E298,$D$4:$AH$583,3,))*$F298</f>
        <v>50062.391510708003</v>
      </c>
      <c r="J298" s="84">
        <f>(VLOOKUP($E298,$D$4:$AH$583,7,)/VLOOKUP($E298,$D$4:$AH$583,3,))*$F298</f>
        <v>144181.4208692947</v>
      </c>
      <c r="K298" s="84">
        <f>(VLOOKUP($E298,$D$4:$AH$583,8,)/VLOOKUP($E298,$D$4:$AH$583,3,))*$F298</f>
        <v>0</v>
      </c>
      <c r="L298" s="84">
        <f>(VLOOKUP($E298,$D$4:$AH$583,9,)/VLOOKUP($E298,$D$4:$AH$583,3,))*$F298</f>
        <v>0</v>
      </c>
      <c r="M298" s="84">
        <f>(VLOOKUP($E298,$D$4:$AH$583,10,)/VLOOKUP($E298,$D$4:$AH$583,3,))*$F298</f>
        <v>0</v>
      </c>
      <c r="N298" s="84">
        <f>(VLOOKUP($E298,$D$4:$AH$583,11,)/VLOOKUP($E298,$D$4:$AH$583,3,))*$F298</f>
        <v>0</v>
      </c>
      <c r="O298" s="84">
        <f>(VLOOKUP($E298,$D$4:$AH$583,12,)/VLOOKUP($E298,$D$4:$AH$583,3,))*$F298</f>
        <v>0</v>
      </c>
      <c r="P298" s="84">
        <f>(VLOOKUP($E298,$D$4:$AH$583,13,)/VLOOKUP($E298,$D$4:$AH$583,3,))*$F298</f>
        <v>0</v>
      </c>
      <c r="Q298" s="84">
        <f>(VLOOKUP($E298,$D$4:$AH$583,14,)/VLOOKUP($E298,$D$4:$AH$583,3,))*$F298</f>
        <v>0</v>
      </c>
      <c r="R298" s="84">
        <f>(VLOOKUP($E298,$D$4:$AH$583,15,)/VLOOKUP($E298,$D$4:$AH$583,3,))*$F298</f>
        <v>0</v>
      </c>
      <c r="S298" s="84">
        <f>(VLOOKUP($E298,$D$4:$AH$583,16,)/VLOOKUP($E298,$D$4:$AH$583,3,))*$F298</f>
        <v>0</v>
      </c>
      <c r="T298" s="35">
        <f>SUM(G298:S298)</f>
        <v>337689.58121044119</v>
      </c>
      <c r="U298" s="85" t="str">
        <f>IF(ABS(F298-T298)&lt;0.01,"ok","err")</f>
        <v>ok</v>
      </c>
    </row>
    <row r="299" spans="1:21" s="28" customFormat="1" x14ac:dyDescent="0.2">
      <c r="A299" s="28" t="s">
        <v>228</v>
      </c>
      <c r="C299" s="28" t="s">
        <v>309</v>
      </c>
      <c r="D299" s="28" t="s">
        <v>376</v>
      </c>
      <c r="E299" s="28" t="s">
        <v>315</v>
      </c>
      <c r="F299" s="25">
        <f>VLOOKUP(C299,'S5-Functional Assignment'!$C$1:$AP$743,8,)</f>
        <v>0</v>
      </c>
      <c r="G299" s="84">
        <f>(VLOOKUP($E299,$D$4:$AH$583,4,)/VLOOKUP($E299,$D$4:$AH$583,3,))*$F299</f>
        <v>0</v>
      </c>
      <c r="H299" s="84">
        <f>(VLOOKUP($E299,$D$4:$AH$583,5,)/VLOOKUP($E299,$D$4:$AH$583,3,))*$F299</f>
        <v>0</v>
      </c>
      <c r="I299" s="84">
        <f>(VLOOKUP($E299,$D$4:$AH$583,6,)/VLOOKUP($E299,$D$4:$AH$583,3,))*$F299</f>
        <v>0</v>
      </c>
      <c r="J299" s="84">
        <f>(VLOOKUP($E299,$D$4:$AH$583,7,)/VLOOKUP($E299,$D$4:$AH$583,3,))*$F299</f>
        <v>0</v>
      </c>
      <c r="K299" s="84">
        <f>(VLOOKUP($E299,$D$4:$AH$583,8,)/VLOOKUP($E299,$D$4:$AH$583,3,))*$F299</f>
        <v>0</v>
      </c>
      <c r="L299" s="84">
        <f>(VLOOKUP($E299,$D$4:$AH$583,9,)/VLOOKUP($E299,$D$4:$AH$583,3,))*$F299</f>
        <v>0</v>
      </c>
      <c r="M299" s="84">
        <f>(VLOOKUP($E299,$D$4:$AH$583,10,)/VLOOKUP($E299,$D$4:$AH$583,3,))*$F299</f>
        <v>0</v>
      </c>
      <c r="N299" s="84">
        <f>(VLOOKUP($E299,$D$4:$AH$583,11,)/VLOOKUP($E299,$D$4:$AH$583,3,))*$F299</f>
        <v>0</v>
      </c>
      <c r="O299" s="84">
        <f>(VLOOKUP($E299,$D$4:$AH$583,12,)/VLOOKUP($E299,$D$4:$AH$583,3,))*$F299</f>
        <v>0</v>
      </c>
      <c r="P299" s="84">
        <f>(VLOOKUP($E299,$D$4:$AH$583,13,)/VLOOKUP($E299,$D$4:$AH$583,3,))*$F299</f>
        <v>0</v>
      </c>
      <c r="Q299" s="84">
        <f>(VLOOKUP($E299,$D$4:$AH$583,14,)/VLOOKUP($E299,$D$4:$AH$583,3,))*$F299</f>
        <v>0</v>
      </c>
      <c r="R299" s="84">
        <f>(VLOOKUP($E299,$D$4:$AH$583,15,)/VLOOKUP($E299,$D$4:$AH$583,3,))*$F299</f>
        <v>0</v>
      </c>
      <c r="S299" s="84">
        <f>(VLOOKUP($E299,$D$4:$AH$583,16,)/VLOOKUP($E299,$D$4:$AH$583,3,))*$F299</f>
        <v>0</v>
      </c>
      <c r="T299" s="25">
        <f>SUM(G299:S299)</f>
        <v>0</v>
      </c>
      <c r="U299" s="85" t="str">
        <f>IF(ABS(F299-T299)&lt;0.01,"ok","err")</f>
        <v>ok</v>
      </c>
    </row>
    <row r="300" spans="1:21" s="28" customFormat="1" x14ac:dyDescent="0.2">
      <c r="A300" s="28" t="s">
        <v>229</v>
      </c>
      <c r="D300" s="28" t="s">
        <v>377</v>
      </c>
      <c r="F300" s="84">
        <f>SUM(F298:F299)</f>
        <v>337689.58121044119</v>
      </c>
      <c r="G300" s="84">
        <f t="shared" ref="G300:S300" si="31">G298+G299</f>
        <v>143445.76883043849</v>
      </c>
      <c r="H300" s="84">
        <f t="shared" si="31"/>
        <v>0</v>
      </c>
      <c r="I300" s="84">
        <f t="shared" si="31"/>
        <v>50062.391510708003</v>
      </c>
      <c r="J300" s="84">
        <f t="shared" si="31"/>
        <v>144181.4208692947</v>
      </c>
      <c r="K300" s="84">
        <f t="shared" si="31"/>
        <v>0</v>
      </c>
      <c r="L300" s="84">
        <f t="shared" si="31"/>
        <v>0</v>
      </c>
      <c r="M300" s="84">
        <f t="shared" si="31"/>
        <v>0</v>
      </c>
      <c r="N300" s="84">
        <f t="shared" si="31"/>
        <v>0</v>
      </c>
      <c r="O300" s="84">
        <f t="shared" si="31"/>
        <v>0</v>
      </c>
      <c r="P300" s="84">
        <f t="shared" si="31"/>
        <v>0</v>
      </c>
      <c r="Q300" s="84">
        <f t="shared" si="31"/>
        <v>0</v>
      </c>
      <c r="R300" s="84">
        <f t="shared" si="31"/>
        <v>0</v>
      </c>
      <c r="S300" s="84">
        <f t="shared" si="31"/>
        <v>0</v>
      </c>
      <c r="T300" s="35">
        <f>SUM(G300:S300)</f>
        <v>337689.58121044119</v>
      </c>
      <c r="U300" s="85" t="str">
        <f>IF(ABS(F300-T300)&lt;0.01,"ok","err")</f>
        <v>ok</v>
      </c>
    </row>
    <row r="301" spans="1:21" s="28" customFormat="1" x14ac:dyDescent="0.2">
      <c r="F301" s="25"/>
      <c r="G301" s="25"/>
    </row>
    <row r="302" spans="1:21" s="28" customFormat="1" x14ac:dyDescent="0.2">
      <c r="A302" s="81" t="s">
        <v>3</v>
      </c>
      <c r="B302" s="82"/>
      <c r="C302" s="82"/>
      <c r="D302" s="82"/>
      <c r="E302" s="82"/>
      <c r="F302" s="25"/>
      <c r="G302" s="25"/>
    </row>
    <row r="303" spans="1:21" s="28" customFormat="1" x14ac:dyDescent="0.2">
      <c r="A303" s="86" t="s">
        <v>207</v>
      </c>
      <c r="C303" s="28" t="s">
        <v>309</v>
      </c>
      <c r="D303" s="28" t="s">
        <v>378</v>
      </c>
      <c r="E303" s="28" t="s">
        <v>729</v>
      </c>
      <c r="F303" s="84">
        <f>VLOOKUP(C303,'S5-Functional Assignment'!$C$1:$AP$743,9,)</f>
        <v>719722.72235502978</v>
      </c>
      <c r="G303" s="84">
        <f>(VLOOKUP($E303,$D$4:$AH$583,4,)/VLOOKUP($E303,$D$4:$AH$583,3,))*$F303</f>
        <v>195167.64000083404</v>
      </c>
      <c r="H303" s="84">
        <f>(VLOOKUP($E303,$D$4:$AH$583,5,)/VLOOKUP($E303,$D$4:$AH$583,3,))*$F303</f>
        <v>0</v>
      </c>
      <c r="I303" s="84">
        <f>(VLOOKUP($E303,$D$4:$AH$583,6,)/VLOOKUP($E303,$D$4:$AH$583,3,))*$F303</f>
        <v>67812.485085035558</v>
      </c>
      <c r="J303" s="84">
        <f>(VLOOKUP($E303,$D$4:$AH$583,7,)/VLOOKUP($E303,$D$4:$AH$583,3,))*$F303</f>
        <v>184823.80758755334</v>
      </c>
      <c r="K303" s="84">
        <f>(VLOOKUP($E303,$D$4:$AH$583,8,)/VLOOKUP($E303,$D$4:$AH$583,3,))*$F303</f>
        <v>14756.063263070862</v>
      </c>
      <c r="L303" s="84">
        <f>(VLOOKUP($E303,$D$4:$AH$583,9,)/VLOOKUP($E303,$D$4:$AH$583,3,))*$F303</f>
        <v>55037.940251408902</v>
      </c>
      <c r="M303" s="84">
        <f>(VLOOKUP($E303,$D$4:$AH$583,10,)/VLOOKUP($E303,$D$4:$AH$583,3,))*$F303</f>
        <v>202124.78616712691</v>
      </c>
      <c r="N303" s="84">
        <f>(VLOOKUP($E303,$D$4:$AH$583,11,)/VLOOKUP($E303,$D$4:$AH$583,3,))*$F303</f>
        <v>0</v>
      </c>
      <c r="O303" s="84">
        <f>(VLOOKUP($E303,$D$4:$AH$583,12,)/VLOOKUP($E303,$D$4:$AH$583,3,))*$F303</f>
        <v>0</v>
      </c>
      <c r="P303" s="84">
        <f>(VLOOKUP($E303,$D$4:$AH$583,13,)/VLOOKUP($E303,$D$4:$AH$583,3,))*$F303</f>
        <v>0</v>
      </c>
      <c r="Q303" s="84">
        <f>(VLOOKUP($E303,$D$4:$AH$583,14,)/VLOOKUP($E303,$D$4:$AH$583,3,))*$F303</f>
        <v>0</v>
      </c>
      <c r="R303" s="84">
        <f>(VLOOKUP($E303,$D$4:$AH$583,15,)/VLOOKUP($E303,$D$4:$AH$583,3,))*$F303</f>
        <v>0</v>
      </c>
      <c r="S303" s="84">
        <f>(VLOOKUP($E303,$D$4:$AH$583,16,)/VLOOKUP($E303,$D$4:$AH$583,3,))*$F303</f>
        <v>0</v>
      </c>
      <c r="T303" s="35">
        <f>SUM(G303:S303)</f>
        <v>719722.72235502955</v>
      </c>
      <c r="U303" s="85" t="str">
        <f>IF(ABS(F303-T303)&lt;0.01,"ok","err")</f>
        <v>ok</v>
      </c>
    </row>
    <row r="304" spans="1:21" s="28" customFormat="1" x14ac:dyDescent="0.2">
      <c r="A304" s="28" t="s">
        <v>228</v>
      </c>
      <c r="C304" s="28" t="s">
        <v>309</v>
      </c>
      <c r="D304" s="28" t="s">
        <v>379</v>
      </c>
      <c r="E304" s="28" t="s">
        <v>317</v>
      </c>
      <c r="F304" s="25">
        <f>VLOOKUP(C304,'S5-Functional Assignment'!$C$1:$AP$743,10,)</f>
        <v>0</v>
      </c>
      <c r="G304" s="84">
        <f>(VLOOKUP($E304,$D$4:$AH$583,4,)/VLOOKUP($E304,$D$4:$AH$583,3,))*$F304</f>
        <v>0</v>
      </c>
      <c r="H304" s="84">
        <f>(VLOOKUP($E304,$D$4:$AH$583,5,)/VLOOKUP($E304,$D$4:$AH$583,3,))*$F304</f>
        <v>0</v>
      </c>
      <c r="I304" s="84">
        <f>(VLOOKUP($E304,$D$4:$AH$583,6,)/VLOOKUP($E304,$D$4:$AH$583,3,))*$F304</f>
        <v>0</v>
      </c>
      <c r="J304" s="84">
        <f>(VLOOKUP($E304,$D$4:$AH$583,7,)/VLOOKUP($E304,$D$4:$AH$583,3,))*$F304</f>
        <v>0</v>
      </c>
      <c r="K304" s="84">
        <f>(VLOOKUP($E304,$D$4:$AH$583,8,)/VLOOKUP($E304,$D$4:$AH$583,3,))*$F304</f>
        <v>0</v>
      </c>
      <c r="L304" s="84">
        <f>(VLOOKUP($E304,$D$4:$AH$583,9,)/VLOOKUP($E304,$D$4:$AH$583,3,))*$F304</f>
        <v>0</v>
      </c>
      <c r="M304" s="84">
        <f>(VLOOKUP($E304,$D$4:$AH$583,10,)/VLOOKUP($E304,$D$4:$AH$583,3,))*$F304</f>
        <v>0</v>
      </c>
      <c r="N304" s="84">
        <f>(VLOOKUP($E304,$D$4:$AH$583,11,)/VLOOKUP($E304,$D$4:$AH$583,3,))*$F304</f>
        <v>0</v>
      </c>
      <c r="O304" s="84">
        <f>(VLOOKUP($E304,$D$4:$AH$583,12,)/VLOOKUP($E304,$D$4:$AH$583,3,))*$F304</f>
        <v>0</v>
      </c>
      <c r="P304" s="84">
        <f>(VLOOKUP($E304,$D$4:$AH$583,13,)/VLOOKUP($E304,$D$4:$AH$583,3,))*$F304</f>
        <v>0</v>
      </c>
      <c r="Q304" s="84">
        <f>(VLOOKUP($E304,$D$4:$AH$583,14,)/VLOOKUP($E304,$D$4:$AH$583,3,))*$F304</f>
        <v>0</v>
      </c>
      <c r="R304" s="84">
        <f>(VLOOKUP($E304,$D$4:$AH$583,15,)/VLOOKUP($E304,$D$4:$AH$583,3,))*$F304</f>
        <v>0</v>
      </c>
      <c r="S304" s="84">
        <f>(VLOOKUP($E304,$D$4:$AH$583,16,)/VLOOKUP($E304,$D$4:$AH$583,3,))*$F304</f>
        <v>0</v>
      </c>
      <c r="T304" s="25">
        <f>SUM(G304:S304)</f>
        <v>0</v>
      </c>
      <c r="U304" s="85" t="str">
        <f>IF(ABS(F304-T304)&lt;0.01,"ok","err")</f>
        <v>ok</v>
      </c>
    </row>
    <row r="305" spans="1:21" s="28" customFormat="1" x14ac:dyDescent="0.2">
      <c r="A305" s="28" t="s">
        <v>230</v>
      </c>
      <c r="D305" s="28" t="s">
        <v>380</v>
      </c>
      <c r="F305" s="84">
        <f>SUM(F303:F304)</f>
        <v>719722.72235502978</v>
      </c>
      <c r="G305" s="84">
        <f t="shared" ref="G305:S305" si="32">G303+G304</f>
        <v>195167.64000083404</v>
      </c>
      <c r="H305" s="84">
        <f t="shared" si="32"/>
        <v>0</v>
      </c>
      <c r="I305" s="84">
        <f t="shared" si="32"/>
        <v>67812.485085035558</v>
      </c>
      <c r="J305" s="84">
        <f t="shared" si="32"/>
        <v>184823.80758755334</v>
      </c>
      <c r="K305" s="84">
        <f t="shared" si="32"/>
        <v>14756.063263070862</v>
      </c>
      <c r="L305" s="84">
        <f t="shared" si="32"/>
        <v>55037.940251408902</v>
      </c>
      <c r="M305" s="84">
        <f t="shared" si="32"/>
        <v>202124.78616712691</v>
      </c>
      <c r="N305" s="84">
        <f t="shared" si="32"/>
        <v>0</v>
      </c>
      <c r="O305" s="84">
        <f t="shared" si="32"/>
        <v>0</v>
      </c>
      <c r="P305" s="84">
        <f t="shared" si="32"/>
        <v>0</v>
      </c>
      <c r="Q305" s="84">
        <f t="shared" si="32"/>
        <v>0</v>
      </c>
      <c r="R305" s="84">
        <f t="shared" si="32"/>
        <v>0</v>
      </c>
      <c r="S305" s="84">
        <f t="shared" si="32"/>
        <v>0</v>
      </c>
      <c r="T305" s="35">
        <f>SUM(G305:S305)</f>
        <v>719722.72235502955</v>
      </c>
      <c r="U305" s="85" t="str">
        <f>IF(ABS(F305-T305)&lt;0.01,"ok","err")</f>
        <v>ok</v>
      </c>
    </row>
    <row r="306" spans="1:21" s="28" customFormat="1" x14ac:dyDescent="0.2">
      <c r="F306" s="25"/>
    </row>
    <row r="307" spans="1:21" s="28" customFormat="1" x14ac:dyDescent="0.2">
      <c r="A307" s="1" t="s">
        <v>5</v>
      </c>
      <c r="B307" s="19"/>
      <c r="C307" s="19"/>
      <c r="D307" s="19"/>
      <c r="E307" s="19"/>
      <c r="F307" s="25"/>
    </row>
    <row r="308" spans="1:21" s="28" customFormat="1" x14ac:dyDescent="0.2">
      <c r="A308" s="9" t="s">
        <v>228</v>
      </c>
      <c r="B308" s="19"/>
      <c r="C308" s="19" t="s">
        <v>309</v>
      </c>
      <c r="D308" s="19" t="s">
        <v>381</v>
      </c>
      <c r="E308" s="19" t="s">
        <v>318</v>
      </c>
      <c r="F308" s="84">
        <f>VLOOKUP(C308,'S5-Functional Assignment'!$C$1:$AP$743,11,)</f>
        <v>0</v>
      </c>
      <c r="G308" s="84">
        <f>(VLOOKUP($E308,$D$4:$AH$583,4,)/VLOOKUP($E308,$D$4:$AH$583,3,))*$F308</f>
        <v>0</v>
      </c>
      <c r="H308" s="84">
        <f>(VLOOKUP($E308,$D$4:$AH$583,5,)/VLOOKUP($E308,$D$4:$AH$583,3,))*$F308</f>
        <v>0</v>
      </c>
      <c r="I308" s="84">
        <f>(VLOOKUP($E308,$D$4:$AH$583,6,)/VLOOKUP($E308,$D$4:$AH$583,3,))*$F308</f>
        <v>0</v>
      </c>
      <c r="J308" s="84">
        <f>(VLOOKUP($E308,$D$4:$AH$583,7,)/VLOOKUP($E308,$D$4:$AH$583,3,))*$F308</f>
        <v>0</v>
      </c>
      <c r="K308" s="84">
        <f>(VLOOKUP($E308,$D$4:$AH$583,8,)/VLOOKUP($E308,$D$4:$AH$583,3,))*$F308</f>
        <v>0</v>
      </c>
      <c r="L308" s="84">
        <f>(VLOOKUP($E308,$D$4:$AH$583,9,)/VLOOKUP($E308,$D$4:$AH$583,3,))*$F308</f>
        <v>0</v>
      </c>
      <c r="M308" s="84">
        <f>(VLOOKUP($E308,$D$4:$AH$583,10,)/VLOOKUP($E308,$D$4:$AH$583,3,))*$F308</f>
        <v>0</v>
      </c>
      <c r="N308" s="84">
        <f>(VLOOKUP($E308,$D$4:$AH$583,11,)/VLOOKUP($E308,$D$4:$AH$583,3,))*$F308</f>
        <v>0</v>
      </c>
      <c r="O308" s="84">
        <f>(VLOOKUP($E308,$D$4:$AH$583,12,)/VLOOKUP($E308,$D$4:$AH$583,3,))*$F308</f>
        <v>0</v>
      </c>
      <c r="P308" s="84">
        <f>(VLOOKUP($E308,$D$4:$AH$583,13,)/VLOOKUP($E308,$D$4:$AH$583,3,))*$F308</f>
        <v>0</v>
      </c>
      <c r="Q308" s="84">
        <f>(VLOOKUP($E308,$D$4:$AH$583,14,)/VLOOKUP($E308,$D$4:$AH$583,3,))*$F308</f>
        <v>0</v>
      </c>
      <c r="R308" s="84">
        <f>(VLOOKUP($E308,$D$4:$AH$583,15,)/VLOOKUP($E308,$D$4:$AH$583,3,))*$F308</f>
        <v>0</v>
      </c>
      <c r="S308" s="84">
        <f>(VLOOKUP($E308,$D$4:$AH$583,16,)/VLOOKUP($E308,$D$4:$AH$583,3,))*$F308</f>
        <v>0</v>
      </c>
      <c r="T308" s="35">
        <f>SUM(G308:S308)</f>
        <v>0</v>
      </c>
      <c r="U308" s="85" t="str">
        <f>IF(ABS(F308-T308)&lt;0.01,"ok","err")</f>
        <v>ok</v>
      </c>
    </row>
    <row r="309" spans="1:21" s="28" customFormat="1" x14ac:dyDescent="0.2">
      <c r="A309" s="86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85"/>
    </row>
    <row r="310" spans="1:21" s="28" customFormat="1" x14ac:dyDescent="0.2">
      <c r="A310" s="1" t="s">
        <v>6</v>
      </c>
      <c r="B310" s="19"/>
      <c r="C310" s="19"/>
      <c r="D310" s="19"/>
      <c r="E310" s="19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85"/>
    </row>
    <row r="311" spans="1:21" s="28" customFormat="1" x14ac:dyDescent="0.2">
      <c r="A311" s="86" t="s">
        <v>207</v>
      </c>
      <c r="C311" s="28" t="s">
        <v>309</v>
      </c>
      <c r="D311" s="28" t="s">
        <v>382</v>
      </c>
      <c r="E311" s="28" t="s">
        <v>319</v>
      </c>
      <c r="F311" s="84">
        <f>VLOOKUP(C311,'S5-Functional Assignment'!$C$1:$AP$743,12,)</f>
        <v>36691.998727698643</v>
      </c>
      <c r="G311" s="84">
        <f>(VLOOKUP($E311,$D$4:$AH$583,4,)/VLOOKUP($E311,$D$4:$AH$583,3,))*$F311</f>
        <v>15405.228777936471</v>
      </c>
      <c r="H311" s="84">
        <f>(VLOOKUP($E311,$D$4:$AH$583,5,)/VLOOKUP($E311,$D$4:$AH$583,3,))*$F311</f>
        <v>0</v>
      </c>
      <c r="I311" s="84">
        <f>(VLOOKUP($E311,$D$4:$AH$583,6,)/VLOOKUP($E311,$D$4:$AH$583,3,))*$F311</f>
        <v>5352.6642364016552</v>
      </c>
      <c r="J311" s="84">
        <f>(VLOOKUP($E311,$D$4:$AH$583,7,)/VLOOKUP($E311,$D$4:$AH$583,3,))*$F311</f>
        <v>14588.755797238735</v>
      </c>
      <c r="K311" s="84">
        <f>(VLOOKUP($E311,$D$4:$AH$583,8,)/VLOOKUP($E311,$D$4:$AH$583,3,))*$F311</f>
        <v>1164.7449875826696</v>
      </c>
      <c r="L311" s="84">
        <f>(VLOOKUP($E311,$D$4:$AH$583,9,)/VLOOKUP($E311,$D$4:$AH$583,3,))*$F311</f>
        <v>180.60511778718922</v>
      </c>
      <c r="M311" s="84">
        <f>(VLOOKUP($E311,$D$4:$AH$583,10,)/VLOOKUP($E311,$D$4:$AH$583,3,))*$F311</f>
        <v>0</v>
      </c>
      <c r="N311" s="84">
        <f>(VLOOKUP($E311,$D$4:$AH$583,11,)/VLOOKUP($E311,$D$4:$AH$583,3,))*$F311</f>
        <v>0</v>
      </c>
      <c r="O311" s="84">
        <f>(VLOOKUP($E311,$D$4:$AH$583,12,)/VLOOKUP($E311,$D$4:$AH$583,3,))*$F311</f>
        <v>0</v>
      </c>
      <c r="P311" s="84">
        <f>(VLOOKUP($E311,$D$4:$AH$583,13,)/VLOOKUP($E311,$D$4:$AH$583,3,))*$F311</f>
        <v>0</v>
      </c>
      <c r="Q311" s="84">
        <f>(VLOOKUP($E311,$D$4:$AH$583,14,)/VLOOKUP($E311,$D$4:$AH$583,3,))*$F311</f>
        <v>0</v>
      </c>
      <c r="R311" s="84">
        <f>(VLOOKUP($E311,$D$4:$AH$583,15,)/VLOOKUP($E311,$D$4:$AH$583,3,))*$F311</f>
        <v>0</v>
      </c>
      <c r="S311" s="84">
        <f>(VLOOKUP($E311,$D$4:$AH$583,16,)/VLOOKUP($E311,$D$4:$AH$583,3,))*$F311</f>
        <v>0</v>
      </c>
      <c r="T311" s="35">
        <f>SUM(G311:S311)</f>
        <v>36691.998916946723</v>
      </c>
      <c r="U311" s="85" t="str">
        <f>IF(ABS(F311-T311)&lt;0.01,"ok","err")</f>
        <v>ok</v>
      </c>
    </row>
    <row r="312" spans="1:21" s="28" customFormat="1" x14ac:dyDescent="0.2">
      <c r="F312" s="25"/>
    </row>
    <row r="313" spans="1:21" s="28" customFormat="1" x14ac:dyDescent="0.2">
      <c r="F313" s="25"/>
    </row>
    <row r="314" spans="1:21" s="28" customFormat="1" x14ac:dyDescent="0.2">
      <c r="A314" s="79" t="s">
        <v>662</v>
      </c>
      <c r="B314" s="80"/>
      <c r="C314" s="80"/>
      <c r="D314" s="80"/>
      <c r="E314" s="80"/>
      <c r="F314" s="25"/>
    </row>
    <row r="315" spans="1:21" s="28" customFormat="1" x14ac:dyDescent="0.2">
      <c r="F315" s="25"/>
    </row>
    <row r="316" spans="1:21" s="28" customFormat="1" x14ac:dyDescent="0.2">
      <c r="A316" s="81" t="s">
        <v>7</v>
      </c>
      <c r="B316" s="82"/>
      <c r="C316" s="82"/>
      <c r="D316" s="82"/>
      <c r="E316" s="82"/>
      <c r="F316" s="25"/>
    </row>
    <row r="317" spans="1:21" s="28" customFormat="1" x14ac:dyDescent="0.2">
      <c r="A317" s="86" t="s">
        <v>207</v>
      </c>
      <c r="C317" s="28" t="s">
        <v>309</v>
      </c>
      <c r="D317" s="28" t="s">
        <v>383</v>
      </c>
      <c r="E317" s="28" t="s">
        <v>320</v>
      </c>
      <c r="F317" s="84">
        <f>VLOOKUP(C317,'S5-Functional Assignment'!$C$1:$AP$743,13,)</f>
        <v>309639.04295639531</v>
      </c>
      <c r="G317" s="84">
        <f>(VLOOKUP($E317,$D$4:$AH$583,4,)/VLOOKUP($E317,$D$4:$AH$583,3,))*$F317</f>
        <v>136151.97862551778</v>
      </c>
      <c r="H317" s="84">
        <f>(VLOOKUP($E317,$D$4:$AH$583,5,)/VLOOKUP($E317,$D$4:$AH$583,3,))*$F317</f>
        <v>0</v>
      </c>
      <c r="I317" s="84">
        <f>(VLOOKUP($E317,$D$4:$AH$583,6,)/VLOOKUP($E317,$D$4:$AH$583,3,))*$F317</f>
        <v>47031.313625870396</v>
      </c>
      <c r="J317" s="84">
        <f>(VLOOKUP($E317,$D$4:$AH$583,7,)/VLOOKUP($E317,$D$4:$AH$583,3,))*$F317</f>
        <v>114528.59732174846</v>
      </c>
      <c r="K317" s="84">
        <f>(VLOOKUP($E317,$D$4:$AH$583,8,)/VLOOKUP($E317,$D$4:$AH$583,3,))*$F317</f>
        <v>10326.006604532085</v>
      </c>
      <c r="L317" s="84">
        <f>(VLOOKUP($E317,$D$4:$AH$583,9,)/VLOOKUP($E317,$D$4:$AH$583,3,))*$F317</f>
        <v>1601.1484564988905</v>
      </c>
      <c r="M317" s="84">
        <f>(VLOOKUP($E317,$D$4:$AH$583,10,)/VLOOKUP($E317,$D$4:$AH$583,3,))*$F317</f>
        <v>0</v>
      </c>
      <c r="N317" s="84">
        <f>(VLOOKUP($E317,$D$4:$AH$583,11,)/VLOOKUP($E317,$D$4:$AH$583,3,))*$F317</f>
        <v>0</v>
      </c>
      <c r="O317" s="84">
        <f>(VLOOKUP($E317,$D$4:$AH$583,12,)/VLOOKUP($E317,$D$4:$AH$583,3,))*$F317</f>
        <v>0</v>
      </c>
      <c r="P317" s="84">
        <f>(VLOOKUP($E317,$D$4:$AH$583,13,)/VLOOKUP($E317,$D$4:$AH$583,3,))*$F317</f>
        <v>0</v>
      </c>
      <c r="Q317" s="84">
        <f>(VLOOKUP($E317,$D$4:$AH$583,14,)/VLOOKUP($E317,$D$4:$AH$583,3,))*$F317</f>
        <v>0</v>
      </c>
      <c r="R317" s="84">
        <f>(VLOOKUP($E317,$D$4:$AH$583,15,)/VLOOKUP($E317,$D$4:$AH$583,3,))*$F317</f>
        <v>0</v>
      </c>
      <c r="S317" s="84">
        <f>(VLOOKUP($E317,$D$4:$AH$583,16,)/VLOOKUP($E317,$D$4:$AH$583,3,))*$F317</f>
        <v>0</v>
      </c>
      <c r="T317" s="35">
        <f>SUM(G317:S317)</f>
        <v>309639.04463416757</v>
      </c>
      <c r="U317" s="85" t="str">
        <f>IF(ABS(F317-T317)&lt;0.01,"ok","err")</f>
        <v>ok</v>
      </c>
    </row>
    <row r="318" spans="1:21" s="28" customFormat="1" x14ac:dyDescent="0.2">
      <c r="A318" s="86" t="s">
        <v>208</v>
      </c>
      <c r="C318" s="28" t="s">
        <v>309</v>
      </c>
      <c r="D318" s="28" t="s">
        <v>384</v>
      </c>
      <c r="E318" s="28" t="s">
        <v>321</v>
      </c>
      <c r="F318" s="25">
        <f>VLOOKUP(C318,'S5-Functional Assignment'!$C$1:$AP$743,14,)</f>
        <v>761035.37943777943</v>
      </c>
      <c r="G318" s="84">
        <f>(VLOOKUP($E318,$D$4:$AH$583,4,)/VLOOKUP($E318,$D$4:$AH$583,3,))*$F318</f>
        <v>647271.82031523413</v>
      </c>
      <c r="H318" s="84">
        <f>(VLOOKUP($E318,$D$4:$AH$583,5,)/VLOOKUP($E318,$D$4:$AH$583,3,))*$F318</f>
        <v>0</v>
      </c>
      <c r="I318" s="84">
        <f>(VLOOKUP($E318,$D$4:$AH$583,6,)/VLOOKUP($E318,$D$4:$AH$583,3,))*$F318</f>
        <v>91115.313376201942</v>
      </c>
      <c r="J318" s="84">
        <f>(VLOOKUP($E318,$D$4:$AH$583,7,)/VLOOKUP($E318,$D$4:$AH$583,3,))*$F318</f>
        <v>21185.720652022192</v>
      </c>
      <c r="K318" s="84">
        <f>(VLOOKUP($E318,$D$4:$AH$583,8,)/VLOOKUP($E318,$D$4:$AH$583,3,))*$F318</f>
        <v>1399.8454474215846</v>
      </c>
      <c r="L318" s="84">
        <f>(VLOOKUP($E318,$D$4:$AH$583,9,)/VLOOKUP($E318,$D$4:$AH$583,3,))*$F318</f>
        <v>62.679646899473937</v>
      </c>
      <c r="M318" s="84">
        <f>(VLOOKUP($E318,$D$4:$AH$583,10,)/VLOOKUP($E318,$D$4:$AH$583,3,))*$F318</f>
        <v>0</v>
      </c>
      <c r="N318" s="84">
        <f>(VLOOKUP($E318,$D$4:$AH$583,11,)/VLOOKUP($E318,$D$4:$AH$583,3,))*$F318</f>
        <v>0</v>
      </c>
      <c r="O318" s="84">
        <f>(VLOOKUP($E318,$D$4:$AH$583,12,)/VLOOKUP($E318,$D$4:$AH$583,3,))*$F318</f>
        <v>0</v>
      </c>
      <c r="P318" s="84">
        <f>(VLOOKUP($E318,$D$4:$AH$583,13,)/VLOOKUP($E318,$D$4:$AH$583,3,))*$F318</f>
        <v>0</v>
      </c>
      <c r="Q318" s="84">
        <f>(VLOOKUP($E318,$D$4:$AH$583,14,)/VLOOKUP($E318,$D$4:$AH$583,3,))*$F318</f>
        <v>0</v>
      </c>
      <c r="R318" s="84">
        <f>(VLOOKUP($E318,$D$4:$AH$583,15,)/VLOOKUP($E318,$D$4:$AH$583,3,))*$F318</f>
        <v>0</v>
      </c>
      <c r="S318" s="84">
        <f>(VLOOKUP($E318,$D$4:$AH$583,16,)/VLOOKUP($E318,$D$4:$AH$583,3,))*$F318</f>
        <v>0</v>
      </c>
      <c r="T318" s="25">
        <f>SUM(G318:S318)</f>
        <v>761035.37943777919</v>
      </c>
      <c r="U318" s="85" t="str">
        <f>IF(ABS(F318-T318)&lt;0.01,"ok","err")</f>
        <v>ok</v>
      </c>
    </row>
    <row r="319" spans="1:21" s="28" customFormat="1" x14ac:dyDescent="0.2">
      <c r="A319" s="28" t="s">
        <v>231</v>
      </c>
      <c r="F319" s="25">
        <f>SUM(F317:F318)</f>
        <v>1070674.4223941746</v>
      </c>
      <c r="G319" s="84">
        <f t="shared" ref="G319:S319" si="33">G317+G318</f>
        <v>783423.79894075193</v>
      </c>
      <c r="H319" s="84">
        <f t="shared" si="33"/>
        <v>0</v>
      </c>
      <c r="I319" s="84">
        <f t="shared" si="33"/>
        <v>138146.62700207235</v>
      </c>
      <c r="J319" s="84">
        <f t="shared" si="33"/>
        <v>135714.31797377064</v>
      </c>
      <c r="K319" s="84">
        <f t="shared" si="33"/>
        <v>11725.852051953671</v>
      </c>
      <c r="L319" s="84">
        <f t="shared" si="33"/>
        <v>1663.8281033983644</v>
      </c>
      <c r="M319" s="84">
        <f t="shared" si="33"/>
        <v>0</v>
      </c>
      <c r="N319" s="84">
        <f t="shared" si="33"/>
        <v>0</v>
      </c>
      <c r="O319" s="84">
        <f t="shared" si="33"/>
        <v>0</v>
      </c>
      <c r="P319" s="84">
        <f t="shared" si="33"/>
        <v>0</v>
      </c>
      <c r="Q319" s="84">
        <f t="shared" si="33"/>
        <v>0</v>
      </c>
      <c r="R319" s="84">
        <f t="shared" si="33"/>
        <v>0</v>
      </c>
      <c r="S319" s="84">
        <f t="shared" si="33"/>
        <v>0</v>
      </c>
      <c r="T319" s="35">
        <f>SUM(G319:S319)</f>
        <v>1070674.4240719471</v>
      </c>
      <c r="U319" s="85" t="str">
        <f>IF(ABS(F319-T319)&lt;0.01,"ok","err")</f>
        <v>ok</v>
      </c>
    </row>
    <row r="320" spans="1:21" s="28" customFormat="1" x14ac:dyDescent="0.2">
      <c r="F320" s="25"/>
    </row>
    <row r="321" spans="1:21" s="28" customFormat="1" x14ac:dyDescent="0.2">
      <c r="A321" s="81" t="s">
        <v>9</v>
      </c>
      <c r="B321" s="82"/>
      <c r="C321" s="82"/>
      <c r="D321" s="82"/>
      <c r="E321" s="82"/>
      <c r="F321" s="25"/>
    </row>
    <row r="322" spans="1:21" s="28" customFormat="1" x14ac:dyDescent="0.2">
      <c r="A322" s="86" t="s">
        <v>208</v>
      </c>
      <c r="C322" s="28" t="s">
        <v>309</v>
      </c>
      <c r="D322" s="28" t="s">
        <v>376</v>
      </c>
      <c r="E322" s="28" t="s">
        <v>322</v>
      </c>
      <c r="F322" s="84">
        <f>VLOOKUP(C322,'S5-Functional Assignment'!$C$1:$AP$743,15,)</f>
        <v>244208.36820461054</v>
      </c>
      <c r="G322" s="84">
        <f>(VLOOKUP($E322,$D$4:$AH$583,4,)/VLOOKUP($E322,$D$4:$AH$583,3,))*$F322</f>
        <v>199922.98166709612</v>
      </c>
      <c r="H322" s="84">
        <f>(VLOOKUP($E322,$D$4:$AH$583,5,)/VLOOKUP($E322,$D$4:$AH$583,3,))*$F322</f>
        <v>0</v>
      </c>
      <c r="I322" s="84">
        <f>(VLOOKUP($E322,$D$4:$AH$583,6,)/VLOOKUP($E322,$D$4:$AH$583,3,))*$F322</f>
        <v>26222.814593341536</v>
      </c>
      <c r="J322" s="84">
        <f>(VLOOKUP($E322,$D$4:$AH$583,7,)/VLOOKUP($E322,$D$4:$AH$583,3,))*$F322</f>
        <v>16896.169689053262</v>
      </c>
      <c r="K322" s="84">
        <f>(VLOOKUP($E322,$D$4:$AH$583,8,)/VLOOKUP($E322,$D$4:$AH$583,3,))*$F322</f>
        <v>1116.4135790597322</v>
      </c>
      <c r="L322" s="84">
        <f>(VLOOKUP($E322,$D$4:$AH$583,9,)/VLOOKUP($E322,$D$4:$AH$583,3,))*$F322</f>
        <v>49.988667719092497</v>
      </c>
      <c r="M322" s="84">
        <f>(VLOOKUP($E322,$D$4:$AH$583,10,)/VLOOKUP($E322,$D$4:$AH$583,3,))*$F322</f>
        <v>0</v>
      </c>
      <c r="N322" s="84">
        <f>(VLOOKUP($E322,$D$4:$AH$583,11,)/VLOOKUP($E322,$D$4:$AH$583,3,))*$F322</f>
        <v>0</v>
      </c>
      <c r="O322" s="84">
        <f>(VLOOKUP($E322,$D$4:$AH$583,12,)/VLOOKUP($E322,$D$4:$AH$583,3,))*$F322</f>
        <v>0</v>
      </c>
      <c r="P322" s="84">
        <f>(VLOOKUP($E322,$D$4:$AH$583,13,)/VLOOKUP($E322,$D$4:$AH$583,3,))*$F322</f>
        <v>0</v>
      </c>
      <c r="Q322" s="84">
        <f>(VLOOKUP($E322,$D$4:$AH$583,14,)/VLOOKUP($E322,$D$4:$AH$583,3,))*$F322</f>
        <v>0</v>
      </c>
      <c r="R322" s="84">
        <f>(VLOOKUP($E322,$D$4:$AH$583,15,)/VLOOKUP($E322,$D$4:$AH$583,3,))*$F322</f>
        <v>0</v>
      </c>
      <c r="S322" s="84">
        <f>(VLOOKUP($E322,$D$4:$AH$583,16,)/VLOOKUP($E322,$D$4:$AH$583,3,))*$F322</f>
        <v>0</v>
      </c>
      <c r="T322" s="84">
        <f>SUM(G322:S322)</f>
        <v>244208.36819626973</v>
      </c>
      <c r="U322" s="85" t="str">
        <f>IF(ABS(F322-T322)&lt;0.01,"ok","err")</f>
        <v>ok</v>
      </c>
    </row>
    <row r="323" spans="1:21" s="28" customFormat="1" x14ac:dyDescent="0.2">
      <c r="F323" s="25"/>
    </row>
    <row r="324" spans="1:21" s="28" customFormat="1" x14ac:dyDescent="0.2">
      <c r="A324" s="81" t="s">
        <v>10</v>
      </c>
      <c r="B324" s="82"/>
      <c r="C324" s="82"/>
      <c r="D324" s="82"/>
      <c r="E324" s="82"/>
      <c r="F324" s="25"/>
    </row>
    <row r="325" spans="1:21" s="28" customFormat="1" x14ac:dyDescent="0.2">
      <c r="A325" s="86" t="s">
        <v>208</v>
      </c>
      <c r="C325" s="28" t="s">
        <v>309</v>
      </c>
      <c r="D325" s="28" t="s">
        <v>385</v>
      </c>
      <c r="E325" s="28" t="s">
        <v>323</v>
      </c>
      <c r="F325" s="84">
        <f>VLOOKUP(C325,'S5-Functional Assignment'!$C$1:$AP$743,16,)</f>
        <v>230812.90710804469</v>
      </c>
      <c r="G325" s="84">
        <f>(VLOOKUP($E325,$D$4:$AH$583,4,)/VLOOKUP($E325,$D$4:$AH$583,3,))*$F325</f>
        <v>142359.14978158165</v>
      </c>
      <c r="H325" s="84">
        <f>(VLOOKUP($E325,$D$4:$AH$583,5,)/VLOOKUP($E325,$D$4:$AH$583,3,))*$F325</f>
        <v>15191.715596446384</v>
      </c>
      <c r="I325" s="84">
        <f>(VLOOKUP($E325,$D$4:$AH$583,6,)/VLOOKUP($E325,$D$4:$AH$583,3,))*$F325</f>
        <v>32203.723662157357</v>
      </c>
      <c r="J325" s="84">
        <f>(VLOOKUP($E325,$D$4:$AH$583,7,)/VLOOKUP($E325,$D$4:$AH$583,3,))*$F325</f>
        <v>34023.481826975862</v>
      </c>
      <c r="K325" s="84">
        <f>(VLOOKUP($E325,$D$4:$AH$583,8,)/VLOOKUP($E325,$D$4:$AH$583,3,))*$F325</f>
        <v>6561.627071721261</v>
      </c>
      <c r="L325" s="84">
        <f>(VLOOKUP($E325,$D$4:$AH$583,9,)/VLOOKUP($E325,$D$4:$AH$583,3,))*$F325</f>
        <v>473.20920552611477</v>
      </c>
      <c r="M325" s="84">
        <f>(VLOOKUP($E325,$D$4:$AH$583,10,)/VLOOKUP($E325,$D$4:$AH$583,3,))*$F325</f>
        <v>0</v>
      </c>
      <c r="N325" s="84">
        <f>(VLOOKUP($E325,$D$4:$AH$583,11,)/VLOOKUP($E325,$D$4:$AH$583,3,))*$F325</f>
        <v>0</v>
      </c>
      <c r="O325" s="84">
        <f>(VLOOKUP($E325,$D$4:$AH$583,12,)/VLOOKUP($E325,$D$4:$AH$583,3,))*$F325</f>
        <v>0</v>
      </c>
      <c r="P325" s="84">
        <f>(VLOOKUP($E325,$D$4:$AH$583,13,)/VLOOKUP($E325,$D$4:$AH$583,3,))*$F325</f>
        <v>0</v>
      </c>
      <c r="Q325" s="84">
        <f>(VLOOKUP($E325,$D$4:$AH$583,14,)/VLOOKUP($E325,$D$4:$AH$583,3,))*$F325</f>
        <v>0</v>
      </c>
      <c r="R325" s="84">
        <f>(VLOOKUP($E325,$D$4:$AH$583,15,)/VLOOKUP($E325,$D$4:$AH$583,3,))*$F325</f>
        <v>0</v>
      </c>
      <c r="S325" s="84">
        <f>(VLOOKUP($E325,$D$4:$AH$583,16,)/VLOOKUP($E325,$D$4:$AH$583,3,))*$F325</f>
        <v>0</v>
      </c>
      <c r="T325" s="35">
        <f>SUM(G325:S325)</f>
        <v>230812.90714440861</v>
      </c>
      <c r="U325" s="85" t="str">
        <f>IF(ABS(F325-T325)&lt;0.01,"ok","err")</f>
        <v>ok</v>
      </c>
    </row>
    <row r="326" spans="1:21" s="28" customFormat="1" x14ac:dyDescent="0.2">
      <c r="F326" s="25"/>
    </row>
    <row r="327" spans="1:21" s="28" customFormat="1" x14ac:dyDescent="0.2">
      <c r="A327" s="81" t="s">
        <v>11</v>
      </c>
      <c r="B327" s="82"/>
      <c r="C327" s="82"/>
      <c r="D327" s="82"/>
      <c r="E327" s="82"/>
      <c r="F327" s="25"/>
    </row>
    <row r="328" spans="1:21" s="28" customFormat="1" x14ac:dyDescent="0.2">
      <c r="A328" s="86" t="s">
        <v>208</v>
      </c>
      <c r="C328" s="28" t="s">
        <v>309</v>
      </c>
      <c r="D328" s="28" t="s">
        <v>386</v>
      </c>
      <c r="E328" s="28" t="s">
        <v>324</v>
      </c>
      <c r="F328" s="84">
        <f>VLOOKUP(C328,'S5-Functional Assignment'!$C$1:$AP$743,17,)</f>
        <v>0</v>
      </c>
      <c r="G328" s="84">
        <f>(VLOOKUP($E328,$D$4:$AH$583,4,)/VLOOKUP($E328,$D$4:$AH$583,3,))*$F328</f>
        <v>0</v>
      </c>
      <c r="H328" s="84">
        <f>(VLOOKUP($E328,$D$4:$AH$583,5,)/VLOOKUP($E328,$D$4:$AH$583,3,))*$F328</f>
        <v>0</v>
      </c>
      <c r="I328" s="84">
        <f>(VLOOKUP($E328,$D$4:$AH$583,6,)/VLOOKUP($E328,$D$4:$AH$583,3,))*$F328</f>
        <v>0</v>
      </c>
      <c r="J328" s="84">
        <f>(VLOOKUP($E328,$D$4:$AH$583,7,)/VLOOKUP($E328,$D$4:$AH$583,3,))*$F328</f>
        <v>0</v>
      </c>
      <c r="K328" s="84">
        <f>(VLOOKUP($E328,$D$4:$AH$583,8,)/VLOOKUP($E328,$D$4:$AH$583,3,))*$F328</f>
        <v>0</v>
      </c>
      <c r="L328" s="84">
        <f>(VLOOKUP($E328,$D$4:$AH$583,9,)/VLOOKUP($E328,$D$4:$AH$583,3,))*$F328</f>
        <v>0</v>
      </c>
      <c r="M328" s="84">
        <f>(VLOOKUP($E328,$D$4:$AH$583,10,)/VLOOKUP($E328,$D$4:$AH$583,3,))*$F328</f>
        <v>0</v>
      </c>
      <c r="N328" s="84">
        <f>(VLOOKUP($E328,$D$4:$AH$583,11,)/VLOOKUP($E328,$D$4:$AH$583,3,))*$F328</f>
        <v>0</v>
      </c>
      <c r="O328" s="84">
        <f>(VLOOKUP($E328,$D$4:$AH$583,12,)/VLOOKUP($E328,$D$4:$AH$583,3,))*$F328</f>
        <v>0</v>
      </c>
      <c r="P328" s="84">
        <f>(VLOOKUP($E328,$D$4:$AH$583,13,)/VLOOKUP($E328,$D$4:$AH$583,3,))*$F328</f>
        <v>0</v>
      </c>
      <c r="Q328" s="84">
        <f>(VLOOKUP($E328,$D$4:$AH$583,14,)/VLOOKUP($E328,$D$4:$AH$583,3,))*$F328</f>
        <v>0</v>
      </c>
      <c r="R328" s="84">
        <f>(VLOOKUP($E328,$D$4:$AH$583,15,)/VLOOKUP($E328,$D$4:$AH$583,3,))*$F328</f>
        <v>0</v>
      </c>
      <c r="S328" s="84">
        <f>(VLOOKUP($E328,$D$4:$AH$583,16,)/VLOOKUP($E328,$D$4:$AH$583,3,))*$F328</f>
        <v>0</v>
      </c>
      <c r="T328" s="35">
        <f>SUM(G328:S328)</f>
        <v>0</v>
      </c>
      <c r="U328" s="85" t="str">
        <f>IF(ABS(F328-T328)&lt;0.01,"ok","err")</f>
        <v>ok</v>
      </c>
    </row>
    <row r="329" spans="1:21" s="28" customFormat="1" x14ac:dyDescent="0.2">
      <c r="F329" s="25"/>
    </row>
    <row r="330" spans="1:21" s="28" customFormat="1" x14ac:dyDescent="0.2">
      <c r="A330" s="81" t="s">
        <v>12</v>
      </c>
      <c r="B330" s="82"/>
      <c r="C330" s="82"/>
      <c r="D330" s="82"/>
      <c r="E330" s="82"/>
      <c r="F330" s="25"/>
    </row>
    <row r="331" spans="1:21" s="28" customFormat="1" x14ac:dyDescent="0.2">
      <c r="A331" s="86" t="s">
        <v>208</v>
      </c>
      <c r="C331" s="28" t="s">
        <v>309</v>
      </c>
      <c r="D331" s="28" t="s">
        <v>387</v>
      </c>
      <c r="E331" s="28" t="s">
        <v>325</v>
      </c>
      <c r="F331" s="84">
        <f>VLOOKUP(C331,'S5-Functional Assignment'!$C$1:$AP$743,18,)</f>
        <v>0</v>
      </c>
      <c r="G331" s="84">
        <f>(VLOOKUP($E331,$D$4:$AH$583,4,)/VLOOKUP($E331,$D$4:$AH$583,3,))*$F331</f>
        <v>0</v>
      </c>
      <c r="H331" s="84">
        <f>(VLOOKUP($E331,$D$4:$AH$583,5,)/VLOOKUP($E331,$D$4:$AH$583,3,))*$F331</f>
        <v>0</v>
      </c>
      <c r="I331" s="84">
        <f>(VLOOKUP($E331,$D$4:$AH$583,6,)/VLOOKUP($E331,$D$4:$AH$583,3,))*$F331</f>
        <v>0</v>
      </c>
      <c r="J331" s="84">
        <f>(VLOOKUP($E331,$D$4:$AH$583,7,)/VLOOKUP($E331,$D$4:$AH$583,3,))*$F331</f>
        <v>0</v>
      </c>
      <c r="K331" s="84">
        <f>(VLOOKUP($E331,$D$4:$AH$583,8,)/VLOOKUP($E331,$D$4:$AH$583,3,))*$F331</f>
        <v>0</v>
      </c>
      <c r="L331" s="84">
        <f>(VLOOKUP($E331,$D$4:$AH$583,9,)/VLOOKUP($E331,$D$4:$AH$583,3,))*$F331</f>
        <v>0</v>
      </c>
      <c r="M331" s="84">
        <f>(VLOOKUP($E331,$D$4:$AH$583,10,)/VLOOKUP($E331,$D$4:$AH$583,3,))*$F331</f>
        <v>0</v>
      </c>
      <c r="N331" s="84">
        <f>(VLOOKUP($E331,$D$4:$AH$583,11,)/VLOOKUP($E331,$D$4:$AH$583,3,))*$F331</f>
        <v>0</v>
      </c>
      <c r="O331" s="84">
        <f>(VLOOKUP($E331,$D$4:$AH$583,12,)/VLOOKUP($E331,$D$4:$AH$583,3,))*$F331</f>
        <v>0</v>
      </c>
      <c r="P331" s="84">
        <f>(VLOOKUP($E331,$D$4:$AH$583,13,)/VLOOKUP($E331,$D$4:$AH$583,3,))*$F331</f>
        <v>0</v>
      </c>
      <c r="Q331" s="84">
        <f>(VLOOKUP($E331,$D$4:$AH$583,14,)/VLOOKUP($E331,$D$4:$AH$583,3,))*$F331</f>
        <v>0</v>
      </c>
      <c r="R331" s="84">
        <f>(VLOOKUP($E331,$D$4:$AH$583,15,)/VLOOKUP($E331,$D$4:$AH$583,3,))*$F331</f>
        <v>0</v>
      </c>
      <c r="S331" s="84">
        <f>(VLOOKUP($E331,$D$4:$AH$583,16,)/VLOOKUP($E331,$D$4:$AH$583,3,))*$F331</f>
        <v>0</v>
      </c>
      <c r="T331" s="35">
        <f>SUM(G331:S331)</f>
        <v>0</v>
      </c>
      <c r="U331" s="85" t="str">
        <f>IF(ABS(F331-T331)&lt;0.01,"ok","err")</f>
        <v>ok</v>
      </c>
    </row>
    <row r="332" spans="1:21" s="28" customFormat="1" x14ac:dyDescent="0.2">
      <c r="F332" s="25"/>
    </row>
    <row r="333" spans="1:21" s="28" customFormat="1" x14ac:dyDescent="0.2">
      <c r="A333" s="28" t="s">
        <v>13</v>
      </c>
      <c r="D333" s="28" t="s">
        <v>388</v>
      </c>
      <c r="F333" s="84">
        <f>F295+F300+F305+F308+F311+F319+F322+F325+F328+F331</f>
        <v>2639799.9999999995</v>
      </c>
      <c r="G333" s="84">
        <f t="shared" ref="G333:S333" si="34">G295+G300+G305+G308+G311+G319+G322+G325+G328+G331</f>
        <v>1479724.5679986386</v>
      </c>
      <c r="H333" s="84">
        <f t="shared" si="34"/>
        <v>15191.715596446384</v>
      </c>
      <c r="I333" s="84">
        <f t="shared" si="34"/>
        <v>319800.70608971646</v>
      </c>
      <c r="J333" s="84">
        <f t="shared" si="34"/>
        <v>530227.95374388655</v>
      </c>
      <c r="K333" s="84">
        <f t="shared" si="34"/>
        <v>35324.700953388194</v>
      </c>
      <c r="L333" s="84">
        <f t="shared" si="34"/>
        <v>57405.571345839671</v>
      </c>
      <c r="M333" s="84">
        <f t="shared" si="34"/>
        <v>202124.78616712691</v>
      </c>
      <c r="N333" s="84">
        <f t="shared" si="34"/>
        <v>0</v>
      </c>
      <c r="O333" s="84">
        <f t="shared" si="34"/>
        <v>0</v>
      </c>
      <c r="P333" s="84">
        <f t="shared" si="34"/>
        <v>0</v>
      </c>
      <c r="Q333" s="84">
        <f t="shared" si="34"/>
        <v>0</v>
      </c>
      <c r="R333" s="84">
        <f t="shared" si="34"/>
        <v>0</v>
      </c>
      <c r="S333" s="84">
        <f t="shared" si="34"/>
        <v>0</v>
      </c>
      <c r="T333" s="35">
        <f>SUM(G333:S333)</f>
        <v>2639800.0018950426</v>
      </c>
      <c r="U333" s="85" t="str">
        <f>IF(ABS(F333-T333)&lt;0.01,"ok","err")</f>
        <v>ok</v>
      </c>
    </row>
    <row r="338" spans="1:25" s="80" customFormat="1" x14ac:dyDescent="0.2">
      <c r="A338" s="79" t="s">
        <v>363</v>
      </c>
      <c r="G338" s="91"/>
    </row>
    <row r="340" spans="1:25" s="82" customFormat="1" x14ac:dyDescent="0.2">
      <c r="A340" s="81" t="s">
        <v>216</v>
      </c>
    </row>
    <row r="341" spans="1:25" s="28" customFormat="1" x14ac:dyDescent="0.2">
      <c r="A341" s="244" t="s">
        <v>302</v>
      </c>
      <c r="B341" s="245"/>
      <c r="C341" s="245"/>
      <c r="D341" s="245" t="s">
        <v>217</v>
      </c>
      <c r="E341" s="245" t="s">
        <v>218</v>
      </c>
      <c r="F341" s="246">
        <v>33290130.842465527</v>
      </c>
      <c r="G341" s="246">
        <v>14938616.15891877</v>
      </c>
      <c r="H341" s="246">
        <v>1576167.3791870857</v>
      </c>
      <c r="I341" s="246">
        <v>4254659.7771843923</v>
      </c>
      <c r="J341" s="246">
        <v>7496034.1353668729</v>
      </c>
      <c r="K341" s="246">
        <v>1970007.9018084018</v>
      </c>
      <c r="L341" s="246">
        <v>354922.1</v>
      </c>
      <c r="M341" s="246">
        <v>2699723.3899999997</v>
      </c>
      <c r="N341" s="25"/>
      <c r="O341" s="25">
        <v>0</v>
      </c>
      <c r="P341" s="25">
        <v>0</v>
      </c>
      <c r="Q341" s="25">
        <v>0</v>
      </c>
      <c r="R341" s="25">
        <v>0</v>
      </c>
      <c r="S341" s="25">
        <v>0</v>
      </c>
      <c r="T341" s="25">
        <f t="shared" ref="T341:T346" si="35">SUM(G341:S341)</f>
        <v>33290130.842465527</v>
      </c>
      <c r="U341" s="85" t="str">
        <f t="shared" ref="U341:U346" si="36">IF(ABS(F341-T341)&lt;0.01,"ok","err")</f>
        <v>ok</v>
      </c>
    </row>
    <row r="342" spans="1:25" s="28" customFormat="1" hidden="1" x14ac:dyDescent="0.2">
      <c r="A342" s="57" t="s">
        <v>812</v>
      </c>
      <c r="B342" s="57"/>
      <c r="C342" s="57"/>
      <c r="D342" s="57" t="s">
        <v>717</v>
      </c>
      <c r="E342" s="48" t="s">
        <v>673</v>
      </c>
      <c r="F342" s="132">
        <v>0</v>
      </c>
      <c r="G342" s="132">
        <f>(VLOOKUP($E342,$D$4:$AH$583,4,)/VLOOKUP($E342,$D$4:$AH$583,3,))*$F342</f>
        <v>0</v>
      </c>
      <c r="H342" s="132">
        <f>(VLOOKUP($E342,$D$4:$AH$583,5,)/VLOOKUP($E342,$D$4:$AH$583,3,))*$F342</f>
        <v>0</v>
      </c>
      <c r="I342" s="132">
        <f>(VLOOKUP($E342,$D$4:$AH$583,6,)/VLOOKUP($E342,$D$4:$AH$583,3,))*$F342</f>
        <v>0</v>
      </c>
      <c r="J342" s="132">
        <f>(VLOOKUP($E342,$D$4:$AH$583,7,)/VLOOKUP($E342,$D$4:$AH$583,3,))*$F342</f>
        <v>0</v>
      </c>
      <c r="K342" s="132">
        <f>(VLOOKUP($E342,$D$4:$AH$583,8,)/VLOOKUP($E342,$D$4:$AH$583,3,))*$F342</f>
        <v>0</v>
      </c>
      <c r="L342" s="132">
        <f>(VLOOKUP($E342,$D$4:$AH$583,9,)/VLOOKUP($E342,$D$4:$AH$583,3,))*$F342</f>
        <v>0</v>
      </c>
      <c r="M342" s="132">
        <f>(VLOOKUP($E342,$D$4:$AH$583,10,)/VLOOKUP($E342,$D$4:$AH$583,3,))*$F342</f>
        <v>0</v>
      </c>
      <c r="N342" s="84">
        <f>(VLOOKUP($E342,$D$4:$AH$583,11,)/VLOOKUP($E342,$D$4:$AH$583,3,))*$F342</f>
        <v>0</v>
      </c>
      <c r="O342" s="84">
        <f>(VLOOKUP($E342,$D$4:$AH$583,12,)/VLOOKUP($E342,$D$4:$AH$583,3,))*$F342</f>
        <v>0</v>
      </c>
      <c r="P342" s="84">
        <f>(VLOOKUP($E342,$D$4:$AH$583,13,)/VLOOKUP($E342,$D$4:$AH$583,3,))*$F342</f>
        <v>0</v>
      </c>
      <c r="Q342" s="84">
        <f>(VLOOKUP($E342,$D$4:$AH$583,14,)/VLOOKUP($E342,$D$4:$AH$583,3,))*$F342</f>
        <v>0</v>
      </c>
      <c r="R342" s="84">
        <f>(VLOOKUP($E342,$D$4:$AH$583,15,)/VLOOKUP($E342,$D$4:$AH$583,3,))*$F342</f>
        <v>0</v>
      </c>
      <c r="S342" s="84">
        <f>(VLOOKUP($E342,$D$4:$AH$583,16,)/VLOOKUP($E342,$D$4:$AH$583,3,))*$F342</f>
        <v>0</v>
      </c>
      <c r="T342" s="25">
        <f t="shared" si="35"/>
        <v>0</v>
      </c>
      <c r="U342" s="85" t="str">
        <f t="shared" si="36"/>
        <v>ok</v>
      </c>
    </row>
    <row r="343" spans="1:25" s="28" customFormat="1" x14ac:dyDescent="0.2">
      <c r="A343" s="57" t="s">
        <v>813</v>
      </c>
      <c r="B343" s="57"/>
      <c r="C343" s="57"/>
      <c r="D343" s="57" t="s">
        <v>720</v>
      </c>
      <c r="E343" s="189" t="s">
        <v>217</v>
      </c>
      <c r="F343" s="246">
        <v>82420.02</v>
      </c>
      <c r="G343" s="132">
        <f>(VLOOKUP($E343,$D$4:$AH$583,4,)/VLOOKUP($E343,$D$4:$AH$583,3,))*$F343</f>
        <v>36985.166817662779</v>
      </c>
      <c r="H343" s="132">
        <f>(VLOOKUP($E343,$D$4:$AH$583,5,)/VLOOKUP($E343,$D$4:$AH$583,3,))*$F343</f>
        <v>3902.2900670079189</v>
      </c>
      <c r="I343" s="132">
        <f>(VLOOKUP($E343,$D$4:$AH$583,6,)/VLOOKUP($E343,$D$4:$AH$583,3,))*$F343</f>
        <v>10533.72681495781</v>
      </c>
      <c r="J343" s="132">
        <f>(VLOOKUP($E343,$D$4:$AH$583,7,)/VLOOKUP($E343,$D$4:$AH$583,3,))*$F343</f>
        <v>18558.752030181666</v>
      </c>
      <c r="K343" s="132">
        <f>(VLOOKUP($E343,$D$4:$AH$583,8,)/VLOOKUP($E343,$D$4:$AH$583,3,))*$F343</f>
        <v>4877.3641484186264</v>
      </c>
      <c r="L343" s="132">
        <f>(VLOOKUP($E343,$D$4:$AH$583,9,)/VLOOKUP($E343,$D$4:$AH$583,3,))*$F343</f>
        <v>878.71948352713332</v>
      </c>
      <c r="M343" s="132">
        <f>(VLOOKUP($E343,$D$4:$AH$583,10,)/VLOOKUP($E343,$D$4:$AH$583,3,))*$F343</f>
        <v>6684.0006382440579</v>
      </c>
      <c r="N343" s="84">
        <f>(VLOOKUP($E343,$D$4:$AH$583,11,)/VLOOKUP($E343,$D$4:$AH$583,3,))*$F343</f>
        <v>0</v>
      </c>
      <c r="O343" s="84">
        <f>(VLOOKUP($E343,$D$4:$AH$583,12,)/VLOOKUP($E343,$D$4:$AH$583,3,))*$F343</f>
        <v>0</v>
      </c>
      <c r="P343" s="84">
        <f>(VLOOKUP($E343,$D$4:$AH$583,13,)/VLOOKUP($E343,$D$4:$AH$583,3,))*$F343</f>
        <v>0</v>
      </c>
      <c r="Q343" s="84">
        <f>(VLOOKUP($E343,$D$4:$AH$583,14,)/VLOOKUP($E343,$D$4:$AH$583,3,))*$F343</f>
        <v>0</v>
      </c>
      <c r="R343" s="84">
        <f>(VLOOKUP($E343,$D$4:$AH$583,15,)/VLOOKUP($E343,$D$4:$AH$583,3,))*$F343</f>
        <v>0</v>
      </c>
      <c r="S343" s="84">
        <f>(VLOOKUP($E343,$D$4:$AH$583,16,)/VLOOKUP($E343,$D$4:$AH$583,3,))*$F343</f>
        <v>0</v>
      </c>
      <c r="T343" s="25">
        <f t="shared" si="35"/>
        <v>82420.01999999999</v>
      </c>
      <c r="U343" s="85" t="str">
        <f t="shared" si="36"/>
        <v>ok</v>
      </c>
    </row>
    <row r="344" spans="1:25" s="28" customFormat="1" hidden="1" x14ac:dyDescent="0.2">
      <c r="A344" s="247" t="s">
        <v>814</v>
      </c>
      <c r="B344" s="137"/>
      <c r="C344" s="137"/>
      <c r="D344" s="137" t="s">
        <v>723</v>
      </c>
      <c r="E344" s="248" t="s">
        <v>212</v>
      </c>
      <c r="F344" s="246">
        <v>0</v>
      </c>
      <c r="G344" s="132">
        <f>(VLOOKUP($E344,$D$4:$AH$583,4,)/VLOOKUP($E344,$D$4:$AH$583,3,))*$F344</f>
        <v>0</v>
      </c>
      <c r="H344" s="132">
        <f>(VLOOKUP($E344,$D$4:$AH$583,5,)/VLOOKUP($E344,$D$4:$AH$583,3,))*$F344</f>
        <v>0</v>
      </c>
      <c r="I344" s="132">
        <f>(VLOOKUP($E344,$D$4:$AH$583,6,)/VLOOKUP($E344,$D$4:$AH$583,3,))*$F344</f>
        <v>0</v>
      </c>
      <c r="J344" s="132">
        <f>(VLOOKUP($E344,$D$4:$AH$583,7,)/VLOOKUP($E344,$D$4:$AH$583,3,))*$F344</f>
        <v>0</v>
      </c>
      <c r="K344" s="132">
        <f>(VLOOKUP($E344,$D$4:$AH$583,8,)/VLOOKUP($E344,$D$4:$AH$583,3,))*$F344</f>
        <v>0</v>
      </c>
      <c r="L344" s="132">
        <f>(VLOOKUP($E344,$D$4:$AH$583,9,)/VLOOKUP($E344,$D$4:$AH$583,3,))*$F344</f>
        <v>0</v>
      </c>
      <c r="M344" s="132">
        <f>(VLOOKUP($E344,$D$4:$AH$583,10,)/VLOOKUP($E344,$D$4:$AH$583,3,))*$F344</f>
        <v>0</v>
      </c>
      <c r="N344" s="84">
        <f>(VLOOKUP($E344,$D$4:$AH$583,11,)/VLOOKUP($E344,$D$4:$AH$583,3,))*$F344</f>
        <v>0</v>
      </c>
      <c r="O344" s="84">
        <f>(VLOOKUP($E344,$D$4:$AH$583,12,)/VLOOKUP($E344,$D$4:$AH$583,3,))*$F344</f>
        <v>0</v>
      </c>
      <c r="P344" s="84">
        <f>(VLOOKUP($E344,$D$4:$AH$583,13,)/VLOOKUP($E344,$D$4:$AH$583,3,))*$F344</f>
        <v>0</v>
      </c>
      <c r="Q344" s="84">
        <f>(VLOOKUP($E344,$D$4:$AH$583,14,)/VLOOKUP($E344,$D$4:$AH$583,3,))*$F344</f>
        <v>0</v>
      </c>
      <c r="R344" s="84">
        <f>(VLOOKUP($E344,$D$4:$AH$583,15,)/VLOOKUP($E344,$D$4:$AH$583,3,))*$F344</f>
        <v>0</v>
      </c>
      <c r="S344" s="84">
        <f>(VLOOKUP($E344,$D$4:$AH$583,16,)/VLOOKUP($E344,$D$4:$AH$583,3,))*$F344</f>
        <v>0</v>
      </c>
      <c r="T344" s="25">
        <f t="shared" si="35"/>
        <v>0</v>
      </c>
      <c r="U344" s="196" t="str">
        <f t="shared" si="36"/>
        <v>ok</v>
      </c>
      <c r="V344"/>
      <c r="W344" s="197"/>
      <c r="X344"/>
      <c r="Y344"/>
    </row>
    <row r="345" spans="1:25" s="28" customFormat="1" x14ac:dyDescent="0.2">
      <c r="A345" s="247" t="s">
        <v>815</v>
      </c>
      <c r="B345" s="137"/>
      <c r="C345" s="137"/>
      <c r="D345" s="137" t="s">
        <v>723</v>
      </c>
      <c r="E345" s="189" t="s">
        <v>217</v>
      </c>
      <c r="F345" s="246">
        <f>168794-54435</f>
        <v>114359</v>
      </c>
      <c r="G345" s="132">
        <f>(VLOOKUP($E345,$D$4:$AH$583,4,)/VLOOKUP($E345,$D$4:$AH$583,3,))*$F345</f>
        <v>51317.467432076548</v>
      </c>
      <c r="H345" s="132">
        <f>(VLOOKUP($E345,$D$4:$AH$583,5,)/VLOOKUP($E345,$D$4:$AH$583,3,))*$F345</f>
        <v>5414.4853370935671</v>
      </c>
      <c r="I345" s="132">
        <f>(VLOOKUP($E345,$D$4:$AH$583,6,)/VLOOKUP($E345,$D$4:$AH$583,3,))*$F345</f>
        <v>14615.70216595143</v>
      </c>
      <c r="J345" s="132">
        <f>(VLOOKUP($E345,$D$4:$AH$583,7,)/VLOOKUP($E345,$D$4:$AH$583,3,))*$F345</f>
        <v>25750.543659411207</v>
      </c>
      <c r="K345" s="132">
        <f>(VLOOKUP($E345,$D$4:$AH$583,8,)/VLOOKUP($E345,$D$4:$AH$583,3,))*$F345</f>
        <v>6767.4150849393836</v>
      </c>
      <c r="L345" s="132">
        <f>(VLOOKUP($E345,$D$4:$AH$583,9,)/VLOOKUP($E345,$D$4:$AH$583,3,))*$F345</f>
        <v>1219.2363143891428</v>
      </c>
      <c r="M345" s="132">
        <f>(VLOOKUP($E345,$D$4:$AH$583,10,)/VLOOKUP($E345,$D$4:$AH$583,3,))*$F345</f>
        <v>9274.1500061387051</v>
      </c>
      <c r="N345" s="84">
        <f>(VLOOKUP($E345,$D$4:$AH$583,11,)/VLOOKUP($E345,$D$4:$AH$583,3,))*$F345</f>
        <v>0</v>
      </c>
      <c r="O345" s="84">
        <f>(VLOOKUP($E345,$D$4:$AH$583,12,)/VLOOKUP($E345,$D$4:$AH$583,3,))*$F345</f>
        <v>0</v>
      </c>
      <c r="P345" s="84">
        <f>(VLOOKUP($E345,$D$4:$AH$583,13,)/VLOOKUP($E345,$D$4:$AH$583,3,))*$F345</f>
        <v>0</v>
      </c>
      <c r="Q345" s="84">
        <f>(VLOOKUP($E345,$D$4:$AH$583,14,)/VLOOKUP($E345,$D$4:$AH$583,3,))*$F345</f>
        <v>0</v>
      </c>
      <c r="R345" s="84">
        <f>(VLOOKUP($E345,$D$4:$AH$583,15,)/VLOOKUP($E345,$D$4:$AH$583,3,))*$F345</f>
        <v>0</v>
      </c>
      <c r="S345" s="84">
        <f>(VLOOKUP($E345,$D$4:$AH$583,16,)/VLOOKUP($E345,$D$4:$AH$583,3,))*$F345</f>
        <v>0</v>
      </c>
      <c r="T345" s="25">
        <f t="shared" si="35"/>
        <v>114358.99999999999</v>
      </c>
      <c r="U345" s="196" t="str">
        <f t="shared" si="36"/>
        <v>ok</v>
      </c>
      <c r="V345"/>
      <c r="W345" s="197"/>
      <c r="X345"/>
      <c r="Y345"/>
    </row>
    <row r="346" spans="1:25" s="28" customFormat="1" hidden="1" x14ac:dyDescent="0.2">
      <c r="A346" s="249" t="s">
        <v>816</v>
      </c>
      <c r="B346" s="57"/>
      <c r="C346" s="57"/>
      <c r="D346" s="57" t="s">
        <v>723</v>
      </c>
      <c r="E346" s="46" t="s">
        <v>731</v>
      </c>
      <c r="F346" s="246">
        <v>0</v>
      </c>
      <c r="G346" s="132">
        <v>0</v>
      </c>
      <c r="H346" s="132">
        <v>0</v>
      </c>
      <c r="I346" s="132">
        <v>0</v>
      </c>
      <c r="J346" s="132">
        <v>0</v>
      </c>
      <c r="K346" s="132">
        <v>0</v>
      </c>
      <c r="L346" s="132">
        <v>0</v>
      </c>
      <c r="M346" s="132">
        <v>0</v>
      </c>
      <c r="N346" s="132">
        <v>0</v>
      </c>
      <c r="O346" s="132">
        <v>0</v>
      </c>
      <c r="P346" s="132">
        <v>0</v>
      </c>
      <c r="Q346" s="132">
        <v>0</v>
      </c>
      <c r="R346" s="132">
        <v>0</v>
      </c>
      <c r="S346" s="132">
        <v>0</v>
      </c>
      <c r="T346" s="25">
        <f t="shared" si="35"/>
        <v>0</v>
      </c>
      <c r="U346" s="85" t="str">
        <f t="shared" si="36"/>
        <v>ok</v>
      </c>
      <c r="W346" s="87"/>
    </row>
    <row r="347" spans="1:25" s="28" customFormat="1" x14ac:dyDescent="0.2">
      <c r="A347" s="57"/>
      <c r="B347" s="57"/>
      <c r="C347" s="57"/>
      <c r="D347" s="57"/>
      <c r="E347" s="133"/>
      <c r="F347" s="57"/>
      <c r="G347" s="57"/>
      <c r="H347" s="57"/>
      <c r="I347" s="57"/>
      <c r="J347" s="57"/>
      <c r="K347" s="57"/>
      <c r="L347" s="57"/>
      <c r="M347" s="57"/>
      <c r="T347" s="35"/>
    </row>
    <row r="348" spans="1:25" s="28" customFormat="1" x14ac:dyDescent="0.2">
      <c r="A348" s="57" t="s">
        <v>648</v>
      </c>
      <c r="B348" s="57"/>
      <c r="C348" s="57"/>
      <c r="D348" s="57" t="s">
        <v>219</v>
      </c>
      <c r="E348" s="57"/>
      <c r="F348" s="133">
        <f t="shared" ref="F348:S348" si="37">SUM(F341:F347)</f>
        <v>33486909.862465527</v>
      </c>
      <c r="G348" s="133">
        <f t="shared" si="37"/>
        <v>15026918.793168509</v>
      </c>
      <c r="H348" s="133">
        <f t="shared" si="37"/>
        <v>1585484.1545911871</v>
      </c>
      <c r="I348" s="133">
        <f t="shared" si="37"/>
        <v>4279809.2061653016</v>
      </c>
      <c r="J348" s="133">
        <f t="shared" si="37"/>
        <v>7540343.431056466</v>
      </c>
      <c r="K348" s="133">
        <f t="shared" si="37"/>
        <v>1981652.6810417599</v>
      </c>
      <c r="L348" s="133">
        <f t="shared" si="37"/>
        <v>357020.05579791625</v>
      </c>
      <c r="M348" s="133">
        <f t="shared" si="37"/>
        <v>2715681.5406443826</v>
      </c>
      <c r="N348" s="35">
        <f t="shared" si="37"/>
        <v>0</v>
      </c>
      <c r="O348" s="35">
        <f t="shared" si="37"/>
        <v>0</v>
      </c>
      <c r="P348" s="35">
        <f t="shared" si="37"/>
        <v>0</v>
      </c>
      <c r="Q348" s="35">
        <f t="shared" si="37"/>
        <v>0</v>
      </c>
      <c r="R348" s="35">
        <f t="shared" si="37"/>
        <v>0</v>
      </c>
      <c r="S348" s="35">
        <f t="shared" si="37"/>
        <v>0</v>
      </c>
      <c r="T348" s="35">
        <f>ROUND(SUM(G348:S348),2)</f>
        <v>33486909.859999999</v>
      </c>
      <c r="U348" s="85" t="str">
        <f>IF(ABS(F348-T348)&lt;0.01,"ok","err")</f>
        <v>ok</v>
      </c>
    </row>
    <row r="349" spans="1:25" x14ac:dyDescent="0.2">
      <c r="A349" s="48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</row>
    <row r="350" spans="1:25" x14ac:dyDescent="0.2">
      <c r="A350" s="68" t="s">
        <v>649</v>
      </c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</row>
    <row r="351" spans="1:25" x14ac:dyDescent="0.2">
      <c r="A351" s="48" t="s">
        <v>735</v>
      </c>
      <c r="B351" s="48"/>
      <c r="C351" s="48"/>
      <c r="D351" s="48" t="s">
        <v>652</v>
      </c>
      <c r="E351" s="48"/>
      <c r="F351" s="204">
        <v>-86921.09</v>
      </c>
      <c r="G351" s="204">
        <v>-70158.35100000001</v>
      </c>
      <c r="H351" s="204">
        <v>0</v>
      </c>
      <c r="I351" s="204">
        <v>-16762.739521182139</v>
      </c>
      <c r="J351" s="204">
        <v>0</v>
      </c>
      <c r="K351" s="204">
        <v>0</v>
      </c>
      <c r="L351" s="204">
        <v>0</v>
      </c>
      <c r="M351" s="204">
        <v>0</v>
      </c>
      <c r="N351" s="36">
        <f t="shared" ref="N351:S351" si="38">SUM(N348:N350)</f>
        <v>0</v>
      </c>
      <c r="O351" s="36">
        <f t="shared" si="38"/>
        <v>0</v>
      </c>
      <c r="P351" s="36">
        <f t="shared" si="38"/>
        <v>0</v>
      </c>
      <c r="Q351" s="36">
        <f t="shared" si="38"/>
        <v>0</v>
      </c>
      <c r="R351" s="36">
        <f t="shared" si="38"/>
        <v>0</v>
      </c>
      <c r="S351" s="36">
        <f t="shared" si="38"/>
        <v>0</v>
      </c>
      <c r="T351" s="36">
        <f>ROUND(SUM(G351:S351),2)</f>
        <v>-86921.09</v>
      </c>
      <c r="U351" s="88" t="str">
        <f>IF(ABS(F351-T351)&lt;0.01,"ok","err")</f>
        <v>ok</v>
      </c>
    </row>
    <row r="352" spans="1:25" x14ac:dyDescent="0.2">
      <c r="A352" s="48" t="s">
        <v>651</v>
      </c>
      <c r="B352" s="48"/>
      <c r="C352" s="48"/>
      <c r="D352" s="48"/>
      <c r="E352" s="48"/>
      <c r="F352" s="70">
        <f t="shared" ref="F352:S352" si="39">SUM(F351:F351)</f>
        <v>-86921.09</v>
      </c>
      <c r="G352" s="70">
        <f t="shared" si="39"/>
        <v>-70158.35100000001</v>
      </c>
      <c r="H352" s="70">
        <f t="shared" si="39"/>
        <v>0</v>
      </c>
      <c r="I352" s="70">
        <f t="shared" si="39"/>
        <v>-16762.739521182139</v>
      </c>
      <c r="J352" s="70">
        <f t="shared" si="39"/>
        <v>0</v>
      </c>
      <c r="K352" s="70">
        <f t="shared" si="39"/>
        <v>0</v>
      </c>
      <c r="L352" s="70">
        <f t="shared" si="39"/>
        <v>0</v>
      </c>
      <c r="M352" s="70">
        <f t="shared" si="39"/>
        <v>0</v>
      </c>
      <c r="N352" s="36">
        <f t="shared" si="39"/>
        <v>0</v>
      </c>
      <c r="O352" s="36">
        <f t="shared" si="39"/>
        <v>0</v>
      </c>
      <c r="P352" s="36">
        <f t="shared" si="39"/>
        <v>0</v>
      </c>
      <c r="Q352" s="36">
        <f t="shared" si="39"/>
        <v>0</v>
      </c>
      <c r="R352" s="36">
        <f t="shared" si="39"/>
        <v>0</v>
      </c>
      <c r="S352" s="36">
        <f t="shared" si="39"/>
        <v>0</v>
      </c>
      <c r="T352" s="36">
        <f>ROUND(SUM(G352:S352),2)</f>
        <v>-86921.09</v>
      </c>
      <c r="U352" s="88" t="str">
        <f>IF(ABS(F352-T352)&lt;0.01,"ok","err")</f>
        <v>ok</v>
      </c>
    </row>
    <row r="353" spans="1:21" x14ac:dyDescent="0.2">
      <c r="A353" s="48"/>
      <c r="B353" s="48"/>
      <c r="C353" s="48"/>
      <c r="D353" s="48"/>
      <c r="E353" s="48"/>
      <c r="F353" s="70"/>
      <c r="G353" s="70"/>
      <c r="H353" s="70"/>
      <c r="I353" s="70"/>
      <c r="J353" s="70"/>
      <c r="K353" s="70"/>
      <c r="L353" s="70"/>
      <c r="M353" s="70"/>
      <c r="N353" s="36"/>
      <c r="O353" s="36"/>
      <c r="P353" s="36"/>
      <c r="Q353" s="36"/>
      <c r="R353" s="36"/>
      <c r="S353" s="36"/>
      <c r="T353" s="36"/>
      <c r="U353" s="88"/>
    </row>
    <row r="354" spans="1:21" x14ac:dyDescent="0.2">
      <c r="A354" s="68" t="s">
        <v>656</v>
      </c>
      <c r="B354" s="48"/>
      <c r="C354" s="48"/>
      <c r="D354" s="48"/>
      <c r="E354" s="48"/>
      <c r="F354" s="70">
        <f t="shared" ref="F354:S354" si="40">F348+F352</f>
        <v>33399988.772465527</v>
      </c>
      <c r="G354" s="70">
        <f t="shared" si="40"/>
        <v>14956760.44216851</v>
      </c>
      <c r="H354" s="70">
        <f t="shared" si="40"/>
        <v>1585484.1545911871</v>
      </c>
      <c r="I354" s="70">
        <f t="shared" si="40"/>
        <v>4263046.4666441195</v>
      </c>
      <c r="J354" s="70">
        <f t="shared" si="40"/>
        <v>7540343.431056466</v>
      </c>
      <c r="K354" s="70">
        <f t="shared" si="40"/>
        <v>1981652.6810417599</v>
      </c>
      <c r="L354" s="70">
        <f t="shared" si="40"/>
        <v>357020.05579791625</v>
      </c>
      <c r="M354" s="70">
        <f t="shared" si="40"/>
        <v>2715681.5406443826</v>
      </c>
      <c r="N354" s="36">
        <f t="shared" si="40"/>
        <v>0</v>
      </c>
      <c r="O354" s="36">
        <f t="shared" si="40"/>
        <v>0</v>
      </c>
      <c r="P354" s="36">
        <f t="shared" si="40"/>
        <v>0</v>
      </c>
      <c r="Q354" s="36">
        <f t="shared" si="40"/>
        <v>0</v>
      </c>
      <c r="R354" s="36">
        <f t="shared" si="40"/>
        <v>0</v>
      </c>
      <c r="S354" s="36">
        <f t="shared" si="40"/>
        <v>0</v>
      </c>
      <c r="T354" s="36">
        <f>ROUND(SUM(G354:S354),2)</f>
        <v>33399988.77</v>
      </c>
      <c r="U354" s="88" t="str">
        <f>IF(ABS(F354-T354)&lt;0.01,"ok","err")</f>
        <v>ok</v>
      </c>
    </row>
    <row r="355" spans="1:21" x14ac:dyDescent="0.2">
      <c r="A355" s="48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</row>
    <row r="356" spans="1:21" s="82" customFormat="1" x14ac:dyDescent="0.2">
      <c r="A356" s="250" t="s">
        <v>304</v>
      </c>
      <c r="B356" s="245"/>
      <c r="C356" s="245"/>
      <c r="D356" s="245"/>
      <c r="E356" s="245"/>
      <c r="F356" s="245"/>
      <c r="G356" s="245"/>
      <c r="H356" s="245"/>
      <c r="I356" s="245"/>
      <c r="J356" s="245"/>
      <c r="K356" s="245"/>
      <c r="L356" s="245"/>
      <c r="M356" s="245"/>
    </row>
    <row r="357" spans="1:21" s="82" customFormat="1" x14ac:dyDescent="0.2">
      <c r="A357" s="244" t="s">
        <v>220</v>
      </c>
      <c r="B357" s="245"/>
      <c r="C357" s="245"/>
      <c r="D357" s="245"/>
      <c r="E357" s="245"/>
      <c r="F357" s="251">
        <f>F141</f>
        <v>16006948.249243708</v>
      </c>
      <c r="G357" s="251">
        <f t="shared" ref="G357:S357" si="41">G141</f>
        <v>6469727.2168516694</v>
      </c>
      <c r="H357" s="251">
        <f t="shared" si="41"/>
        <v>1439208.0587650724</v>
      </c>
      <c r="I357" s="251">
        <f t="shared" si="41"/>
        <v>1554393.7363133198</v>
      </c>
      <c r="J357" s="251">
        <f t="shared" si="41"/>
        <v>3193177.4814927378</v>
      </c>
      <c r="K357" s="251">
        <f t="shared" si="41"/>
        <v>423939.86447689816</v>
      </c>
      <c r="L357" s="251">
        <f t="shared" si="41"/>
        <v>662761.33389208768</v>
      </c>
      <c r="M357" s="251">
        <f t="shared" si="41"/>
        <v>2263740.5617837501</v>
      </c>
      <c r="N357" s="89">
        <f t="shared" si="41"/>
        <v>0</v>
      </c>
      <c r="O357" s="89">
        <f t="shared" si="41"/>
        <v>0</v>
      </c>
      <c r="P357" s="89">
        <f t="shared" si="41"/>
        <v>0</v>
      </c>
      <c r="Q357" s="89">
        <f t="shared" si="41"/>
        <v>0</v>
      </c>
      <c r="R357" s="89">
        <f t="shared" si="41"/>
        <v>0</v>
      </c>
      <c r="S357" s="89">
        <f t="shared" si="41"/>
        <v>0</v>
      </c>
      <c r="T357" s="89">
        <f>ROUND(SUM(G357:S357),2)</f>
        <v>16006948.25</v>
      </c>
      <c r="U357" s="90" t="str">
        <f>IF(ABS(F357-T357)&lt;0.01,"ok","err")</f>
        <v>ok</v>
      </c>
    </row>
    <row r="358" spans="1:21" s="9" customFormat="1" x14ac:dyDescent="0.2">
      <c r="A358" s="252" t="s">
        <v>221</v>
      </c>
      <c r="B358" s="61"/>
      <c r="C358" s="61"/>
      <c r="D358" s="61"/>
      <c r="E358" s="61"/>
      <c r="F358" s="253">
        <f>F237</f>
        <v>9903030.0000000019</v>
      </c>
      <c r="G358" s="64">
        <f t="shared" ref="G358:S358" si="42">G237</f>
        <v>5651888.9596382007</v>
      </c>
      <c r="H358" s="64">
        <f t="shared" si="42"/>
        <v>65166.51823107127</v>
      </c>
      <c r="I358" s="64">
        <f t="shared" si="42"/>
        <v>1198420.8027029813</v>
      </c>
      <c r="J358" s="64">
        <f t="shared" si="42"/>
        <v>1910279.6263296399</v>
      </c>
      <c r="K358" s="64">
        <f t="shared" si="42"/>
        <v>135499.61231464945</v>
      </c>
      <c r="L358" s="64">
        <f t="shared" si="42"/>
        <v>208857.04007391512</v>
      </c>
      <c r="M358" s="64">
        <f t="shared" si="42"/>
        <v>732917.44796995213</v>
      </c>
      <c r="N358" s="14">
        <f t="shared" si="42"/>
        <v>0</v>
      </c>
      <c r="O358" s="14">
        <f t="shared" si="42"/>
        <v>0</v>
      </c>
      <c r="P358" s="14">
        <f t="shared" si="42"/>
        <v>0</v>
      </c>
      <c r="Q358" s="14">
        <f t="shared" si="42"/>
        <v>0</v>
      </c>
      <c r="R358" s="14">
        <f t="shared" si="42"/>
        <v>0</v>
      </c>
      <c r="S358" s="14">
        <f t="shared" si="42"/>
        <v>0</v>
      </c>
      <c r="T358" s="114">
        <f>ROUND(SUM(G358:S358),2)</f>
        <v>9903030.0099999998</v>
      </c>
      <c r="U358" s="42" t="str">
        <f>IF(ABS(F358-T358)&lt;0.01,"ok","err")</f>
        <v>ok</v>
      </c>
    </row>
    <row r="359" spans="1:21" s="9" customFormat="1" x14ac:dyDescent="0.2">
      <c r="A359" s="252" t="s">
        <v>222</v>
      </c>
      <c r="B359" s="61"/>
      <c r="C359" s="61"/>
      <c r="D359" s="61"/>
      <c r="E359" s="61"/>
      <c r="F359" s="253">
        <f>F285</f>
        <v>3893351.9999999995</v>
      </c>
      <c r="G359" s="64">
        <f t="shared" ref="G359:S359" si="43">G285</f>
        <v>2182395.8656968847</v>
      </c>
      <c r="H359" s="64">
        <f t="shared" si="43"/>
        <v>22405.749034341894</v>
      </c>
      <c r="I359" s="64">
        <f t="shared" si="43"/>
        <v>471663.27701182279</v>
      </c>
      <c r="J359" s="64">
        <f t="shared" si="43"/>
        <v>782015.32849635137</v>
      </c>
      <c r="K359" s="64">
        <f t="shared" si="43"/>
        <v>52099.210207695971</v>
      </c>
      <c r="L359" s="64">
        <f t="shared" si="43"/>
        <v>84665.541332853842</v>
      </c>
      <c r="M359" s="64">
        <f t="shared" si="43"/>
        <v>298107.03101498447</v>
      </c>
      <c r="N359" s="14">
        <f t="shared" si="43"/>
        <v>0</v>
      </c>
      <c r="O359" s="14">
        <f t="shared" si="43"/>
        <v>0</v>
      </c>
      <c r="P359" s="14">
        <f t="shared" si="43"/>
        <v>0</v>
      </c>
      <c r="Q359" s="14">
        <f t="shared" si="43"/>
        <v>0</v>
      </c>
      <c r="R359" s="14">
        <f t="shared" si="43"/>
        <v>0</v>
      </c>
      <c r="S359" s="14">
        <f t="shared" si="43"/>
        <v>0</v>
      </c>
      <c r="T359" s="114">
        <f>ROUND(SUM(G359:S359),2)</f>
        <v>3893352</v>
      </c>
      <c r="U359" s="42" t="str">
        <f>IF(ABS(F359-T359)&lt;0.01,"ok","err")</f>
        <v>ok</v>
      </c>
    </row>
    <row r="360" spans="1:21" x14ac:dyDescent="0.2">
      <c r="A360" s="48" t="s">
        <v>223</v>
      </c>
      <c r="B360" s="48"/>
      <c r="C360" s="48"/>
      <c r="D360" s="48" t="s">
        <v>224</v>
      </c>
      <c r="E360" s="48"/>
      <c r="F360" s="70">
        <f>SUM(F357:F359)</f>
        <v>29803330.24924371</v>
      </c>
      <c r="G360" s="70">
        <f t="shared" ref="G360:S360" si="44">SUM(G357:G359)</f>
        <v>14304012.042186756</v>
      </c>
      <c r="H360" s="70">
        <f t="shared" si="44"/>
        <v>1526780.3260304856</v>
      </c>
      <c r="I360" s="70">
        <f t="shared" si="44"/>
        <v>3224477.8160281237</v>
      </c>
      <c r="J360" s="70">
        <f t="shared" si="44"/>
        <v>5885472.4363187291</v>
      </c>
      <c r="K360" s="70">
        <f t="shared" si="44"/>
        <v>611538.68699924357</v>
      </c>
      <c r="L360" s="70">
        <f t="shared" si="44"/>
        <v>956283.91529885668</v>
      </c>
      <c r="M360" s="70">
        <f t="shared" si="44"/>
        <v>3294765.0407686867</v>
      </c>
      <c r="N360" s="36">
        <f t="shared" si="44"/>
        <v>0</v>
      </c>
      <c r="O360" s="36">
        <f t="shared" si="44"/>
        <v>0</v>
      </c>
      <c r="P360" s="36">
        <f t="shared" si="44"/>
        <v>0</v>
      </c>
      <c r="Q360" s="36">
        <f t="shared" si="44"/>
        <v>0</v>
      </c>
      <c r="R360" s="36">
        <f t="shared" si="44"/>
        <v>0</v>
      </c>
      <c r="S360" s="36">
        <f t="shared" si="44"/>
        <v>0</v>
      </c>
      <c r="T360" s="36">
        <f>ROUND(SUM(G360:S360),2)</f>
        <v>29803330.260000002</v>
      </c>
      <c r="U360" s="88" t="str">
        <f>IF(ABS(F360-T360)&lt;0.1,"ok","err")</f>
        <v>ok</v>
      </c>
    </row>
    <row r="361" spans="1:21" x14ac:dyDescent="0.2"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88"/>
    </row>
    <row r="362" spans="1:21" x14ac:dyDescent="0.2"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88"/>
    </row>
    <row r="363" spans="1:21" x14ac:dyDescent="0.2"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88"/>
    </row>
    <row r="364" spans="1:21" s="80" customFormat="1" x14ac:dyDescent="0.2">
      <c r="A364" s="79" t="s">
        <v>660</v>
      </c>
      <c r="F364" s="91"/>
      <c r="G364" s="91"/>
      <c r="H364" s="91"/>
      <c r="I364" s="91"/>
      <c r="J364" s="91"/>
      <c r="K364" s="91"/>
      <c r="L364" s="91"/>
      <c r="M364" s="91"/>
      <c r="N364" s="91"/>
      <c r="O364" s="91"/>
      <c r="P364" s="91"/>
      <c r="Q364" s="91"/>
      <c r="R364" s="91"/>
      <c r="S364" s="91"/>
      <c r="T364" s="91"/>
      <c r="U364" s="92"/>
    </row>
    <row r="365" spans="1:21" s="80" customFormat="1" x14ac:dyDescent="0.2">
      <c r="F365" s="91"/>
      <c r="G365" s="91"/>
      <c r="H365" s="91"/>
      <c r="I365" s="91"/>
      <c r="J365" s="91"/>
      <c r="K365" s="91"/>
      <c r="L365" s="91"/>
      <c r="M365" s="91"/>
      <c r="N365" s="91"/>
      <c r="O365" s="91"/>
      <c r="P365" s="91"/>
      <c r="Q365" s="91"/>
      <c r="R365" s="91"/>
      <c r="S365" s="91"/>
      <c r="T365" s="91"/>
      <c r="U365" s="92"/>
    </row>
    <row r="366" spans="1:21" s="48" customFormat="1" x14ac:dyDescent="0.2">
      <c r="A366" s="68" t="s">
        <v>650</v>
      </c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128"/>
    </row>
    <row r="367" spans="1:21" s="61" customFormat="1" hidden="1" x14ac:dyDescent="0.2">
      <c r="A367" s="61" t="s">
        <v>653</v>
      </c>
      <c r="D367" s="61" t="s">
        <v>330</v>
      </c>
      <c r="E367" s="61" t="s">
        <v>354</v>
      </c>
      <c r="F367" s="65">
        <v>0</v>
      </c>
      <c r="G367" s="132">
        <f t="shared" ref="G367:G373" si="45">(VLOOKUP($E367,$D$4:$AH$583,4,)/VLOOKUP($E367,$D$4:$AH$583,3,))*$F367</f>
        <v>0</v>
      </c>
      <c r="H367" s="132">
        <f t="shared" ref="H367:H373" si="46">(VLOOKUP($E367,$D$4:$AH$583,5,)/VLOOKUP($E367,$D$4:$AH$583,3,))*$F367</f>
        <v>0</v>
      </c>
      <c r="I367" s="132">
        <f t="shared" ref="I367:I373" si="47">(VLOOKUP($E367,$D$4:$AH$583,6,)/VLOOKUP($E367,$D$4:$AH$583,3,))*$F367</f>
        <v>0</v>
      </c>
      <c r="J367" s="132">
        <f t="shared" ref="J367:J373" si="48">(VLOOKUP($E367,$D$4:$AH$583,7,)/VLOOKUP($E367,$D$4:$AH$583,3,))*$F367</f>
        <v>0</v>
      </c>
      <c r="K367" s="132">
        <f t="shared" ref="K367:K373" si="49">(VLOOKUP($E367,$D$4:$AH$583,8,)/VLOOKUP($E367,$D$4:$AH$583,3,))*$F367</f>
        <v>0</v>
      </c>
      <c r="L367" s="132">
        <f t="shared" ref="L367:L373" si="50">(VLOOKUP($E367,$D$4:$AH$583,9,)/VLOOKUP($E367,$D$4:$AH$583,3,))*$F367</f>
        <v>0</v>
      </c>
      <c r="M367" s="132">
        <f t="shared" ref="M367:M373" si="51">(VLOOKUP($E367,$D$4:$AH$583,10,)/VLOOKUP($E367,$D$4:$AH$583,3,))*$F367</f>
        <v>0</v>
      </c>
      <c r="N367" s="132">
        <f t="shared" ref="N367:N373" si="52">(VLOOKUP($E367,$D$4:$AH$583,11,)/VLOOKUP($E367,$D$4:$AH$583,3,))*$F367</f>
        <v>0</v>
      </c>
      <c r="O367" s="132">
        <f t="shared" ref="O367:O373" si="53">(VLOOKUP($E367,$D$4:$AH$583,12,)/VLOOKUP($E367,$D$4:$AH$583,3,))*$F367</f>
        <v>0</v>
      </c>
      <c r="P367" s="132">
        <f t="shared" ref="P367:P373" si="54">(VLOOKUP($E367,$D$4:$AH$583,13,)/VLOOKUP($E367,$D$4:$AH$583,3,))*$F367</f>
        <v>0</v>
      </c>
      <c r="Q367" s="132">
        <f t="shared" ref="Q367:Q373" si="55">(VLOOKUP($E367,$D$4:$AH$583,14,)/VLOOKUP($E367,$D$4:$AH$583,3,))*$F367</f>
        <v>0</v>
      </c>
      <c r="R367" s="132">
        <f t="shared" ref="R367:R373" si="56">(VLOOKUP($E367,$D$4:$AH$583,15,)/VLOOKUP($E367,$D$4:$AH$583,3,))*$F367</f>
        <v>0</v>
      </c>
      <c r="S367" s="132">
        <f t="shared" ref="S367:S373" si="57">(VLOOKUP($E367,$D$4:$AH$583,16,)/VLOOKUP($E367,$D$4:$AH$583,3,))*$F367</f>
        <v>0</v>
      </c>
      <c r="T367" s="64">
        <f t="shared" ref="T367:T378" si="58">SUM(G367:S367)</f>
        <v>0</v>
      </c>
      <c r="U367" s="131" t="str">
        <f t="shared" ref="U367:U378" si="59">IF(ABS(F367-T367)&lt;0.01,"ok","err")</f>
        <v>ok</v>
      </c>
    </row>
    <row r="368" spans="1:21" s="48" customFormat="1" hidden="1" x14ac:dyDescent="0.2">
      <c r="A368" s="48" t="s">
        <v>654</v>
      </c>
      <c r="D368" s="48" t="s">
        <v>331</v>
      </c>
      <c r="E368" s="189" t="s">
        <v>297</v>
      </c>
      <c r="F368" s="64">
        <v>0</v>
      </c>
      <c r="G368" s="132">
        <f t="shared" si="45"/>
        <v>0</v>
      </c>
      <c r="H368" s="132">
        <f t="shared" si="46"/>
        <v>0</v>
      </c>
      <c r="I368" s="132">
        <f t="shared" si="47"/>
        <v>0</v>
      </c>
      <c r="J368" s="132">
        <f t="shared" si="48"/>
        <v>0</v>
      </c>
      <c r="K368" s="132">
        <f t="shared" si="49"/>
        <v>0</v>
      </c>
      <c r="L368" s="132">
        <f t="shared" si="50"/>
        <v>0</v>
      </c>
      <c r="M368" s="132">
        <f t="shared" si="51"/>
        <v>0</v>
      </c>
      <c r="N368" s="132">
        <f t="shared" si="52"/>
        <v>0</v>
      </c>
      <c r="O368" s="132">
        <f t="shared" si="53"/>
        <v>0</v>
      </c>
      <c r="P368" s="132">
        <f t="shared" si="54"/>
        <v>0</v>
      </c>
      <c r="Q368" s="132">
        <f t="shared" si="55"/>
        <v>0</v>
      </c>
      <c r="R368" s="132">
        <f t="shared" si="56"/>
        <v>0</v>
      </c>
      <c r="S368" s="132">
        <f t="shared" si="57"/>
        <v>0</v>
      </c>
      <c r="T368" s="64">
        <f t="shared" si="58"/>
        <v>0</v>
      </c>
      <c r="U368" s="131" t="str">
        <f t="shared" si="59"/>
        <v>ok</v>
      </c>
    </row>
    <row r="369" spans="1:21" s="48" customFormat="1" hidden="1" x14ac:dyDescent="0.2">
      <c r="A369" s="188" t="s">
        <v>738</v>
      </c>
      <c r="D369" s="48" t="s">
        <v>332</v>
      </c>
      <c r="E369" s="189" t="s">
        <v>297</v>
      </c>
      <c r="F369" s="64">
        <v>0</v>
      </c>
      <c r="G369" s="132">
        <f t="shared" si="45"/>
        <v>0</v>
      </c>
      <c r="H369" s="132">
        <f t="shared" si="46"/>
        <v>0</v>
      </c>
      <c r="I369" s="132">
        <f t="shared" si="47"/>
        <v>0</v>
      </c>
      <c r="J369" s="132">
        <f t="shared" si="48"/>
        <v>0</v>
      </c>
      <c r="K369" s="132">
        <f t="shared" si="49"/>
        <v>0</v>
      </c>
      <c r="L369" s="132">
        <f t="shared" si="50"/>
        <v>0</v>
      </c>
      <c r="M369" s="132">
        <f t="shared" si="51"/>
        <v>0</v>
      </c>
      <c r="N369" s="132">
        <f t="shared" si="52"/>
        <v>0</v>
      </c>
      <c r="O369" s="132">
        <f t="shared" si="53"/>
        <v>0</v>
      </c>
      <c r="P369" s="132">
        <f t="shared" si="54"/>
        <v>0</v>
      </c>
      <c r="Q369" s="132">
        <f t="shared" si="55"/>
        <v>0</v>
      </c>
      <c r="R369" s="132">
        <f t="shared" si="56"/>
        <v>0</v>
      </c>
      <c r="S369" s="132">
        <f t="shared" si="57"/>
        <v>0</v>
      </c>
      <c r="T369" s="64">
        <f t="shared" si="58"/>
        <v>0</v>
      </c>
      <c r="U369" s="131" t="str">
        <f t="shared" si="59"/>
        <v>ok</v>
      </c>
    </row>
    <row r="370" spans="1:21" s="48" customFormat="1" hidden="1" x14ac:dyDescent="0.2">
      <c r="A370" s="48" t="s">
        <v>739</v>
      </c>
      <c r="D370" s="48" t="s">
        <v>714</v>
      </c>
      <c r="E370" s="189" t="s">
        <v>297</v>
      </c>
      <c r="F370" s="64">
        <v>0</v>
      </c>
      <c r="G370" s="132">
        <f t="shared" si="45"/>
        <v>0</v>
      </c>
      <c r="H370" s="132">
        <f t="shared" si="46"/>
        <v>0</v>
      </c>
      <c r="I370" s="132">
        <f t="shared" si="47"/>
        <v>0</v>
      </c>
      <c r="J370" s="132">
        <f t="shared" si="48"/>
        <v>0</v>
      </c>
      <c r="K370" s="132">
        <f t="shared" si="49"/>
        <v>0</v>
      </c>
      <c r="L370" s="132">
        <f t="shared" si="50"/>
        <v>0</v>
      </c>
      <c r="M370" s="132">
        <f t="shared" si="51"/>
        <v>0</v>
      </c>
      <c r="N370" s="132">
        <f t="shared" si="52"/>
        <v>0</v>
      </c>
      <c r="O370" s="132">
        <f t="shared" si="53"/>
        <v>0</v>
      </c>
      <c r="P370" s="132">
        <f t="shared" si="54"/>
        <v>0</v>
      </c>
      <c r="Q370" s="132">
        <f t="shared" si="55"/>
        <v>0</v>
      </c>
      <c r="R370" s="132">
        <f t="shared" si="56"/>
        <v>0</v>
      </c>
      <c r="S370" s="132">
        <f t="shared" si="57"/>
        <v>0</v>
      </c>
      <c r="T370" s="64">
        <f t="shared" si="58"/>
        <v>0</v>
      </c>
      <c r="U370" s="131" t="str">
        <f t="shared" si="59"/>
        <v>ok</v>
      </c>
    </row>
    <row r="371" spans="1:21" s="48" customFormat="1" hidden="1" x14ac:dyDescent="0.2">
      <c r="A371" s="188" t="s">
        <v>740</v>
      </c>
      <c r="D371" s="48" t="s">
        <v>715</v>
      </c>
      <c r="E371" s="48" t="s">
        <v>298</v>
      </c>
      <c r="F371" s="64">
        <v>0</v>
      </c>
      <c r="G371" s="132">
        <f t="shared" si="45"/>
        <v>0</v>
      </c>
      <c r="H371" s="132">
        <f t="shared" si="46"/>
        <v>0</v>
      </c>
      <c r="I371" s="132">
        <f t="shared" si="47"/>
        <v>0</v>
      </c>
      <c r="J371" s="132">
        <f t="shared" si="48"/>
        <v>0</v>
      </c>
      <c r="K371" s="132">
        <f t="shared" si="49"/>
        <v>0</v>
      </c>
      <c r="L371" s="132">
        <f t="shared" si="50"/>
        <v>0</v>
      </c>
      <c r="M371" s="132">
        <f t="shared" si="51"/>
        <v>0</v>
      </c>
      <c r="N371" s="132">
        <f t="shared" si="52"/>
        <v>0</v>
      </c>
      <c r="O371" s="132">
        <f t="shared" si="53"/>
        <v>0</v>
      </c>
      <c r="P371" s="132">
        <f t="shared" si="54"/>
        <v>0</v>
      </c>
      <c r="Q371" s="132">
        <f t="shared" si="55"/>
        <v>0</v>
      </c>
      <c r="R371" s="132">
        <f t="shared" si="56"/>
        <v>0</v>
      </c>
      <c r="S371" s="132">
        <f t="shared" si="57"/>
        <v>0</v>
      </c>
      <c r="T371" s="64">
        <f>SUM(G371:S371)</f>
        <v>0</v>
      </c>
      <c r="U371" s="131" t="str">
        <f t="shared" si="59"/>
        <v>ok</v>
      </c>
    </row>
    <row r="372" spans="1:21" s="48" customFormat="1" hidden="1" x14ac:dyDescent="0.2">
      <c r="A372" s="48" t="s">
        <v>655</v>
      </c>
      <c r="D372" s="48" t="s">
        <v>716</v>
      </c>
      <c r="E372" s="48" t="s">
        <v>298</v>
      </c>
      <c r="F372" s="64">
        <v>0</v>
      </c>
      <c r="G372" s="132">
        <f t="shared" si="45"/>
        <v>0</v>
      </c>
      <c r="H372" s="132">
        <f t="shared" si="46"/>
        <v>0</v>
      </c>
      <c r="I372" s="132">
        <f t="shared" si="47"/>
        <v>0</v>
      </c>
      <c r="J372" s="132">
        <f t="shared" si="48"/>
        <v>0</v>
      </c>
      <c r="K372" s="132">
        <f t="shared" si="49"/>
        <v>0</v>
      </c>
      <c r="L372" s="132">
        <f t="shared" si="50"/>
        <v>0</v>
      </c>
      <c r="M372" s="132">
        <f t="shared" si="51"/>
        <v>0</v>
      </c>
      <c r="N372" s="132">
        <f t="shared" si="52"/>
        <v>0</v>
      </c>
      <c r="O372" s="132">
        <f t="shared" si="53"/>
        <v>0</v>
      </c>
      <c r="P372" s="132">
        <f t="shared" si="54"/>
        <v>0</v>
      </c>
      <c r="Q372" s="132">
        <f t="shared" si="55"/>
        <v>0</v>
      </c>
      <c r="R372" s="132">
        <f t="shared" si="56"/>
        <v>0</v>
      </c>
      <c r="S372" s="132">
        <f t="shared" si="57"/>
        <v>0</v>
      </c>
      <c r="T372" s="64">
        <f t="shared" si="58"/>
        <v>0</v>
      </c>
      <c r="U372" s="131" t="str">
        <f t="shared" si="59"/>
        <v>ok</v>
      </c>
    </row>
    <row r="373" spans="1:21" s="48" customFormat="1" hidden="1" x14ac:dyDescent="0.2">
      <c r="A373" s="48" t="s">
        <v>743</v>
      </c>
      <c r="D373" s="48" t="s">
        <v>741</v>
      </c>
      <c r="E373" s="48" t="s">
        <v>296</v>
      </c>
      <c r="F373" s="64">
        <v>0</v>
      </c>
      <c r="G373" s="132">
        <f t="shared" si="45"/>
        <v>0</v>
      </c>
      <c r="H373" s="132">
        <f t="shared" si="46"/>
        <v>0</v>
      </c>
      <c r="I373" s="132">
        <f t="shared" si="47"/>
        <v>0</v>
      </c>
      <c r="J373" s="132">
        <f t="shared" si="48"/>
        <v>0</v>
      </c>
      <c r="K373" s="132">
        <f t="shared" si="49"/>
        <v>0</v>
      </c>
      <c r="L373" s="132">
        <f t="shared" si="50"/>
        <v>0</v>
      </c>
      <c r="M373" s="132">
        <f t="shared" si="51"/>
        <v>0</v>
      </c>
      <c r="N373" s="132">
        <f t="shared" si="52"/>
        <v>0</v>
      </c>
      <c r="O373" s="132">
        <f t="shared" si="53"/>
        <v>0</v>
      </c>
      <c r="P373" s="132">
        <f t="shared" si="54"/>
        <v>0</v>
      </c>
      <c r="Q373" s="132">
        <f t="shared" si="55"/>
        <v>0</v>
      </c>
      <c r="R373" s="132">
        <f t="shared" si="56"/>
        <v>0</v>
      </c>
      <c r="S373" s="132">
        <f t="shared" si="57"/>
        <v>0</v>
      </c>
      <c r="T373" s="64">
        <f>SUM(G373:S373)</f>
        <v>0</v>
      </c>
      <c r="U373" s="131" t="str">
        <f>IF(ABS(F373-T373)&lt;0.01,"ok","err")</f>
        <v>ok</v>
      </c>
    </row>
    <row r="374" spans="1:21" s="48" customFormat="1" hidden="1" x14ac:dyDescent="0.2">
      <c r="A374" s="189" t="s">
        <v>806</v>
      </c>
      <c r="D374" s="48" t="s">
        <v>741</v>
      </c>
      <c r="E374" s="49" t="s">
        <v>731</v>
      </c>
      <c r="F374" s="64">
        <v>0</v>
      </c>
      <c r="G374" s="132">
        <v>0</v>
      </c>
      <c r="H374" s="132">
        <v>0</v>
      </c>
      <c r="I374" s="132">
        <v>0</v>
      </c>
      <c r="J374" s="132">
        <v>0</v>
      </c>
      <c r="K374" s="132">
        <v>0</v>
      </c>
      <c r="L374" s="132">
        <v>0</v>
      </c>
      <c r="M374" s="132">
        <v>0</v>
      </c>
      <c r="N374" s="132">
        <v>0</v>
      </c>
      <c r="O374" s="132">
        <v>0</v>
      </c>
      <c r="P374" s="132">
        <v>0</v>
      </c>
      <c r="Q374" s="132">
        <v>0</v>
      </c>
      <c r="R374" s="132">
        <v>0</v>
      </c>
      <c r="S374" s="132">
        <v>0</v>
      </c>
      <c r="T374" s="64">
        <f>SUM(G374:S374)</f>
        <v>0</v>
      </c>
      <c r="U374" s="131" t="str">
        <f>IF(ABS(F374-T374)&lt;0.01,"ok","err")</f>
        <v>ok</v>
      </c>
    </row>
    <row r="375" spans="1:21" s="48" customFormat="1" hidden="1" x14ac:dyDescent="0.2">
      <c r="A375" s="190" t="s">
        <v>759</v>
      </c>
      <c r="D375" s="48" t="s">
        <v>742</v>
      </c>
      <c r="E375" s="48" t="s">
        <v>217</v>
      </c>
      <c r="F375" s="64">
        <v>0</v>
      </c>
      <c r="G375" s="132">
        <f>(VLOOKUP($E375,$D$4:$AH$583,4,)/VLOOKUP($E375,$D$4:$AH$583,3,))*$F375</f>
        <v>0</v>
      </c>
      <c r="H375" s="132">
        <f>(VLOOKUP($E375,$D$4:$AH$583,5,)/VLOOKUP($E375,$D$4:$AH$583,3,))*$F375</f>
        <v>0</v>
      </c>
      <c r="I375" s="132">
        <f>(VLOOKUP($E375,$D$4:$AH$583,6,)/VLOOKUP($E375,$D$4:$AH$583,3,))*$F375</f>
        <v>0</v>
      </c>
      <c r="J375" s="132">
        <f>(VLOOKUP($E375,$D$4:$AH$583,7,)/VLOOKUP($E375,$D$4:$AH$583,3,))*$F375</f>
        <v>0</v>
      </c>
      <c r="K375" s="132">
        <f>(VLOOKUP($E375,$D$4:$AH$583,8,)/VLOOKUP($E375,$D$4:$AH$583,3,))*$F375</f>
        <v>0</v>
      </c>
      <c r="L375" s="132">
        <f>(VLOOKUP($E375,$D$4:$AH$583,9,)/VLOOKUP($E375,$D$4:$AH$583,3,))*$F375</f>
        <v>0</v>
      </c>
      <c r="M375" s="132">
        <f>(VLOOKUP($E375,$D$4:$AH$583,10,)/VLOOKUP($E375,$D$4:$AH$583,3,))*$F375</f>
        <v>0</v>
      </c>
      <c r="N375" s="132">
        <f>(VLOOKUP($E375,$D$4:$AH$583,11,)/VLOOKUP($E375,$D$4:$AH$583,3,))*$F375</f>
        <v>0</v>
      </c>
      <c r="O375" s="132">
        <f>(VLOOKUP($E375,$D$4:$AH$583,12,)/VLOOKUP($E375,$D$4:$AH$583,3,))*$F375</f>
        <v>0</v>
      </c>
      <c r="P375" s="132">
        <f>(VLOOKUP($E375,$D$4:$AH$583,13,)/VLOOKUP($E375,$D$4:$AH$583,3,))*$F375</f>
        <v>0</v>
      </c>
      <c r="Q375" s="132">
        <f>(VLOOKUP($E375,$D$4:$AH$583,14,)/VLOOKUP($E375,$D$4:$AH$583,3,))*$F375</f>
        <v>0</v>
      </c>
      <c r="R375" s="132">
        <f>(VLOOKUP($E375,$D$4:$AH$583,15,)/VLOOKUP($E375,$D$4:$AH$583,3,))*$F375</f>
        <v>0</v>
      </c>
      <c r="S375" s="132">
        <f>(VLOOKUP($E375,$D$4:$AH$583,16,)/VLOOKUP($E375,$D$4:$AH$583,3,))*$F375</f>
        <v>0</v>
      </c>
      <c r="T375" s="64">
        <f>SUM(G375:S375)</f>
        <v>0</v>
      </c>
      <c r="U375" s="131" t="str">
        <f>IF(ABS(F375-T375)&lt;0.01,"ok","err")</f>
        <v>ok</v>
      </c>
    </row>
    <row r="376" spans="1:21" s="48" customFormat="1" hidden="1" x14ac:dyDescent="0.2">
      <c r="A376" s="189" t="s">
        <v>807</v>
      </c>
      <c r="D376" s="189" t="s">
        <v>808</v>
      </c>
      <c r="E376" s="189" t="s">
        <v>297</v>
      </c>
      <c r="F376" s="64">
        <v>0</v>
      </c>
      <c r="G376" s="132">
        <f>(VLOOKUP($E376,$D$4:$AH$583,4,)/VLOOKUP($E376,$D$4:$AH$583,3,))*$F376</f>
        <v>0</v>
      </c>
      <c r="H376" s="132">
        <f>(VLOOKUP($E376,$D$4:$AH$583,5,)/VLOOKUP($E376,$D$4:$AH$583,3,))*$F376</f>
        <v>0</v>
      </c>
      <c r="I376" s="132">
        <f>(VLOOKUP($E376,$D$4:$AH$583,6,)/VLOOKUP($E376,$D$4:$AH$583,3,))*$F376</f>
        <v>0</v>
      </c>
      <c r="J376" s="132">
        <f>(VLOOKUP($E376,$D$4:$AH$583,7,)/VLOOKUP($E376,$D$4:$AH$583,3,))*$F376</f>
        <v>0</v>
      </c>
      <c r="K376" s="132">
        <f>(VLOOKUP($E376,$D$4:$AH$583,8,)/VLOOKUP($E376,$D$4:$AH$583,3,))*$F376</f>
        <v>0</v>
      </c>
      <c r="L376" s="132">
        <f>(VLOOKUP($E376,$D$4:$AH$583,9,)/VLOOKUP($E376,$D$4:$AH$583,3,))*$F376</f>
        <v>0</v>
      </c>
      <c r="M376" s="132">
        <f>(VLOOKUP($E376,$D$4:$AH$583,10,)/VLOOKUP($E376,$D$4:$AH$583,3,))*$F376</f>
        <v>0</v>
      </c>
      <c r="N376" s="132">
        <f>(VLOOKUP($E376,$D$4:$AH$583,11,)/VLOOKUP($E376,$D$4:$AH$583,3,))*$F376</f>
        <v>0</v>
      </c>
      <c r="O376" s="132">
        <f>(VLOOKUP($E376,$D$4:$AH$583,12,)/VLOOKUP($E376,$D$4:$AH$583,3,))*$F376</f>
        <v>0</v>
      </c>
      <c r="P376" s="132">
        <f>(VLOOKUP($E376,$D$4:$AH$583,13,)/VLOOKUP($E376,$D$4:$AH$583,3,))*$F376</f>
        <v>0</v>
      </c>
      <c r="Q376" s="132">
        <f>(VLOOKUP($E376,$D$4:$AH$583,14,)/VLOOKUP($E376,$D$4:$AH$583,3,))*$F376</f>
        <v>0</v>
      </c>
      <c r="R376" s="132">
        <f>(VLOOKUP($E376,$D$4:$AH$583,15,)/VLOOKUP($E376,$D$4:$AH$583,3,))*$F376</f>
        <v>0</v>
      </c>
      <c r="S376" s="132">
        <f>(VLOOKUP($E376,$D$4:$AH$583,16,)/VLOOKUP($E376,$D$4:$AH$583,3,))*$F376</f>
        <v>0</v>
      </c>
      <c r="T376" s="64">
        <f>SUM(G376:S376)</f>
        <v>0</v>
      </c>
      <c r="U376" s="131" t="str">
        <f>IF(ABS(F376-T376)&lt;0.01,"ok","err")</f>
        <v>ok</v>
      </c>
    </row>
    <row r="377" spans="1:21" s="48" customFormat="1" x14ac:dyDescent="0.2">
      <c r="A377" s="189"/>
      <c r="D377" s="189" t="s">
        <v>809</v>
      </c>
      <c r="E377" s="189" t="s">
        <v>388</v>
      </c>
      <c r="F377" s="64">
        <v>0</v>
      </c>
      <c r="G377" s="132">
        <f>(VLOOKUP($E377,$D$4:$AH$583,4,)/VLOOKUP($E377,$D$4:$AH$583,3,))*$F377</f>
        <v>0</v>
      </c>
      <c r="H377" s="132">
        <f>(VLOOKUP($E377,$D$4:$AH$583,5,)/VLOOKUP($E377,$D$4:$AH$583,3,))*$F377</f>
        <v>0</v>
      </c>
      <c r="I377" s="132">
        <f>(VLOOKUP($E377,$D$4:$AH$583,6,)/VLOOKUP($E377,$D$4:$AH$583,3,))*$F377</f>
        <v>0</v>
      </c>
      <c r="J377" s="132">
        <f>(VLOOKUP($E377,$D$4:$AH$583,7,)/VLOOKUP($E377,$D$4:$AH$583,3,))*$F377</f>
        <v>0</v>
      </c>
      <c r="K377" s="132">
        <f>(VLOOKUP($E377,$D$4:$AH$583,8,)/VLOOKUP($E377,$D$4:$AH$583,3,))*$F377</f>
        <v>0</v>
      </c>
      <c r="L377" s="132">
        <f>(VLOOKUP($E377,$D$4:$AH$583,9,)/VLOOKUP($E377,$D$4:$AH$583,3,))*$F377</f>
        <v>0</v>
      </c>
      <c r="M377" s="132">
        <f>(VLOOKUP($E377,$D$4:$AH$583,10,)/VLOOKUP($E377,$D$4:$AH$583,3,))*$F377</f>
        <v>0</v>
      </c>
      <c r="N377" s="132">
        <f>(VLOOKUP($E377,$D$4:$AH$583,11,)/VLOOKUP($E377,$D$4:$AH$583,3,))*$F377</f>
        <v>0</v>
      </c>
      <c r="O377" s="132">
        <f>(VLOOKUP($E377,$D$4:$AH$583,12,)/VLOOKUP($E377,$D$4:$AH$583,3,))*$F377</f>
        <v>0</v>
      </c>
      <c r="P377" s="132">
        <f>(VLOOKUP($E377,$D$4:$AH$583,13,)/VLOOKUP($E377,$D$4:$AH$583,3,))*$F377</f>
        <v>0</v>
      </c>
      <c r="Q377" s="132">
        <f>(VLOOKUP($E377,$D$4:$AH$583,14,)/VLOOKUP($E377,$D$4:$AH$583,3,))*$F377</f>
        <v>0</v>
      </c>
      <c r="R377" s="132">
        <f>(VLOOKUP($E377,$D$4:$AH$583,15,)/VLOOKUP($E377,$D$4:$AH$583,3,))*$F377</f>
        <v>0</v>
      </c>
      <c r="S377" s="132">
        <f>(VLOOKUP($E377,$D$4:$AH$583,16,)/VLOOKUP($E377,$D$4:$AH$583,3,))*$F377</f>
        <v>0</v>
      </c>
      <c r="T377" s="64">
        <f>SUM(G377:S377)</f>
        <v>0</v>
      </c>
      <c r="U377" s="131" t="str">
        <f>IF(ABS(F377-T377)&lt;0.01,"ok","err")</f>
        <v>ok</v>
      </c>
    </row>
    <row r="378" spans="1:21" s="48" customFormat="1" x14ac:dyDescent="0.2">
      <c r="A378" s="48" t="s">
        <v>329</v>
      </c>
      <c r="D378" s="48" t="s">
        <v>333</v>
      </c>
      <c r="F378" s="70">
        <f t="shared" ref="F378:L378" si="60">SUM(F367:F377)</f>
        <v>0</v>
      </c>
      <c r="G378" s="70">
        <f t="shared" si="60"/>
        <v>0</v>
      </c>
      <c r="H378" s="70">
        <f t="shared" si="60"/>
        <v>0</v>
      </c>
      <c r="I378" s="70">
        <f t="shared" si="60"/>
        <v>0</v>
      </c>
      <c r="J378" s="70">
        <f t="shared" si="60"/>
        <v>0</v>
      </c>
      <c r="K378" s="70">
        <f t="shared" si="60"/>
        <v>0</v>
      </c>
      <c r="L378" s="70">
        <f t="shared" si="60"/>
        <v>0</v>
      </c>
      <c r="M378" s="70">
        <f t="shared" ref="M378:S378" si="61">SUM(M367:M376)</f>
        <v>0</v>
      </c>
      <c r="N378" s="70">
        <f t="shared" si="61"/>
        <v>0</v>
      </c>
      <c r="O378" s="70">
        <f t="shared" si="61"/>
        <v>0</v>
      </c>
      <c r="P378" s="70">
        <f t="shared" si="61"/>
        <v>0</v>
      </c>
      <c r="Q378" s="70">
        <f t="shared" si="61"/>
        <v>0</v>
      </c>
      <c r="R378" s="70">
        <f t="shared" si="61"/>
        <v>0</v>
      </c>
      <c r="S378" s="70">
        <f t="shared" si="61"/>
        <v>0</v>
      </c>
      <c r="T378" s="64">
        <f t="shared" si="58"/>
        <v>0</v>
      </c>
      <c r="U378" s="131" t="str">
        <f t="shared" si="59"/>
        <v>ok</v>
      </c>
    </row>
    <row r="379" spans="1:21" s="48" customFormat="1" x14ac:dyDescent="0.2"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128"/>
    </row>
    <row r="380" spans="1:21" s="48" customFormat="1" x14ac:dyDescent="0.2">
      <c r="A380" s="48" t="s">
        <v>307</v>
      </c>
      <c r="F380" s="70">
        <f t="shared" ref="F380:S380" si="62">F348+F352-F360-F378</f>
        <v>3596658.5232218169</v>
      </c>
      <c r="G380" s="70">
        <f t="shared" si="62"/>
        <v>652748.3999817539</v>
      </c>
      <c r="H380" s="70">
        <f t="shared" si="62"/>
        <v>58703.828560701571</v>
      </c>
      <c r="I380" s="70">
        <f t="shared" si="62"/>
        <v>1038568.6506159957</v>
      </c>
      <c r="J380" s="70">
        <f t="shared" si="62"/>
        <v>1654870.9947377369</v>
      </c>
      <c r="K380" s="70">
        <f t="shared" si="62"/>
        <v>1370113.9940425162</v>
      </c>
      <c r="L380" s="70">
        <f t="shared" si="62"/>
        <v>-599263.85950094042</v>
      </c>
      <c r="M380" s="70">
        <f t="shared" si="62"/>
        <v>-579083.50012430409</v>
      </c>
      <c r="N380" s="70">
        <f t="shared" si="62"/>
        <v>0</v>
      </c>
      <c r="O380" s="70">
        <f t="shared" si="62"/>
        <v>0</v>
      </c>
      <c r="P380" s="70">
        <f t="shared" si="62"/>
        <v>0</v>
      </c>
      <c r="Q380" s="70">
        <f t="shared" si="62"/>
        <v>0</v>
      </c>
      <c r="R380" s="70">
        <f t="shared" si="62"/>
        <v>0</v>
      </c>
      <c r="S380" s="70">
        <f t="shared" si="62"/>
        <v>0</v>
      </c>
      <c r="T380" s="70">
        <f>ROUND(SUM(G380:S380),2)</f>
        <v>3596658.51</v>
      </c>
      <c r="U380" s="128" t="str">
        <f>IF(ABS(F380-T380)&lt;0.1,"ok","err")</f>
        <v>ok</v>
      </c>
    </row>
    <row r="381" spans="1:21" x14ac:dyDescent="0.2">
      <c r="F381" s="70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88"/>
    </row>
    <row r="382" spans="1:21" s="57" customFormat="1" x14ac:dyDescent="0.2">
      <c r="A382" s="48" t="s">
        <v>299</v>
      </c>
      <c r="B382" s="48"/>
      <c r="C382" s="48"/>
      <c r="D382" s="48"/>
      <c r="E382" s="48" t="s">
        <v>308</v>
      </c>
      <c r="F382" s="204">
        <v>282424</v>
      </c>
      <c r="G382" s="132">
        <f>(VLOOKUP($E382,$D$4:$AH$583,4,)/VLOOKUP($E382,$D$4:$AH$583,3,))*$F382</f>
        <v>-242249.67798220241</v>
      </c>
      <c r="H382" s="132">
        <f>(VLOOKUP($E382,$D$4:$AH$583,5,)/VLOOKUP($E382,$D$4:$AH$583,3,))*$F382</f>
        <v>12781.112463464297</v>
      </c>
      <c r="I382" s="132">
        <f>(VLOOKUP($E382,$D$4:$AH$583,6,)/VLOOKUP($E382,$D$4:$AH$583,3,))*$F382</f>
        <v>212234.43468286752</v>
      </c>
      <c r="J382" s="132">
        <f>(VLOOKUP($E382,$D$4:$AH$583,7,)/VLOOKUP($E382,$D$4:$AH$583,3,))*$F382</f>
        <v>331150.89176561858</v>
      </c>
      <c r="K382" s="132">
        <f>(VLOOKUP($E382,$D$4:$AH$583,8,)/VLOOKUP($E382,$D$4:$AH$583,3,))*$F382</f>
        <v>393947.01436278049</v>
      </c>
      <c r="L382" s="132">
        <f>(VLOOKUP($E382,$D$4:$AH$583,9,)/VLOOKUP($E382,$D$4:$AH$583,3,))*$F382</f>
        <v>-194037.8207316628</v>
      </c>
      <c r="M382" s="132">
        <f>(VLOOKUP($E382,$D$4:$AH$583,10,)/VLOOKUP($E382,$D$4:$AH$583,3,))*$F382</f>
        <v>-231401.95951139482</v>
      </c>
      <c r="N382" s="132">
        <f>(VLOOKUP($E382,$D$4:$AH$583,11,)/VLOOKUP($E382,$D$4:$AH$583,3,))*$F382</f>
        <v>0</v>
      </c>
      <c r="O382" s="132">
        <f>(VLOOKUP($E382,$D$4:$AH$583,12,)/VLOOKUP($E382,$D$4:$AH$583,3,))*$F382</f>
        <v>0</v>
      </c>
      <c r="P382" s="132">
        <f>(VLOOKUP($E382,$D$4:$AH$583,13,)/VLOOKUP($E382,$D$4:$AH$583,3,))*$F382</f>
        <v>0</v>
      </c>
      <c r="Q382" s="132">
        <f>(VLOOKUP($E382,$D$4:$AH$583,14,)/VLOOKUP($E382,$D$4:$AH$583,3,))*$F382</f>
        <v>0</v>
      </c>
      <c r="R382" s="132">
        <f>(VLOOKUP($E382,$D$4:$AH$583,15,)/VLOOKUP($E382,$D$4:$AH$583,3,))*$F382</f>
        <v>0</v>
      </c>
      <c r="S382" s="132">
        <f>(VLOOKUP($E382,$D$4:$AH$583,16,)/VLOOKUP($E382,$D$4:$AH$583,3,))*$F382</f>
        <v>0</v>
      </c>
      <c r="T382" s="191">
        <f>SUM(G382:S382)</f>
        <v>282423.9950494708</v>
      </c>
      <c r="U382" s="134" t="str">
        <f>IF(ABS(F382-T382)&lt;0.01,"ok","err")</f>
        <v>ok</v>
      </c>
    </row>
    <row r="383" spans="1:21" s="28" customFormat="1" x14ac:dyDescent="0.2">
      <c r="A383" s="86"/>
      <c r="F383" s="57"/>
    </row>
    <row r="384" spans="1:21" s="28" customFormat="1" x14ac:dyDescent="0.2">
      <c r="A384" s="28" t="s">
        <v>661</v>
      </c>
      <c r="D384" s="28" t="s">
        <v>225</v>
      </c>
      <c r="F384" s="35">
        <f>F380-F382</f>
        <v>3314234.5232218169</v>
      </c>
      <c r="G384" s="35">
        <f t="shared" ref="G384:S384" si="63">G380-G382</f>
        <v>894998.07796395628</v>
      </c>
      <c r="H384" s="35">
        <f t="shared" si="63"/>
        <v>45922.716097237273</v>
      </c>
      <c r="I384" s="35">
        <f t="shared" si="63"/>
        <v>826334.21593312826</v>
      </c>
      <c r="J384" s="35">
        <f t="shared" si="63"/>
        <v>1323720.1029721182</v>
      </c>
      <c r="K384" s="35">
        <f t="shared" si="63"/>
        <v>976166.97967973573</v>
      </c>
      <c r="L384" s="35">
        <f t="shared" si="63"/>
        <v>-405226.03876927763</v>
      </c>
      <c r="M384" s="35">
        <f t="shared" si="63"/>
        <v>-347681.54061290924</v>
      </c>
      <c r="N384" s="35">
        <f t="shared" si="63"/>
        <v>0</v>
      </c>
      <c r="O384" s="35">
        <f t="shared" si="63"/>
        <v>0</v>
      </c>
      <c r="P384" s="35">
        <f t="shared" si="63"/>
        <v>0</v>
      </c>
      <c r="Q384" s="35">
        <f t="shared" si="63"/>
        <v>0</v>
      </c>
      <c r="R384" s="35">
        <f t="shared" si="63"/>
        <v>0</v>
      </c>
      <c r="S384" s="35">
        <f t="shared" si="63"/>
        <v>0</v>
      </c>
      <c r="T384" s="35">
        <f>ROUND(SUM(G384:S384),2)</f>
        <v>3314234.51</v>
      </c>
      <c r="U384" s="85" t="str">
        <f>IF(ABS(F384-T384)&lt;0.1,"ok","err")</f>
        <v>ok</v>
      </c>
    </row>
    <row r="386" spans="1:21" s="82" customFormat="1" x14ac:dyDescent="0.2">
      <c r="A386" s="81" t="s">
        <v>94</v>
      </c>
      <c r="F386" s="89">
        <f>F95</f>
        <v>136735987.63914844</v>
      </c>
      <c r="G386" s="89">
        <f t="shared" ref="G386:S386" si="64">G95</f>
        <v>78471243.082553774</v>
      </c>
      <c r="H386" s="89">
        <f t="shared" si="64"/>
        <v>823883.96261748415</v>
      </c>
      <c r="I386" s="89">
        <f t="shared" si="64"/>
        <v>16781430.536424</v>
      </c>
      <c r="J386" s="89">
        <f t="shared" si="64"/>
        <v>27369587.237921342</v>
      </c>
      <c r="K386" s="89">
        <f t="shared" si="64"/>
        <v>1782589.9521513043</v>
      </c>
      <c r="L386" s="89">
        <f t="shared" si="64"/>
        <v>2563718.2331270636</v>
      </c>
      <c r="M386" s="89">
        <f t="shared" si="64"/>
        <v>8943534.7369507588</v>
      </c>
      <c r="N386" s="89">
        <f t="shared" si="64"/>
        <v>0</v>
      </c>
      <c r="O386" s="89">
        <f t="shared" si="64"/>
        <v>0</v>
      </c>
      <c r="P386" s="89">
        <f t="shared" si="64"/>
        <v>0</v>
      </c>
      <c r="Q386" s="89">
        <f t="shared" si="64"/>
        <v>0</v>
      </c>
      <c r="R386" s="89">
        <f t="shared" si="64"/>
        <v>0</v>
      </c>
      <c r="S386" s="89">
        <f t="shared" si="64"/>
        <v>0</v>
      </c>
      <c r="T386" s="89">
        <f>ROUND(SUM(G386:S386),2)</f>
        <v>136735987.74000001</v>
      </c>
      <c r="U386" s="90" t="str">
        <f>IF(ABS(F386-T386)&lt;0.2,"ok","err")</f>
        <v>ok</v>
      </c>
    </row>
    <row r="387" spans="1:21" s="28" customFormat="1" x14ac:dyDescent="0.2">
      <c r="A387" s="93" t="s">
        <v>226</v>
      </c>
      <c r="B387" s="94"/>
      <c r="C387" s="94"/>
      <c r="D387" s="94"/>
      <c r="E387" s="95"/>
      <c r="F387" s="96">
        <f t="shared" ref="F387:S387" si="65">IF(F386&lt;&gt;0,F384/F386,"")</f>
        <v>2.4238202249785255E-2</v>
      </c>
      <c r="G387" s="96">
        <f t="shared" si="65"/>
        <v>1.1405427552898521E-2</v>
      </c>
      <c r="H387" s="96">
        <f t="shared" si="65"/>
        <v>5.5739300897835825E-2</v>
      </c>
      <c r="I387" s="96">
        <f t="shared" si="65"/>
        <v>4.9240987777506483E-2</v>
      </c>
      <c r="J387" s="96">
        <f t="shared" si="65"/>
        <v>4.8364635223218357E-2</v>
      </c>
      <c r="K387" s="96">
        <f t="shared" si="65"/>
        <v>0.54761162459244006</v>
      </c>
      <c r="L387" s="96">
        <f t="shared" si="65"/>
        <v>-0.15806184686489833</v>
      </c>
      <c r="M387" s="96">
        <f t="shared" si="65"/>
        <v>-3.8875181998951909E-2</v>
      </c>
      <c r="N387" s="96" t="str">
        <f t="shared" si="65"/>
        <v/>
      </c>
      <c r="O387" s="96" t="str">
        <f t="shared" si="65"/>
        <v/>
      </c>
      <c r="P387" s="96" t="str">
        <f t="shared" si="65"/>
        <v/>
      </c>
      <c r="Q387" s="96" t="str">
        <f t="shared" si="65"/>
        <v/>
      </c>
      <c r="R387" s="96" t="str">
        <f t="shared" si="65"/>
        <v/>
      </c>
      <c r="S387" s="96" t="str">
        <f t="shared" si="65"/>
        <v/>
      </c>
    </row>
    <row r="388" spans="1:21" s="28" customFormat="1" hidden="1" x14ac:dyDescent="0.2"/>
    <row r="389" spans="1:21" s="28" customFormat="1" hidden="1" x14ac:dyDescent="0.2">
      <c r="A389" s="97" t="s">
        <v>311</v>
      </c>
      <c r="B389" s="98"/>
      <c r="C389" s="98"/>
      <c r="D389" s="98"/>
      <c r="E389" s="98"/>
      <c r="F389" s="99">
        <f t="shared" ref="F389:L389" si="66">F341/F449</f>
        <v>1.8679357932439522</v>
      </c>
      <c r="G389" s="99">
        <f t="shared" si="66"/>
        <v>10.774393773438204</v>
      </c>
      <c r="H389" s="99">
        <f t="shared" si="66"/>
        <v>7.4330898619227908</v>
      </c>
      <c r="I389" s="99">
        <f t="shared" si="66"/>
        <v>8.369355665332046</v>
      </c>
      <c r="J389" s="99">
        <f t="shared" si="66"/>
        <v>3.3334245553390969</v>
      </c>
      <c r="K389" s="99">
        <f t="shared" si="66"/>
        <v>1.2081129676039244</v>
      </c>
      <c r="L389" s="99">
        <f t="shared" si="66"/>
        <v>0.15550244139842012</v>
      </c>
      <c r="M389" s="99"/>
      <c r="N389" s="99"/>
      <c r="O389" s="99"/>
      <c r="P389" s="99"/>
      <c r="Q389" s="99"/>
      <c r="R389" s="99"/>
      <c r="S389" s="99"/>
    </row>
    <row r="390" spans="1:21" s="28" customFormat="1" hidden="1" x14ac:dyDescent="0.2"/>
    <row r="391" spans="1:21" s="28" customFormat="1" hidden="1" x14ac:dyDescent="0.2">
      <c r="A391" s="100" t="s">
        <v>372</v>
      </c>
      <c r="B391" s="101"/>
      <c r="C391" s="101"/>
      <c r="D391" s="98"/>
      <c r="E391" s="98"/>
      <c r="F391" s="102">
        <f t="shared" ref="F391:L391" si="67">F449/(F457*365)</f>
        <v>0.57249512875192332</v>
      </c>
      <c r="G391" s="102">
        <f t="shared" si="67"/>
        <v>0.17032596130576164</v>
      </c>
      <c r="H391" s="102">
        <f t="shared" si="67"/>
        <v>0.18855948744625686</v>
      </c>
      <c r="I391" s="102">
        <f t="shared" si="67"/>
        <v>0.17973567546149374</v>
      </c>
      <c r="J391" s="102">
        <f t="shared" si="67"/>
        <v>0.29171190068493152</v>
      </c>
      <c r="K391" s="102">
        <f t="shared" si="67"/>
        <v>2.649482457448741</v>
      </c>
      <c r="L391" s="102">
        <f t="shared" si="67"/>
        <v>1.0000334743432742</v>
      </c>
      <c r="M391" s="102"/>
      <c r="N391" s="102"/>
      <c r="O391" s="102"/>
      <c r="P391" s="102"/>
      <c r="Q391" s="102"/>
      <c r="R391" s="102"/>
      <c r="S391" s="102"/>
    </row>
    <row r="392" spans="1:21" s="28" customFormat="1" hidden="1" x14ac:dyDescent="0.2">
      <c r="F392" s="102"/>
      <c r="G392" s="102"/>
      <c r="H392" s="102"/>
      <c r="I392" s="102"/>
      <c r="J392" s="102"/>
      <c r="K392" s="102"/>
      <c r="L392" s="102"/>
      <c r="M392" s="102"/>
      <c r="N392" s="102"/>
      <c r="O392" s="102"/>
      <c r="P392" s="102"/>
      <c r="Q392" s="102"/>
      <c r="R392" s="102"/>
      <c r="S392" s="102"/>
    </row>
    <row r="393" spans="1:21" s="28" customFormat="1" hidden="1" x14ac:dyDescent="0.2">
      <c r="F393" s="102"/>
      <c r="G393" s="102"/>
      <c r="H393" s="102"/>
      <c r="I393" s="102"/>
      <c r="J393" s="102"/>
      <c r="K393" s="102"/>
      <c r="L393" s="102"/>
      <c r="M393" s="102"/>
      <c r="N393" s="102"/>
      <c r="O393" s="102"/>
      <c r="P393" s="102"/>
      <c r="Q393" s="102"/>
      <c r="R393" s="102"/>
      <c r="S393" s="102"/>
    </row>
    <row r="394" spans="1:21" s="28" customFormat="1" hidden="1" x14ac:dyDescent="0.2"/>
    <row r="395" spans="1:21" s="28" customFormat="1" hidden="1" x14ac:dyDescent="0.2"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</row>
    <row r="396" spans="1:21" s="28" customFormat="1" hidden="1" x14ac:dyDescent="0.2"/>
    <row r="397" spans="1:21" s="28" customFormat="1" hidden="1" x14ac:dyDescent="0.2"/>
    <row r="398" spans="1:21" s="28" customFormat="1" hidden="1" x14ac:dyDescent="0.2"/>
    <row r="399" spans="1:21" s="28" customFormat="1" hidden="1" x14ac:dyDescent="0.2"/>
    <row r="400" spans="1:21" s="28" customFormat="1" hidden="1" x14ac:dyDescent="0.2"/>
    <row r="401" s="28" customFormat="1" hidden="1" x14ac:dyDescent="0.2"/>
    <row r="402" s="28" customFormat="1" hidden="1" x14ac:dyDescent="0.2"/>
    <row r="403" s="28" customFormat="1" hidden="1" x14ac:dyDescent="0.2"/>
    <row r="404" s="28" customFormat="1" hidden="1" x14ac:dyDescent="0.2"/>
    <row r="405" s="28" customFormat="1" hidden="1" x14ac:dyDescent="0.2"/>
    <row r="406" s="28" customFormat="1" hidden="1" x14ac:dyDescent="0.2"/>
    <row r="407" s="28" customFormat="1" hidden="1" x14ac:dyDescent="0.2"/>
    <row r="408" s="28" customFormat="1" hidden="1" x14ac:dyDescent="0.2"/>
    <row r="409" s="28" customFormat="1" hidden="1" x14ac:dyDescent="0.2"/>
    <row r="410" s="28" customFormat="1" hidden="1" x14ac:dyDescent="0.2"/>
    <row r="411" s="28" customFormat="1" hidden="1" x14ac:dyDescent="0.2"/>
    <row r="412" s="28" customFormat="1" hidden="1" x14ac:dyDescent="0.2"/>
    <row r="413" s="28" customFormat="1" hidden="1" x14ac:dyDescent="0.2"/>
    <row r="414" s="28" customFormat="1" hidden="1" x14ac:dyDescent="0.2"/>
    <row r="417" spans="1:25" s="80" customFormat="1" x14ac:dyDescent="0.2">
      <c r="A417" s="79" t="s">
        <v>364</v>
      </c>
    </row>
    <row r="419" spans="1:25" s="75" customFormat="1" x14ac:dyDescent="0.2">
      <c r="A419" s="74" t="s">
        <v>365</v>
      </c>
      <c r="F419" s="103">
        <f>F384</f>
        <v>3314234.5232218169</v>
      </c>
      <c r="G419" s="103">
        <f t="shared" ref="G419:S419" si="68">G384</f>
        <v>894998.07796395628</v>
      </c>
      <c r="H419" s="103">
        <f t="shared" si="68"/>
        <v>45922.716097237273</v>
      </c>
      <c r="I419" s="103">
        <f t="shared" si="68"/>
        <v>826334.21593312826</v>
      </c>
      <c r="J419" s="103">
        <f t="shared" si="68"/>
        <v>1323720.1029721182</v>
      </c>
      <c r="K419" s="103">
        <f t="shared" si="68"/>
        <v>976166.97967973573</v>
      </c>
      <c r="L419" s="103">
        <f t="shared" si="68"/>
        <v>-405226.03876927763</v>
      </c>
      <c r="M419" s="103">
        <f t="shared" si="68"/>
        <v>-347681.54061290924</v>
      </c>
      <c r="N419" s="103">
        <f t="shared" si="68"/>
        <v>0</v>
      </c>
      <c r="O419" s="103">
        <f t="shared" si="68"/>
        <v>0</v>
      </c>
      <c r="P419" s="103">
        <f t="shared" si="68"/>
        <v>0</v>
      </c>
      <c r="Q419" s="103">
        <f t="shared" si="68"/>
        <v>0</v>
      </c>
      <c r="R419" s="103">
        <f t="shared" si="68"/>
        <v>0</v>
      </c>
      <c r="S419" s="103">
        <f t="shared" si="68"/>
        <v>0</v>
      </c>
      <c r="T419" s="103">
        <f>ROUND(SUM(G419:S419),2)</f>
        <v>3314234.51</v>
      </c>
      <c r="U419" s="104" t="str">
        <f>IF(ABS(F419-T419)&lt;0.1,"ok","err")</f>
        <v>ok</v>
      </c>
    </row>
    <row r="421" spans="1:25" s="185" customFormat="1" x14ac:dyDescent="0.2">
      <c r="A421" s="237" t="s">
        <v>366</v>
      </c>
      <c r="B421" s="238"/>
      <c r="C421" s="238"/>
      <c r="D421" s="238"/>
      <c r="E421" s="238"/>
      <c r="F421" s="239">
        <v>9135169.5500000007</v>
      </c>
      <c r="G421" s="240">
        <v>4802026.3659762703</v>
      </c>
      <c r="H421" s="241">
        <v>63003.647918324918</v>
      </c>
      <c r="I421" s="241">
        <v>1354251.2501877695</v>
      </c>
      <c r="J421" s="241">
        <v>2384549.9336971585</v>
      </c>
      <c r="K421" s="241">
        <v>-24.059019113425165</v>
      </c>
      <c r="L421" s="241">
        <v>117710.52236366231</v>
      </c>
      <c r="M421" s="241">
        <v>413651.88530431641</v>
      </c>
      <c r="T421" s="186">
        <f>ROUND(SUM(G421:S421),2)</f>
        <v>9135169.5500000007</v>
      </c>
      <c r="U421" s="187" t="str">
        <f>IF(ABS(F421-T421)&lt;0.01,"ok","err")</f>
        <v>ok</v>
      </c>
      <c r="W421" s="193">
        <v>5313896.6047426201</v>
      </c>
    </row>
    <row r="422" spans="1:25" x14ac:dyDescent="0.2">
      <c r="A422" s="237" t="s">
        <v>744</v>
      </c>
      <c r="B422" s="238"/>
      <c r="C422" s="238"/>
      <c r="D422" s="238"/>
      <c r="E422" s="238" t="s">
        <v>722</v>
      </c>
      <c r="F422" s="242">
        <v>0</v>
      </c>
      <c r="G422" s="243">
        <v>0</v>
      </c>
      <c r="H422" s="243">
        <v>0</v>
      </c>
      <c r="I422" s="243">
        <v>0</v>
      </c>
      <c r="J422" s="243">
        <v>0</v>
      </c>
      <c r="K422" s="243">
        <v>0</v>
      </c>
      <c r="L422" s="243">
        <v>0</v>
      </c>
      <c r="M422" s="243">
        <v>0</v>
      </c>
      <c r="N422" s="243">
        <v>0</v>
      </c>
      <c r="O422" s="243">
        <v>0</v>
      </c>
      <c r="P422" s="243">
        <v>0</v>
      </c>
      <c r="Q422" s="243">
        <v>0</v>
      </c>
      <c r="R422" s="243">
        <v>0</v>
      </c>
      <c r="S422" s="243">
        <v>0</v>
      </c>
      <c r="T422" s="63">
        <f>SUM(G422:S422)</f>
        <v>0</v>
      </c>
      <c r="U422" s="42" t="str">
        <f>IF(ABS(F422-T422)&lt;0.01,"ok","err")</f>
        <v>ok</v>
      </c>
      <c r="W422" s="112">
        <f>W421-T421</f>
        <v>-3821272.9452573806</v>
      </c>
    </row>
    <row r="423" spans="1:25" x14ac:dyDescent="0.2">
      <c r="A423" s="237" t="s">
        <v>736</v>
      </c>
      <c r="B423" s="238"/>
      <c r="C423" s="238"/>
      <c r="D423" s="238" t="s">
        <v>746</v>
      </c>
      <c r="E423" s="238"/>
      <c r="F423" s="240">
        <f>SUM(F421:F422)</f>
        <v>9135169.5500000007</v>
      </c>
      <c r="G423" s="240">
        <f t="shared" ref="G423:S423" si="69">SUM(G421:G422)</f>
        <v>4802026.3659762703</v>
      </c>
      <c r="H423" s="240">
        <f t="shared" si="69"/>
        <v>63003.647918324918</v>
      </c>
      <c r="I423" s="240">
        <f t="shared" si="69"/>
        <v>1354251.2501877695</v>
      </c>
      <c r="J423" s="240">
        <f t="shared" si="69"/>
        <v>2384549.9336971585</v>
      </c>
      <c r="K423" s="240">
        <f t="shared" si="69"/>
        <v>-24.059019113425165</v>
      </c>
      <c r="L423" s="240">
        <f t="shared" si="69"/>
        <v>117710.52236366231</v>
      </c>
      <c r="M423" s="240">
        <f t="shared" si="69"/>
        <v>413651.88530431641</v>
      </c>
      <c r="N423" s="105">
        <f t="shared" si="69"/>
        <v>0</v>
      </c>
      <c r="O423" s="105">
        <f t="shared" si="69"/>
        <v>0</v>
      </c>
      <c r="P423" s="105">
        <f t="shared" si="69"/>
        <v>0</v>
      </c>
      <c r="Q423" s="105">
        <f t="shared" si="69"/>
        <v>0</v>
      </c>
      <c r="R423" s="105">
        <f t="shared" si="69"/>
        <v>0</v>
      </c>
      <c r="S423" s="105">
        <f t="shared" si="69"/>
        <v>0</v>
      </c>
      <c r="T423" s="14"/>
      <c r="U423" s="42"/>
    </row>
    <row r="424" spans="1:25" x14ac:dyDescent="0.2">
      <c r="A424" s="48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</row>
    <row r="425" spans="1:25" x14ac:dyDescent="0.2">
      <c r="A425" s="68" t="s">
        <v>730</v>
      </c>
      <c r="B425" s="48"/>
      <c r="C425" s="48"/>
      <c r="D425" s="48"/>
      <c r="E425" s="48" t="s">
        <v>746</v>
      </c>
      <c r="F425" s="49">
        <f>(F423*0.2495)</f>
        <v>2279224.8027250003</v>
      </c>
      <c r="G425" s="49">
        <f t="shared" ref="G425:M425" si="70">(G423*0.2495)</f>
        <v>1198105.5783110794</v>
      </c>
      <c r="H425" s="49">
        <f t="shared" si="70"/>
        <v>15719.410155622067</v>
      </c>
      <c r="I425" s="49">
        <f t="shared" si="70"/>
        <v>337885.68692184851</v>
      </c>
      <c r="J425" s="49">
        <f t="shared" si="70"/>
        <v>594945.20845744107</v>
      </c>
      <c r="K425" s="49">
        <f t="shared" si="70"/>
        <v>-6.0027252687995789</v>
      </c>
      <c r="L425" s="49">
        <f t="shared" si="70"/>
        <v>29368.775329733748</v>
      </c>
      <c r="M425" s="49">
        <f t="shared" si="70"/>
        <v>103206.14538342695</v>
      </c>
      <c r="N425" s="84">
        <f>(VLOOKUP($E425,$D$4:$AH$583,11,)/VLOOKUP($E425,$D$4:$AH$583,3,))*$F425</f>
        <v>0</v>
      </c>
      <c r="O425" s="84">
        <f>(VLOOKUP($E425,$D$4:$AH$583,12,)/VLOOKUP($E425,$D$4:$AH$583,3,))*$F425</f>
        <v>0</v>
      </c>
      <c r="P425" s="84">
        <f>(VLOOKUP($E425,$D$4:$AH$583,13,)/VLOOKUP($E425,$D$4:$AH$583,3,))*$F425</f>
        <v>0</v>
      </c>
      <c r="Q425" s="84">
        <f>(VLOOKUP($E425,$D$4:$AH$583,14,)/VLOOKUP($E425,$D$4:$AH$583,3,))*$F425</f>
        <v>0</v>
      </c>
      <c r="R425" s="84">
        <f>(VLOOKUP($E425,$D$4:$AH$583,15,)/VLOOKUP($E425,$D$4:$AH$583,3,))*$F425</f>
        <v>0</v>
      </c>
      <c r="S425" s="84">
        <f>(VLOOKUP($E425,$D$4:$AH$583,16,)/VLOOKUP($E425,$D$4:$AH$583,3,))*$F425</f>
        <v>0</v>
      </c>
      <c r="T425" s="14">
        <f>SUM(G425:S425)</f>
        <v>2279224.8018338829</v>
      </c>
      <c r="U425" s="42" t="str">
        <f>IF(ABS(F425-T425)&lt;0.01,"ok","err")</f>
        <v>ok</v>
      </c>
    </row>
    <row r="426" spans="1:25" x14ac:dyDescent="0.2">
      <c r="A426" s="48"/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</row>
    <row r="427" spans="1:25" ht="15" x14ac:dyDescent="0.35">
      <c r="A427" s="1" t="s">
        <v>367</v>
      </c>
      <c r="F427" s="53">
        <f>F419+F423-F425</f>
        <v>10170179.270496817</v>
      </c>
      <c r="G427" s="53">
        <f t="shared" ref="G427:S427" si="71">G419+G423-G425</f>
        <v>4498918.8656291477</v>
      </c>
      <c r="H427" s="53">
        <f t="shared" si="71"/>
        <v>93206.953859940128</v>
      </c>
      <c r="I427" s="53">
        <f t="shared" si="71"/>
        <v>1842699.7791990493</v>
      </c>
      <c r="J427" s="53">
        <f t="shared" si="71"/>
        <v>3113324.8282118356</v>
      </c>
      <c r="K427" s="53">
        <f t="shared" si="71"/>
        <v>976148.92338589113</v>
      </c>
      <c r="L427" s="53">
        <f t="shared" si="71"/>
        <v>-316884.29173534905</v>
      </c>
      <c r="M427" s="53">
        <f t="shared" si="71"/>
        <v>-37235.80069201978</v>
      </c>
      <c r="N427" s="53">
        <f t="shared" si="71"/>
        <v>0</v>
      </c>
      <c r="O427" s="53">
        <f t="shared" si="71"/>
        <v>0</v>
      </c>
      <c r="P427" s="53">
        <f t="shared" si="71"/>
        <v>0</v>
      </c>
      <c r="Q427" s="53">
        <f t="shared" si="71"/>
        <v>0</v>
      </c>
      <c r="R427" s="53">
        <f t="shared" si="71"/>
        <v>0</v>
      </c>
      <c r="S427" s="53">
        <f t="shared" si="71"/>
        <v>0</v>
      </c>
      <c r="T427" s="53">
        <f>ROUND(SUM(G427:S427),2)</f>
        <v>10170179.26</v>
      </c>
      <c r="U427" s="88" t="str">
        <f>IF(ABS(F427-T427)&lt;0.1,"ok","err")</f>
        <v>ok</v>
      </c>
      <c r="W427" s="192">
        <f>9573458.14524415-F377</f>
        <v>9573458.1452441495</v>
      </c>
      <c r="Y427" s="112"/>
    </row>
    <row r="428" spans="1:25" x14ac:dyDescent="0.2">
      <c r="W428" s="112">
        <f>W427-T427</f>
        <v>-596721.11475585029</v>
      </c>
    </row>
    <row r="429" spans="1:25" s="75" customFormat="1" x14ac:dyDescent="0.2">
      <c r="A429" s="74" t="s">
        <v>94</v>
      </c>
      <c r="F429" s="103">
        <f>F386</f>
        <v>136735987.63914844</v>
      </c>
      <c r="G429" s="103">
        <f t="shared" ref="G429:S429" si="72">G386</f>
        <v>78471243.082553774</v>
      </c>
      <c r="H429" s="103">
        <f t="shared" si="72"/>
        <v>823883.96261748415</v>
      </c>
      <c r="I429" s="103">
        <f t="shared" si="72"/>
        <v>16781430.536424</v>
      </c>
      <c r="J429" s="103">
        <f t="shared" si="72"/>
        <v>27369587.237921342</v>
      </c>
      <c r="K429" s="103">
        <f t="shared" si="72"/>
        <v>1782589.9521513043</v>
      </c>
      <c r="L429" s="103">
        <f t="shared" si="72"/>
        <v>2563718.2331270636</v>
      </c>
      <c r="M429" s="103">
        <f t="shared" si="72"/>
        <v>8943534.7369507588</v>
      </c>
      <c r="N429" s="103">
        <f t="shared" si="72"/>
        <v>0</v>
      </c>
      <c r="O429" s="103">
        <f t="shared" si="72"/>
        <v>0</v>
      </c>
      <c r="P429" s="103">
        <f t="shared" si="72"/>
        <v>0</v>
      </c>
      <c r="Q429" s="103">
        <f t="shared" si="72"/>
        <v>0</v>
      </c>
      <c r="R429" s="103">
        <f t="shared" si="72"/>
        <v>0</v>
      </c>
      <c r="S429" s="103">
        <f t="shared" si="72"/>
        <v>0</v>
      </c>
      <c r="T429" s="105">
        <f>ROUND(SUM(G429:S429),2)</f>
        <v>136735987.74000001</v>
      </c>
      <c r="U429" s="104" t="str">
        <f>IF(ABS(F429-T429)&lt;0.2,"ok","err")</f>
        <v>ok</v>
      </c>
      <c r="W429" s="105"/>
    </row>
    <row r="431" spans="1:25" s="75" customFormat="1" x14ac:dyDescent="0.2">
      <c r="A431" s="106" t="s">
        <v>368</v>
      </c>
      <c r="B431" s="107"/>
      <c r="C431" s="107"/>
      <c r="D431" s="107"/>
      <c r="E431" s="108"/>
      <c r="F431" s="109">
        <f t="shared" ref="F431:M431" si="73">F427/F429</f>
        <v>7.4378219268334198E-2</v>
      </c>
      <c r="G431" s="109">
        <f t="shared" si="73"/>
        <v>5.7332070818556666E-2</v>
      </c>
      <c r="H431" s="109">
        <f t="shared" si="73"/>
        <v>0.11313116663154978</v>
      </c>
      <c r="I431" s="109">
        <f t="shared" si="73"/>
        <v>0.10980588187636804</v>
      </c>
      <c r="J431" s="109">
        <f t="shared" si="73"/>
        <v>0.11375125248137595</v>
      </c>
      <c r="K431" s="109">
        <f t="shared" si="73"/>
        <v>0.54760149534548519</v>
      </c>
      <c r="L431" s="109">
        <f t="shared" si="73"/>
        <v>-0.1236034005768385</v>
      </c>
      <c r="M431" s="109">
        <f t="shared" si="73"/>
        <v>-4.1634322208396867E-3</v>
      </c>
      <c r="N431" s="109"/>
      <c r="O431" s="109"/>
      <c r="P431" s="109"/>
      <c r="Q431" s="109"/>
      <c r="R431" s="109"/>
      <c r="S431" s="109"/>
    </row>
    <row r="433" spans="1:20" s="75" customFormat="1" hidden="1" x14ac:dyDescent="0.2">
      <c r="F433" s="119" t="s">
        <v>745</v>
      </c>
      <c r="G433" s="126"/>
      <c r="H433" s="126"/>
      <c r="I433" s="110"/>
      <c r="J433" s="110"/>
      <c r="K433" s="110"/>
      <c r="L433" s="110"/>
    </row>
    <row r="434" spans="1:20" hidden="1" x14ac:dyDescent="0.2">
      <c r="F434" s="117">
        <f>F382+F425</f>
        <v>2561648.8027250003</v>
      </c>
      <c r="G434" s="118"/>
      <c r="H434" s="119"/>
    </row>
    <row r="435" spans="1:20" hidden="1" x14ac:dyDescent="0.2">
      <c r="F435" s="120"/>
      <c r="G435" s="120"/>
      <c r="H435" s="120"/>
    </row>
    <row r="436" spans="1:20" s="75" customFormat="1" hidden="1" x14ac:dyDescent="0.2">
      <c r="F436" s="120">
        <v>3095321</v>
      </c>
      <c r="G436" s="120"/>
      <c r="H436" s="120"/>
    </row>
    <row r="437" spans="1:20" s="75" customFormat="1" hidden="1" x14ac:dyDescent="0.2">
      <c r="F437" s="120"/>
      <c r="G437" s="120"/>
      <c r="H437" s="120"/>
    </row>
    <row r="438" spans="1:20" hidden="1" x14ac:dyDescent="0.2">
      <c r="F438" s="121">
        <f>F434-F436</f>
        <v>-533672.19727499969</v>
      </c>
      <c r="G438" s="120"/>
      <c r="H438" s="120"/>
    </row>
    <row r="439" spans="1:20" hidden="1" x14ac:dyDescent="0.2">
      <c r="F439" s="119"/>
      <c r="G439" s="122"/>
      <c r="H439" s="119"/>
    </row>
    <row r="440" spans="1:20" hidden="1" x14ac:dyDescent="0.2">
      <c r="F440" s="120"/>
      <c r="G440" s="120"/>
      <c r="H440" s="120"/>
    </row>
    <row r="441" spans="1:20" hidden="1" x14ac:dyDescent="0.2">
      <c r="F441" s="120">
        <v>1957321</v>
      </c>
      <c r="G441" s="120"/>
      <c r="H441" s="120"/>
    </row>
    <row r="442" spans="1:20" s="75" customFormat="1" hidden="1" x14ac:dyDescent="0.2">
      <c r="F442" s="120"/>
      <c r="G442" s="120"/>
      <c r="H442" s="120"/>
    </row>
    <row r="443" spans="1:20" hidden="1" x14ac:dyDescent="0.2">
      <c r="F443" s="123">
        <f>F425</f>
        <v>2279224.8027250003</v>
      </c>
      <c r="G443" s="124"/>
      <c r="H443" s="124"/>
    </row>
    <row r="444" spans="1:20" hidden="1" x14ac:dyDescent="0.2">
      <c r="F444" s="125">
        <f>F441-F443</f>
        <v>-321903.80272500031</v>
      </c>
      <c r="G444" s="120">
        <f>(F378+224173)*0.3862</f>
        <v>86575.612599999993</v>
      </c>
      <c r="H444" s="125">
        <f>G444+F444</f>
        <v>-235328.19012500031</v>
      </c>
    </row>
    <row r="445" spans="1:20" x14ac:dyDescent="0.2">
      <c r="F445" s="205">
        <f>F421/F341</f>
        <v>0.27441074332898097</v>
      </c>
      <c r="G445" s="205">
        <f t="shared" ref="G445:M445" si="74">G421/G341</f>
        <v>0.32145054902621129</v>
      </c>
      <c r="H445" s="205">
        <f t="shared" si="74"/>
        <v>3.9972688656213208E-2</v>
      </c>
      <c r="I445" s="205">
        <f t="shared" si="74"/>
        <v>0.31829836487747859</v>
      </c>
      <c r="J445" s="205">
        <f t="shared" si="74"/>
        <v>0.31810820103482002</v>
      </c>
      <c r="K445" s="205">
        <f t="shared" si="74"/>
        <v>-1.221265107177478E-5</v>
      </c>
      <c r="L445" s="205">
        <f t="shared" si="74"/>
        <v>0.33165171276644179</v>
      </c>
      <c r="M445" s="205">
        <f t="shared" si="74"/>
        <v>0.15322009907997147</v>
      </c>
    </row>
    <row r="446" spans="1:20" s="80" customFormat="1" x14ac:dyDescent="0.2">
      <c r="A446" s="79" t="s">
        <v>227</v>
      </c>
      <c r="F446" s="224">
        <f>F447/F341</f>
        <v>0.2744419372586448</v>
      </c>
      <c r="G446" s="224">
        <f t="shared" ref="G446:M446" si="75">G447/G341</f>
        <v>0.27900000000000003</v>
      </c>
      <c r="H446" s="224">
        <f t="shared" si="75"/>
        <v>-1.7381712228707754E-3</v>
      </c>
      <c r="I446" s="224">
        <f t="shared" si="75"/>
        <v>0.25900000000000001</v>
      </c>
      <c r="J446" s="224">
        <f t="shared" si="75"/>
        <v>0.25900000000000001</v>
      </c>
      <c r="K446" s="224">
        <f t="shared" si="75"/>
        <v>0</v>
      </c>
      <c r="L446" s="224">
        <f t="shared" si="75"/>
        <v>0.27900000000000003</v>
      </c>
      <c r="M446" s="224">
        <f t="shared" si="75"/>
        <v>0.16297965992730834</v>
      </c>
    </row>
    <row r="447" spans="1:20" x14ac:dyDescent="0.2">
      <c r="F447" s="19">
        <v>9136208</v>
      </c>
      <c r="G447" s="36">
        <f>G341*0.279</f>
        <v>4167873.9083383372</v>
      </c>
      <c r="H447" s="113">
        <f>(H429*I431)-H427</f>
        <v>-2739.6487809306418</v>
      </c>
      <c r="I447" s="36">
        <f>I341*0.259</f>
        <v>1101956.8822907577</v>
      </c>
      <c r="J447" s="36">
        <f t="shared" ref="J447" si="76">J341*0.259</f>
        <v>1941472.84106002</v>
      </c>
      <c r="K447" s="36">
        <v>0</v>
      </c>
      <c r="L447" s="36">
        <f>L341*0.279</f>
        <v>99023.265899999999</v>
      </c>
      <c r="M447" s="19">
        <v>440000</v>
      </c>
      <c r="T447" s="36">
        <f>SUM(G447:M447)</f>
        <v>7747587.2488081837</v>
      </c>
    </row>
    <row r="448" spans="1:20" x14ac:dyDescent="0.2">
      <c r="A448" s="1" t="s">
        <v>1</v>
      </c>
    </row>
    <row r="449" spans="1:21" x14ac:dyDescent="0.2">
      <c r="A449" s="48" t="s">
        <v>463</v>
      </c>
      <c r="D449" s="19" t="s">
        <v>313</v>
      </c>
      <c r="F449" s="49">
        <v>17821881.760000002</v>
      </c>
      <c r="G449" s="49">
        <v>1386492.5</v>
      </c>
      <c r="H449" s="49">
        <v>212047.39999999985</v>
      </c>
      <c r="I449" s="49">
        <v>508361.68844015698</v>
      </c>
      <c r="J449" s="49">
        <v>2248748.7000000002</v>
      </c>
      <c r="K449" s="49">
        <v>1630648.7510978046</v>
      </c>
      <c r="L449" s="49">
        <v>2282421.4</v>
      </c>
      <c r="M449" s="49">
        <v>9553161.3234253377</v>
      </c>
      <c r="N449" s="53"/>
      <c r="O449" s="53"/>
      <c r="P449" s="53"/>
      <c r="Q449" s="53"/>
      <c r="R449" s="53"/>
      <c r="S449" s="53"/>
      <c r="T449" s="53">
        <f>ROUND(SUM(G449:S449),2)</f>
        <v>17821881.760000002</v>
      </c>
      <c r="U449" s="111" t="str">
        <f>IF(ABS(F449-T449)&lt;0.01,"ok","err")</f>
        <v>ok</v>
      </c>
    </row>
    <row r="450" spans="1:21" x14ac:dyDescent="0.2">
      <c r="F450" s="49"/>
      <c r="G450" s="226">
        <f>G449/$F449</f>
        <v>7.7797200019129736E-2</v>
      </c>
      <c r="H450" s="226">
        <f>H449/$F449</f>
        <v>1.1898148739597509E-2</v>
      </c>
      <c r="I450" s="226">
        <f>I449/$F449</f>
        <v>2.8524579799487849E-2</v>
      </c>
      <c r="J450" s="226">
        <f>J449/$F449</f>
        <v>0.12617908312281384</v>
      </c>
      <c r="K450" s="49"/>
      <c r="L450" s="49"/>
      <c r="M450" s="49"/>
      <c r="N450" s="53"/>
      <c r="O450" s="53"/>
      <c r="P450" s="53"/>
      <c r="Q450" s="53"/>
      <c r="R450" s="53"/>
      <c r="S450" s="53"/>
      <c r="T450" s="53"/>
      <c r="U450" s="111"/>
    </row>
    <row r="451" spans="1:21" x14ac:dyDescent="0.2">
      <c r="A451" s="19" t="s">
        <v>711</v>
      </c>
      <c r="D451" s="19" t="s">
        <v>315</v>
      </c>
      <c r="E451" s="53"/>
      <c r="F451" s="49">
        <v>2901000</v>
      </c>
      <c r="G451" s="49">
        <v>1232303.8628715482</v>
      </c>
      <c r="H451" s="49">
        <v>0</v>
      </c>
      <c r="I451" s="49">
        <v>430072.48625197867</v>
      </c>
      <c r="J451" s="49">
        <v>1238623.6508764732</v>
      </c>
      <c r="K451" s="49">
        <v>0</v>
      </c>
      <c r="L451" s="49">
        <v>0</v>
      </c>
      <c r="M451" s="49">
        <v>0</v>
      </c>
      <c r="N451" s="53"/>
      <c r="O451" s="53"/>
      <c r="P451" s="53"/>
      <c r="Q451" s="53"/>
      <c r="R451" s="53"/>
      <c r="S451" s="53"/>
      <c r="T451" s="53">
        <f>ROUND(SUM(G451:S451),2)</f>
        <v>2901000</v>
      </c>
      <c r="U451" s="111" t="str">
        <f>IF(ABS(F451-T451)&lt;0.01,"ok","err")</f>
        <v>ok</v>
      </c>
    </row>
    <row r="452" spans="1:21" x14ac:dyDescent="0.2">
      <c r="A452" s="19" t="s">
        <v>3</v>
      </c>
      <c r="D452" s="19" t="s">
        <v>317</v>
      </c>
      <c r="F452" s="49">
        <v>17609834.359999999</v>
      </c>
      <c r="G452" s="49">
        <f>G449</f>
        <v>1386492.5</v>
      </c>
      <c r="H452" s="49">
        <v>0</v>
      </c>
      <c r="I452" s="49">
        <v>508361.68844015698</v>
      </c>
      <c r="J452" s="49">
        <v>2248748.7000000002</v>
      </c>
      <c r="K452" s="49">
        <v>1630648.7510978046</v>
      </c>
      <c r="L452" s="49">
        <v>2282421.4</v>
      </c>
      <c r="M452" s="49">
        <v>9553161.3234253377</v>
      </c>
      <c r="N452" s="53"/>
      <c r="O452" s="53"/>
      <c r="P452" s="53"/>
      <c r="Q452" s="53"/>
      <c r="R452" s="53"/>
      <c r="S452" s="53"/>
      <c r="T452" s="53">
        <f>ROUND(SUM(G452:S452),2)</f>
        <v>17609834.359999999</v>
      </c>
      <c r="U452" s="111" t="str">
        <f>IF(ABS(F452-T452)&lt;0.01,"ok","err")</f>
        <v>ok</v>
      </c>
    </row>
    <row r="453" spans="1:21" x14ac:dyDescent="0.2">
      <c r="A453" s="19" t="s">
        <v>4</v>
      </c>
      <c r="D453" s="19" t="s">
        <v>318</v>
      </c>
      <c r="F453" s="49">
        <v>5869684.6399999997</v>
      </c>
      <c r="G453" s="49">
        <f>G449</f>
        <v>1386492.5</v>
      </c>
      <c r="H453" s="49">
        <v>0</v>
      </c>
      <c r="I453" s="49">
        <f>I449</f>
        <v>508361.68844015698</v>
      </c>
      <c r="J453" s="49">
        <f>J449</f>
        <v>2248748.7000000002</v>
      </c>
      <c r="K453" s="49">
        <f>K449</f>
        <v>1630648.7510978046</v>
      </c>
      <c r="L453" s="49">
        <v>95433</v>
      </c>
      <c r="M453" s="49">
        <v>0</v>
      </c>
      <c r="N453" s="53"/>
      <c r="O453" s="53"/>
      <c r="P453" s="53"/>
      <c r="Q453" s="53"/>
      <c r="R453" s="53"/>
      <c r="S453" s="53"/>
      <c r="T453" s="53">
        <f>ROUND(SUM(G453:S453),2)</f>
        <v>5869684.6399999997</v>
      </c>
      <c r="U453" s="111" t="str">
        <f>IF(ABS(F453-T453)&lt;0.01,"ok","err")</f>
        <v>ok</v>
      </c>
    </row>
    <row r="454" spans="1:21" x14ac:dyDescent="0.2">
      <c r="F454" s="49">
        <v>0</v>
      </c>
      <c r="G454" s="49">
        <v>0</v>
      </c>
      <c r="H454" s="49">
        <v>0</v>
      </c>
      <c r="I454" s="49">
        <v>0</v>
      </c>
      <c r="J454" s="49">
        <v>0</v>
      </c>
      <c r="K454" s="49">
        <v>0</v>
      </c>
      <c r="L454" s="49">
        <v>0</v>
      </c>
      <c r="M454" s="49">
        <v>0</v>
      </c>
      <c r="N454" s="53"/>
      <c r="O454" s="53"/>
      <c r="P454" s="53"/>
      <c r="Q454" s="53"/>
      <c r="R454" s="53"/>
      <c r="S454" s="53"/>
      <c r="T454" s="53">
        <v>0</v>
      </c>
      <c r="U454" s="111"/>
    </row>
    <row r="455" spans="1:21" x14ac:dyDescent="0.2">
      <c r="F455" s="48"/>
      <c r="G455" s="48"/>
      <c r="H455" s="48"/>
      <c r="I455" s="48"/>
      <c r="J455" s="48"/>
      <c r="K455" s="48"/>
      <c r="L455" s="48"/>
      <c r="M455" s="48"/>
      <c r="T455" s="53"/>
      <c r="U455" s="111"/>
    </row>
    <row r="456" spans="1:21" x14ac:dyDescent="0.2">
      <c r="A456" s="1" t="s">
        <v>0</v>
      </c>
      <c r="F456" s="48"/>
      <c r="G456" s="48"/>
      <c r="H456" s="48"/>
      <c r="I456" s="48"/>
      <c r="J456" s="48"/>
      <c r="K456" s="227">
        <f>K452/365</f>
        <v>4467.5308249254922</v>
      </c>
      <c r="L456" s="48"/>
      <c r="M456" s="48"/>
    </row>
    <row r="457" spans="1:21" x14ac:dyDescent="0.2">
      <c r="A457" s="48" t="s">
        <v>463</v>
      </c>
      <c r="D457" s="19" t="s">
        <v>312</v>
      </c>
      <c r="F457" s="49">
        <v>85288.19</v>
      </c>
      <c r="G457" s="49">
        <v>22302</v>
      </c>
      <c r="H457" s="49">
        <v>3081</v>
      </c>
      <c r="I457" s="49">
        <v>7749</v>
      </c>
      <c r="J457" s="49">
        <v>21120</v>
      </c>
      <c r="K457" s="49">
        <v>1686.19</v>
      </c>
      <c r="L457" s="49">
        <v>6253</v>
      </c>
      <c r="M457" s="49">
        <v>23097</v>
      </c>
      <c r="N457" s="53"/>
      <c r="O457" s="53"/>
      <c r="P457" s="53"/>
      <c r="Q457" s="53"/>
      <c r="R457" s="53"/>
      <c r="S457" s="53"/>
      <c r="T457" s="53">
        <f>ROUND(SUM(G457:S457),2)</f>
        <v>85288.19</v>
      </c>
      <c r="U457" s="111" t="str">
        <f>IF(ABS(F457-T457)&lt;0.01,"ok","err")</f>
        <v>ok</v>
      </c>
    </row>
    <row r="458" spans="1:21" s="48" customFormat="1" x14ac:dyDescent="0.2">
      <c r="A458" s="48" t="s">
        <v>2</v>
      </c>
      <c r="D458" s="48" t="s">
        <v>314</v>
      </c>
      <c r="F458" s="228">
        <v>1</v>
      </c>
      <c r="G458" s="228">
        <v>0.4247858886148046</v>
      </c>
      <c r="H458" s="228">
        <v>0</v>
      </c>
      <c r="I458" s="228">
        <v>0.14824973672939631</v>
      </c>
      <c r="J458" s="228">
        <v>0.42696437465579912</v>
      </c>
      <c r="K458" s="228">
        <v>0</v>
      </c>
      <c r="L458" s="49">
        <v>0</v>
      </c>
      <c r="M458" s="49">
        <v>0</v>
      </c>
      <c r="N458" s="49"/>
      <c r="O458" s="49"/>
      <c r="P458" s="49"/>
      <c r="Q458" s="49"/>
      <c r="R458" s="49"/>
      <c r="S458" s="49"/>
      <c r="T458" s="115">
        <f>SUM(G458:S458)</f>
        <v>1</v>
      </c>
      <c r="U458" s="116" t="str">
        <f>IF(ABS(F458-T458)&lt;0.01,"ok","err")</f>
        <v>ok</v>
      </c>
    </row>
    <row r="459" spans="1:21" s="48" customFormat="1" x14ac:dyDescent="0.2">
      <c r="F459" s="228"/>
      <c r="G459" s="228">
        <f>G458/$F458</f>
        <v>0.4247858886148046</v>
      </c>
      <c r="H459" s="228">
        <f>H458/$F458</f>
        <v>0</v>
      </c>
      <c r="I459" s="228">
        <f>I458/$F458</f>
        <v>0.14824973672939631</v>
      </c>
      <c r="J459" s="228">
        <f>J458/$F458</f>
        <v>0.42696437465579912</v>
      </c>
      <c r="K459" s="228"/>
      <c r="L459" s="49"/>
      <c r="M459" s="49"/>
      <c r="N459" s="49"/>
      <c r="O459" s="49"/>
      <c r="P459" s="49"/>
      <c r="Q459" s="49"/>
      <c r="R459" s="49"/>
      <c r="S459" s="49"/>
      <c r="T459" s="49"/>
      <c r="U459" s="116"/>
    </row>
    <row r="460" spans="1:21" x14ac:dyDescent="0.2">
      <c r="A460" s="48" t="s">
        <v>3</v>
      </c>
      <c r="D460" s="19" t="s">
        <v>316</v>
      </c>
      <c r="F460" s="49">
        <v>82207.19</v>
      </c>
      <c r="G460" s="49">
        <f t="shared" ref="G460" si="77">G457</f>
        <v>22302</v>
      </c>
      <c r="H460" s="49">
        <v>0</v>
      </c>
      <c r="I460" s="49">
        <f t="shared" ref="I460:M460" si="78">I457</f>
        <v>7749</v>
      </c>
      <c r="J460" s="49">
        <f t="shared" si="78"/>
        <v>21120</v>
      </c>
      <c r="K460" s="49">
        <f t="shared" si="78"/>
        <v>1686.19</v>
      </c>
      <c r="L460" s="49">
        <f t="shared" si="78"/>
        <v>6253</v>
      </c>
      <c r="M460" s="49">
        <f t="shared" si="78"/>
        <v>23097</v>
      </c>
      <c r="N460" s="53"/>
      <c r="O460" s="53"/>
      <c r="P460" s="53"/>
      <c r="Q460" s="53"/>
      <c r="R460" s="53"/>
      <c r="S460" s="53"/>
      <c r="T460" s="53">
        <f>ROUND(SUM(G460:S460),2)</f>
        <v>82207.19</v>
      </c>
      <c r="U460" s="111" t="str">
        <f>IF(ABS(F460-T460)&lt;0.01,"ok","err")</f>
        <v>ok</v>
      </c>
    </row>
    <row r="461" spans="1:21" x14ac:dyDescent="0.2">
      <c r="A461" s="189" t="s">
        <v>818</v>
      </c>
      <c r="D461" s="19" t="s">
        <v>319</v>
      </c>
      <c r="F461" s="49">
        <v>53118.65</v>
      </c>
      <c r="G461" s="49">
        <v>22302</v>
      </c>
      <c r="H461" s="49">
        <v>0</v>
      </c>
      <c r="I461" s="49">
        <v>7749</v>
      </c>
      <c r="J461" s="49">
        <v>21120</v>
      </c>
      <c r="K461" s="49">
        <f>ROUND(615459.75/365,2)</f>
        <v>1686.19</v>
      </c>
      <c r="L461" s="49">
        <f>95433/365</f>
        <v>261.46027397260275</v>
      </c>
      <c r="M461" s="49">
        <v>0</v>
      </c>
      <c r="N461" s="53"/>
      <c r="O461" s="53"/>
      <c r="P461" s="53"/>
      <c r="Q461" s="53"/>
      <c r="R461" s="53"/>
      <c r="S461" s="53"/>
      <c r="T461" s="53">
        <f>ROUND(SUM(G461:S461),2)</f>
        <v>53118.65</v>
      </c>
      <c r="U461" s="111" t="str">
        <f>IF(ABS(F461-T461)&lt;0.01,"ok","err")</f>
        <v>ok</v>
      </c>
    </row>
    <row r="462" spans="1:21" x14ac:dyDescent="0.2">
      <c r="A462" s="189"/>
      <c r="F462" s="49"/>
      <c r="G462" s="49"/>
      <c r="H462" s="49"/>
      <c r="I462" s="49"/>
      <c r="J462" s="49"/>
      <c r="K462" s="49"/>
      <c r="L462" s="49"/>
      <c r="M462" s="49"/>
      <c r="N462" s="53"/>
      <c r="O462" s="53"/>
      <c r="P462" s="53"/>
      <c r="Q462" s="53"/>
      <c r="R462" s="53"/>
      <c r="S462" s="53"/>
      <c r="T462" s="53"/>
      <c r="U462" s="111"/>
    </row>
    <row r="463" spans="1:21" x14ac:dyDescent="0.2">
      <c r="A463" s="68" t="s">
        <v>819</v>
      </c>
      <c r="F463" s="49"/>
      <c r="G463" s="49"/>
      <c r="H463" s="49"/>
      <c r="I463" s="49"/>
      <c r="J463" s="49"/>
      <c r="K463" s="49"/>
      <c r="L463" s="49"/>
      <c r="M463" s="49"/>
      <c r="N463" s="53"/>
      <c r="O463" s="53"/>
      <c r="P463" s="53"/>
      <c r="Q463" s="53"/>
      <c r="R463" s="53"/>
      <c r="S463" s="53"/>
      <c r="T463" s="53"/>
      <c r="U463" s="111"/>
    </row>
    <row r="464" spans="1:21" x14ac:dyDescent="0.2">
      <c r="A464" s="17" t="s">
        <v>820</v>
      </c>
      <c r="D464" s="17" t="s">
        <v>834</v>
      </c>
      <c r="F464" s="49">
        <v>53118.65</v>
      </c>
      <c r="G464" s="49">
        <f>G461</f>
        <v>22302</v>
      </c>
      <c r="H464" s="49">
        <f t="shared" ref="H464:M464" si="79">H461</f>
        <v>0</v>
      </c>
      <c r="I464" s="49">
        <f t="shared" si="79"/>
        <v>7749</v>
      </c>
      <c r="J464" s="49">
        <f t="shared" si="79"/>
        <v>21120</v>
      </c>
      <c r="K464" s="49">
        <f t="shared" si="79"/>
        <v>1686.19</v>
      </c>
      <c r="L464" s="49">
        <f t="shared" si="79"/>
        <v>261.46027397260275</v>
      </c>
      <c r="M464" s="49">
        <f t="shared" si="79"/>
        <v>0</v>
      </c>
      <c r="N464" s="53"/>
      <c r="O464" s="53"/>
      <c r="P464" s="53"/>
      <c r="Q464" s="53"/>
      <c r="R464" s="53"/>
      <c r="S464" s="53"/>
      <c r="T464" s="53">
        <f>ROUND(SUM(G464:S464),2)</f>
        <v>53118.65</v>
      </c>
      <c r="U464" s="111" t="str">
        <f>IF(ABS(F464-T464)&lt;0.01,"ok","err")</f>
        <v>ok</v>
      </c>
    </row>
    <row r="465" spans="1:21" x14ac:dyDescent="0.2">
      <c r="A465" s="17" t="s">
        <v>822</v>
      </c>
      <c r="F465" s="49">
        <f>F120</f>
        <v>99298.86267444602</v>
      </c>
      <c r="G465" s="49"/>
      <c r="H465" s="49"/>
      <c r="I465" s="49"/>
      <c r="J465" s="49"/>
      <c r="K465" s="49"/>
      <c r="L465" s="49"/>
      <c r="M465" s="49"/>
      <c r="N465" s="53"/>
      <c r="O465" s="53"/>
      <c r="P465" s="53"/>
      <c r="Q465" s="53"/>
      <c r="R465" s="53"/>
      <c r="S465" s="53"/>
      <c r="T465" s="53"/>
      <c r="U465" s="111"/>
    </row>
    <row r="466" spans="1:21" x14ac:dyDescent="0.2">
      <c r="A466" s="61" t="s">
        <v>726</v>
      </c>
      <c r="F466" s="49">
        <v>54966.922978831935</v>
      </c>
      <c r="G466" s="49">
        <v>0</v>
      </c>
      <c r="H466" s="49">
        <v>54966.922978831935</v>
      </c>
      <c r="I466" s="49">
        <v>0</v>
      </c>
      <c r="J466" s="49">
        <v>0</v>
      </c>
      <c r="K466" s="49">
        <v>0</v>
      </c>
      <c r="L466" s="49">
        <v>0</v>
      </c>
      <c r="M466" s="49">
        <v>0</v>
      </c>
      <c r="N466" s="53"/>
      <c r="O466" s="53"/>
      <c r="P466" s="53"/>
      <c r="Q466" s="53"/>
      <c r="R466" s="53"/>
      <c r="S466" s="53"/>
      <c r="T466" s="53">
        <f>ROUND(SUM(G466:S466),2)</f>
        <v>54966.92</v>
      </c>
      <c r="U466" s="111" t="str">
        <f>IF(ABS(F466-T466)&lt;0.01,"ok","err")</f>
        <v>ok</v>
      </c>
    </row>
    <row r="467" spans="1:21" x14ac:dyDescent="0.2">
      <c r="A467" s="17" t="s">
        <v>851</v>
      </c>
      <c r="E467" s="17" t="s">
        <v>834</v>
      </c>
      <c r="F467" s="49">
        <f>F465-F466</f>
        <v>44331.939695614084</v>
      </c>
      <c r="G467" s="132">
        <f>(VLOOKUP($E467,$D$4:$AH$583,4,)/VLOOKUP($E467,$D$4:$AH$583,3,))*$F467</f>
        <v>18612.877380949729</v>
      </c>
      <c r="H467" s="132">
        <f>(VLOOKUP($E467,$D$4:$AH$583,5,)/VLOOKUP($E467,$D$4:$AH$583,3,))*$F467</f>
        <v>0</v>
      </c>
      <c r="I467" s="132">
        <f>(VLOOKUP($E467,$D$4:$AH$583,6,)/VLOOKUP($E467,$D$4:$AH$583,3,))*$F467</f>
        <v>6467.1862086350748</v>
      </c>
      <c r="J467" s="132">
        <f>(VLOOKUP($E467,$D$4:$AH$583,7,)/VLOOKUP($E467,$D$4:$AH$583,3,))*$F467</f>
        <v>17626.399887259358</v>
      </c>
      <c r="K467" s="132">
        <f>(VLOOKUP($E467,$D$4:$AH$583,8,)/VLOOKUP($E467,$D$4:$AH$583,3,))*$F467</f>
        <v>1407.266061832285</v>
      </c>
      <c r="L467" s="132">
        <f>(VLOOKUP($E467,$D$4:$AH$583,9,)/VLOOKUP($E467,$D$4:$AH$583,3,))*$F467</f>
        <v>218.21038559060071</v>
      </c>
      <c r="M467" s="132">
        <f>(VLOOKUP($E467,$D$4:$AH$583,10,)/VLOOKUP($E467,$D$4:$AH$583,3,))*$F467</f>
        <v>0</v>
      </c>
      <c r="N467" s="84">
        <f>(VLOOKUP($E467,$D$4:$AH$583,11,)/VLOOKUP($E467,$D$4:$AH$583,3,))*$F467</f>
        <v>0</v>
      </c>
      <c r="O467" s="84">
        <f>(VLOOKUP($E467,$D$4:$AH$583,12,)/VLOOKUP($E467,$D$4:$AH$583,3,))*$F467</f>
        <v>0</v>
      </c>
      <c r="P467" s="84">
        <f>(VLOOKUP($E467,$D$4:$AH$583,13,)/VLOOKUP($E467,$D$4:$AH$583,3,))*$F467</f>
        <v>0</v>
      </c>
      <c r="Q467" s="84">
        <f>(VLOOKUP($E467,$D$4:$AH$583,14,)/VLOOKUP($E467,$D$4:$AH$583,3,))*$F467</f>
        <v>0</v>
      </c>
      <c r="R467" s="84">
        <f>(VLOOKUP($E467,$D$4:$AH$583,15,)/VLOOKUP($E467,$D$4:$AH$583,3,))*$F467</f>
        <v>0</v>
      </c>
      <c r="S467" s="84">
        <f>(VLOOKUP($E467,$D$4:$AH$583,16,)/VLOOKUP($E467,$D$4:$AH$583,3,))*$F467</f>
        <v>0</v>
      </c>
      <c r="T467" s="34">
        <f>SUM(G467:S467)</f>
        <v>44331.939924267048</v>
      </c>
      <c r="U467" s="85" t="str">
        <f t="shared" ref="U467" si="80">IF(ABS(F467-T467)&lt;0.01,"ok","err")</f>
        <v>ok</v>
      </c>
    </row>
    <row r="468" spans="1:21" x14ac:dyDescent="0.2">
      <c r="A468" s="17" t="s">
        <v>852</v>
      </c>
      <c r="F468" s="49">
        <f>F466+F467</f>
        <v>99298.86267444602</v>
      </c>
      <c r="G468" s="49">
        <f t="shared" ref="G468:M468" si="81">G466+G467</f>
        <v>18612.877380949729</v>
      </c>
      <c r="H468" s="49">
        <f t="shared" si="81"/>
        <v>54966.922978831935</v>
      </c>
      <c r="I468" s="49">
        <f t="shared" si="81"/>
        <v>6467.1862086350748</v>
      </c>
      <c r="J468" s="49">
        <f t="shared" si="81"/>
        <v>17626.399887259358</v>
      </c>
      <c r="K468" s="49">
        <f t="shared" si="81"/>
        <v>1407.266061832285</v>
      </c>
      <c r="L468" s="49">
        <f t="shared" si="81"/>
        <v>218.21038559060071</v>
      </c>
      <c r="M468" s="49">
        <f t="shared" si="81"/>
        <v>0</v>
      </c>
      <c r="N468" s="53"/>
      <c r="O468" s="53"/>
      <c r="P468" s="53"/>
      <c r="Q468" s="53"/>
      <c r="R468" s="53"/>
      <c r="S468" s="53"/>
      <c r="T468" s="34">
        <f>SUM(G468:S468)</f>
        <v>99298.862903098969</v>
      </c>
      <c r="U468" s="85" t="str">
        <f t="shared" ref="U468" si="82">IF(ABS(F468-T468)&lt;0.01,"ok","err")</f>
        <v>ok</v>
      </c>
    </row>
    <row r="469" spans="1:21" x14ac:dyDescent="0.2">
      <c r="A469" s="17" t="s">
        <v>821</v>
      </c>
      <c r="D469" s="17" t="s">
        <v>823</v>
      </c>
      <c r="F469" s="228">
        <v>1</v>
      </c>
      <c r="G469" s="115">
        <f>G468/$F$468</f>
        <v>0.18744300669356653</v>
      </c>
      <c r="H469" s="115">
        <f t="shared" ref="H469:M469" si="83">H468/$F$468</f>
        <v>0.55355037810495844</v>
      </c>
      <c r="I469" s="115">
        <f t="shared" si="83"/>
        <v>6.5128502325730739E-2</v>
      </c>
      <c r="J469" s="115">
        <f t="shared" si="83"/>
        <v>0.17750857776738072</v>
      </c>
      <c r="K469" s="115">
        <f t="shared" si="83"/>
        <v>1.4172025982271765E-2</v>
      </c>
      <c r="L469" s="115">
        <f t="shared" si="83"/>
        <v>2.1975114287664031E-3</v>
      </c>
      <c r="M469" s="115">
        <f t="shared" si="83"/>
        <v>0</v>
      </c>
      <c r="N469" s="53"/>
      <c r="O469" s="53"/>
      <c r="P469" s="53"/>
      <c r="Q469" s="53"/>
      <c r="R469" s="53"/>
      <c r="S469" s="53"/>
      <c r="T469" s="201">
        <f t="shared" ref="T469" si="84">SUM(G469:S469)</f>
        <v>1.0000000023026745</v>
      </c>
      <c r="U469" s="85" t="str">
        <f t="shared" ref="U469" si="85">IF(ABS(F469-T469)&lt;0.01,"ok","err")</f>
        <v>ok</v>
      </c>
    </row>
    <row r="470" spans="1:21" x14ac:dyDescent="0.2">
      <c r="A470" s="48"/>
      <c r="F470" s="49"/>
      <c r="G470" s="49"/>
      <c r="H470" s="49"/>
      <c r="I470" s="49"/>
      <c r="J470" s="49"/>
      <c r="K470" s="49"/>
      <c r="L470" s="49"/>
      <c r="M470" s="49"/>
      <c r="N470" s="53"/>
      <c r="O470" s="53"/>
      <c r="P470" s="53"/>
      <c r="Q470" s="53"/>
      <c r="R470" s="53"/>
      <c r="S470" s="53"/>
      <c r="T470" s="34"/>
      <c r="U470" s="85"/>
    </row>
    <row r="471" spans="1:21" x14ac:dyDescent="0.2">
      <c r="A471" s="48" t="s">
        <v>7</v>
      </c>
      <c r="D471" s="19" t="s">
        <v>320</v>
      </c>
      <c r="F471" s="49">
        <v>50562.65</v>
      </c>
      <c r="G471" s="229">
        <v>22233</v>
      </c>
      <c r="H471" s="229">
        <v>0</v>
      </c>
      <c r="I471" s="229">
        <v>7680</v>
      </c>
      <c r="J471" s="229">
        <v>18702</v>
      </c>
      <c r="K471" s="49">
        <f>K461</f>
        <v>1686.19</v>
      </c>
      <c r="L471" s="230">
        <f>L461</f>
        <v>261.46027397260275</v>
      </c>
      <c r="M471" s="229">
        <v>0</v>
      </c>
      <c r="N471" s="203"/>
      <c r="O471" s="203"/>
      <c r="P471" s="203"/>
      <c r="Q471" s="203"/>
      <c r="R471" s="203"/>
      <c r="S471" s="203"/>
      <c r="T471" s="53">
        <f>ROUND(SUM(G471:S471),2)</f>
        <v>50562.65</v>
      </c>
      <c r="U471" s="111" t="str">
        <f>IF(ABS(F471-T471)&lt;0.01,"ok","err")</f>
        <v>ok</v>
      </c>
    </row>
    <row r="472" spans="1:21" x14ac:dyDescent="0.2">
      <c r="A472" s="48"/>
      <c r="F472" s="49"/>
      <c r="G472" s="49"/>
      <c r="H472" s="49"/>
      <c r="I472" s="49"/>
      <c r="J472" s="49"/>
      <c r="K472" s="49"/>
      <c r="L472" s="49"/>
      <c r="M472" s="49"/>
      <c r="N472" s="53"/>
      <c r="O472" s="53"/>
      <c r="P472" s="53"/>
      <c r="Q472" s="53"/>
      <c r="R472" s="53"/>
      <c r="S472" s="53"/>
      <c r="T472" s="53"/>
      <c r="U472" s="111"/>
    </row>
    <row r="473" spans="1:21" x14ac:dyDescent="0.2">
      <c r="A473" s="68" t="s">
        <v>824</v>
      </c>
      <c r="F473" s="49"/>
      <c r="G473" s="49"/>
      <c r="H473" s="49"/>
      <c r="I473" s="49"/>
      <c r="J473" s="49"/>
      <c r="K473" s="49"/>
      <c r="L473" s="49"/>
      <c r="M473" s="49"/>
      <c r="N473" s="53"/>
      <c r="O473" s="53"/>
      <c r="P473" s="53"/>
      <c r="Q473" s="53"/>
      <c r="R473" s="53"/>
      <c r="S473" s="53"/>
      <c r="T473" s="53"/>
      <c r="U473" s="111"/>
    </row>
    <row r="474" spans="1:21" x14ac:dyDescent="0.2">
      <c r="A474" s="17" t="s">
        <v>826</v>
      </c>
      <c r="D474" s="17" t="s">
        <v>835</v>
      </c>
      <c r="F474" s="49">
        <v>50562.65</v>
      </c>
      <c r="G474" s="49">
        <f>G471</f>
        <v>22233</v>
      </c>
      <c r="H474" s="49">
        <f t="shared" ref="H474:M474" si="86">H471</f>
        <v>0</v>
      </c>
      <c r="I474" s="49">
        <f t="shared" si="86"/>
        <v>7680</v>
      </c>
      <c r="J474" s="49">
        <f t="shared" si="86"/>
        <v>18702</v>
      </c>
      <c r="K474" s="49">
        <f t="shared" si="86"/>
        <v>1686.19</v>
      </c>
      <c r="L474" s="49">
        <f t="shared" si="86"/>
        <v>261.46027397260275</v>
      </c>
      <c r="M474" s="49">
        <f t="shared" si="86"/>
        <v>0</v>
      </c>
      <c r="N474" s="53"/>
      <c r="O474" s="53"/>
      <c r="P474" s="53"/>
      <c r="Q474" s="53"/>
      <c r="R474" s="53"/>
      <c r="S474" s="53"/>
      <c r="T474" s="53">
        <f>ROUND(SUM(G474:S474),2)</f>
        <v>50562.65</v>
      </c>
      <c r="U474" s="111" t="str">
        <f>IF(ABS(F474-T474)&lt;0.01,"ok","err")</f>
        <v>ok</v>
      </c>
    </row>
    <row r="475" spans="1:21" x14ac:dyDescent="0.2">
      <c r="A475" s="17" t="s">
        <v>827</v>
      </c>
      <c r="F475" s="49">
        <f>F125</f>
        <v>776431.55366657977</v>
      </c>
      <c r="G475" s="49"/>
      <c r="H475" s="49"/>
      <c r="I475" s="49"/>
      <c r="J475" s="49"/>
      <c r="K475" s="49"/>
      <c r="L475" s="49"/>
      <c r="M475" s="49"/>
      <c r="N475" s="53"/>
      <c r="O475" s="53"/>
      <c r="P475" s="53"/>
      <c r="Q475" s="53"/>
      <c r="R475" s="53"/>
      <c r="S475" s="53"/>
      <c r="T475" s="53"/>
      <c r="U475" s="111"/>
    </row>
    <row r="476" spans="1:21" x14ac:dyDescent="0.2">
      <c r="A476" s="61" t="s">
        <v>726</v>
      </c>
      <c r="F476" s="49">
        <v>1090.1220273483402</v>
      </c>
      <c r="G476" s="49">
        <v>0</v>
      </c>
      <c r="H476" s="49">
        <v>1090.1220273483402</v>
      </c>
      <c r="I476" s="49">
        <v>0</v>
      </c>
      <c r="J476" s="49">
        <v>0</v>
      </c>
      <c r="K476" s="49">
        <v>0</v>
      </c>
      <c r="L476" s="49">
        <v>0</v>
      </c>
      <c r="M476" s="49">
        <v>0</v>
      </c>
      <c r="N476" s="53"/>
      <c r="O476" s="53"/>
      <c r="P476" s="53"/>
      <c r="Q476" s="53"/>
      <c r="R476" s="53"/>
      <c r="S476" s="53"/>
      <c r="T476" s="53">
        <f>ROUND(SUM(G476:S476),2)</f>
        <v>1090.1199999999999</v>
      </c>
      <c r="U476" s="111" t="str">
        <f>IF(ABS(F476-T476)&lt;0.01,"ok","err")</f>
        <v>ok</v>
      </c>
    </row>
    <row r="477" spans="1:21" x14ac:dyDescent="0.2">
      <c r="A477" s="17" t="s">
        <v>853</v>
      </c>
      <c r="E477" s="17" t="s">
        <v>835</v>
      </c>
      <c r="F477" s="49">
        <f>F475-F476</f>
        <v>775341.43163923139</v>
      </c>
      <c r="G477" s="132">
        <f>(VLOOKUP($E477,$D$4:$AH$583,4,)/VLOOKUP($E477,$D$4:$AH$583,3,))*$F477</f>
        <v>340926.87091430201</v>
      </c>
      <c r="H477" s="132">
        <f>(VLOOKUP($E477,$D$4:$AH$583,5,)/VLOOKUP($E477,$D$4:$AH$583,3,))*$F477</f>
        <v>0</v>
      </c>
      <c r="I477" s="132">
        <f>(VLOOKUP($E477,$D$4:$AH$583,6,)/VLOOKUP($E477,$D$4:$AH$583,3,))*$F477</f>
        <v>117767.20949137944</v>
      </c>
      <c r="J477" s="132">
        <f>(VLOOKUP($E477,$D$4:$AH$583,7,)/VLOOKUP($E477,$D$4:$AH$583,3,))*$F477</f>
        <v>286781.55623799196</v>
      </c>
      <c r="K477" s="132">
        <f>(VLOOKUP($E477,$D$4:$AH$583,8,)/VLOOKUP($E477,$D$4:$AH$583,3,))*$F477</f>
        <v>25856.496220347544</v>
      </c>
      <c r="L477" s="132">
        <f>(VLOOKUP($E477,$D$4:$AH$583,9,)/VLOOKUP($E477,$D$4:$AH$583,3,))*$F477</f>
        <v>4009.3029763808559</v>
      </c>
      <c r="M477" s="132">
        <f>(VLOOKUP($E477,$D$4:$AH$583,10,)/VLOOKUP($E477,$D$4:$AH$583,3,))*$F477</f>
        <v>0</v>
      </c>
      <c r="N477" s="84">
        <f>(VLOOKUP($E477,$D$4:$AH$583,11,)/VLOOKUP($E477,$D$4:$AH$583,3,))*$F477</f>
        <v>0</v>
      </c>
      <c r="O477" s="84">
        <f>(VLOOKUP($E477,$D$4:$AH$583,12,)/VLOOKUP($E477,$D$4:$AH$583,3,))*$F477</f>
        <v>0</v>
      </c>
      <c r="P477" s="84">
        <f>(VLOOKUP($E477,$D$4:$AH$583,13,)/VLOOKUP($E477,$D$4:$AH$583,3,))*$F477</f>
        <v>0</v>
      </c>
      <c r="Q477" s="84">
        <f>(VLOOKUP($E477,$D$4:$AH$583,14,)/VLOOKUP($E477,$D$4:$AH$583,3,))*$F477</f>
        <v>0</v>
      </c>
      <c r="R477" s="84">
        <f>(VLOOKUP($E477,$D$4:$AH$583,15,)/VLOOKUP($E477,$D$4:$AH$583,3,))*$F477</f>
        <v>0</v>
      </c>
      <c r="S477" s="84">
        <f>(VLOOKUP($E477,$D$4:$AH$583,16,)/VLOOKUP($E477,$D$4:$AH$583,3,))*$F477</f>
        <v>0</v>
      </c>
      <c r="T477" s="34">
        <f>SUM(G477:S477)</f>
        <v>775341.4358404018</v>
      </c>
      <c r="U477" s="85" t="str">
        <f>IF(ABS(F477-T477)&lt;0.1,"ok","err")</f>
        <v>ok</v>
      </c>
    </row>
    <row r="478" spans="1:21" x14ac:dyDescent="0.2">
      <c r="A478" s="17" t="s">
        <v>854</v>
      </c>
      <c r="F478" s="49">
        <f>F476+F477</f>
        <v>776431.55366657977</v>
      </c>
      <c r="G478" s="49">
        <f t="shared" ref="G478" si="87">G476+G477</f>
        <v>340926.87091430201</v>
      </c>
      <c r="H478" s="49">
        <f t="shared" ref="H478" si="88">H476+H477</f>
        <v>1090.1220273483402</v>
      </c>
      <c r="I478" s="49">
        <f t="shared" ref="I478" si="89">I476+I477</f>
        <v>117767.20949137944</v>
      </c>
      <c r="J478" s="49">
        <f t="shared" ref="J478" si="90">J476+J477</f>
        <v>286781.55623799196</v>
      </c>
      <c r="K478" s="49">
        <f t="shared" ref="K478" si="91">K476+K477</f>
        <v>25856.496220347544</v>
      </c>
      <c r="L478" s="49">
        <f t="shared" ref="L478" si="92">L476+L477</f>
        <v>4009.3029763808559</v>
      </c>
      <c r="M478" s="49">
        <f t="shared" ref="M478" si="93">M476+M477</f>
        <v>0</v>
      </c>
      <c r="N478" s="53"/>
      <c r="O478" s="53"/>
      <c r="P478" s="53"/>
      <c r="Q478" s="53"/>
      <c r="R478" s="53"/>
      <c r="S478" s="53"/>
      <c r="T478" s="34">
        <f>SUM(G478:S478)</f>
        <v>776431.55786775018</v>
      </c>
      <c r="U478" s="85" t="str">
        <f>IF(ABS(F478-T478)&lt;0.1,"ok","err")</f>
        <v>ok</v>
      </c>
    </row>
    <row r="479" spans="1:21" x14ac:dyDescent="0.2">
      <c r="A479" s="17" t="s">
        <v>828</v>
      </c>
      <c r="D479" s="17" t="s">
        <v>825</v>
      </c>
      <c r="F479" s="228">
        <v>1</v>
      </c>
      <c r="G479" s="115">
        <f>G478/$F$478</f>
        <v>0.43909455933923186</v>
      </c>
      <c r="H479" s="115">
        <f t="shared" ref="H479:M479" si="94">H478/$F$478</f>
        <v>1.404015617603902E-3</v>
      </c>
      <c r="I479" s="115">
        <f t="shared" si="94"/>
        <v>0.15167751611232405</v>
      </c>
      <c r="J479" s="115">
        <f t="shared" si="94"/>
        <v>0.36935845134540157</v>
      </c>
      <c r="K479" s="115">
        <f t="shared" si="94"/>
        <v>3.33017071475833E-2</v>
      </c>
      <c r="L479" s="115">
        <f t="shared" si="94"/>
        <v>5.1637558487255359E-3</v>
      </c>
      <c r="M479" s="115">
        <f t="shared" si="94"/>
        <v>0</v>
      </c>
      <c r="N479" s="53"/>
      <c r="O479" s="53"/>
      <c r="P479" s="53"/>
      <c r="Q479" s="53"/>
      <c r="R479" s="53"/>
      <c r="S479" s="53"/>
      <c r="T479" s="201">
        <f t="shared" ref="T479" si="95">SUM(G479:S479)</f>
        <v>1.0000000054108702</v>
      </c>
      <c r="U479" s="85" t="str">
        <f t="shared" ref="U479" si="96">IF(ABS(F479-T479)&lt;0.01,"ok","err")</f>
        <v>ok</v>
      </c>
    </row>
    <row r="480" spans="1:21" x14ac:dyDescent="0.2">
      <c r="A480" s="17"/>
      <c r="D480" s="17"/>
      <c r="F480" s="228"/>
      <c r="G480" s="115"/>
      <c r="H480" s="115"/>
      <c r="I480" s="115"/>
      <c r="J480" s="115"/>
      <c r="K480" s="115"/>
      <c r="L480" s="115"/>
      <c r="M480" s="115"/>
      <c r="N480" s="53"/>
      <c r="O480" s="53"/>
      <c r="P480" s="53"/>
      <c r="Q480" s="53"/>
      <c r="R480" s="53"/>
      <c r="S480" s="53"/>
      <c r="T480" s="201"/>
      <c r="U480" s="85"/>
    </row>
    <row r="481" spans="1:21" x14ac:dyDescent="0.2">
      <c r="A481" s="1" t="s">
        <v>8</v>
      </c>
      <c r="F481" s="48"/>
      <c r="G481" s="48"/>
      <c r="H481" s="48"/>
      <c r="I481" s="48"/>
      <c r="J481" s="48"/>
      <c r="K481" s="48"/>
      <c r="L481" s="48"/>
      <c r="M481" s="48"/>
    </row>
    <row r="482" spans="1:21" x14ac:dyDescent="0.2">
      <c r="A482" s="19" t="s">
        <v>647</v>
      </c>
      <c r="D482" s="19" t="s">
        <v>321</v>
      </c>
      <c r="F482" s="49">
        <v>36425</v>
      </c>
      <c r="G482" s="49">
        <v>30980</v>
      </c>
      <c r="H482" s="49">
        <v>0</v>
      </c>
      <c r="I482" s="49">
        <v>4361</v>
      </c>
      <c r="J482" s="49">
        <v>1014</v>
      </c>
      <c r="K482" s="49">
        <v>67</v>
      </c>
      <c r="L482" s="49">
        <v>3</v>
      </c>
      <c r="M482" s="49">
        <v>0</v>
      </c>
      <c r="N482" s="53"/>
      <c r="O482" s="53"/>
      <c r="P482" s="53"/>
      <c r="Q482" s="53"/>
      <c r="R482" s="53"/>
      <c r="S482" s="53"/>
      <c r="T482" s="53">
        <f>ROUND(SUM(G482:S482),2)</f>
        <v>36425</v>
      </c>
      <c r="U482" s="111" t="str">
        <f>IF(ABS(F482-T482)&lt;0.01,"ok","err")</f>
        <v>ok</v>
      </c>
    </row>
    <row r="483" spans="1:21" x14ac:dyDescent="0.2">
      <c r="F483" s="49"/>
      <c r="G483" s="49"/>
      <c r="H483" s="49"/>
      <c r="I483" s="49"/>
      <c r="J483" s="49"/>
      <c r="K483" s="49"/>
      <c r="L483" s="49"/>
      <c r="M483" s="49"/>
      <c r="N483" s="53"/>
      <c r="O483" s="53"/>
      <c r="P483" s="53"/>
      <c r="Q483" s="53"/>
      <c r="R483" s="53"/>
      <c r="S483" s="53"/>
      <c r="T483" s="53"/>
      <c r="U483" s="111"/>
    </row>
    <row r="484" spans="1:21" x14ac:dyDescent="0.2">
      <c r="A484" s="68" t="s">
        <v>824</v>
      </c>
      <c r="F484" s="49"/>
      <c r="G484" s="49"/>
      <c r="H484" s="49"/>
      <c r="I484" s="49"/>
      <c r="J484" s="49"/>
      <c r="K484" s="49"/>
      <c r="L484" s="49"/>
      <c r="M484" s="49"/>
      <c r="N484" s="53"/>
      <c r="O484" s="53"/>
      <c r="P484" s="53"/>
      <c r="Q484" s="53"/>
      <c r="R484" s="53"/>
      <c r="S484" s="53"/>
      <c r="T484" s="53"/>
      <c r="U484" s="111"/>
    </row>
    <row r="485" spans="1:21" x14ac:dyDescent="0.2">
      <c r="A485" s="17" t="s">
        <v>865</v>
      </c>
      <c r="D485" s="17" t="s">
        <v>866</v>
      </c>
      <c r="F485" s="49">
        <v>35832.050000000003</v>
      </c>
      <c r="G485" s="49">
        <f>G513</f>
        <v>30465</v>
      </c>
      <c r="H485" s="49">
        <f t="shared" ref="H485:M485" si="97">H482</f>
        <v>0</v>
      </c>
      <c r="I485" s="49">
        <f>I513</f>
        <v>4325.3999999999996</v>
      </c>
      <c r="J485" s="49">
        <f t="shared" ref="J485:L485" si="98">J513</f>
        <v>1002.9</v>
      </c>
      <c r="K485" s="49">
        <f t="shared" si="98"/>
        <v>35.75</v>
      </c>
      <c r="L485" s="49">
        <f t="shared" si="98"/>
        <v>3</v>
      </c>
      <c r="M485" s="49">
        <f t="shared" si="97"/>
        <v>0</v>
      </c>
      <c r="N485" s="53"/>
      <c r="O485" s="53"/>
      <c r="P485" s="53"/>
      <c r="Q485" s="53"/>
      <c r="R485" s="53"/>
      <c r="S485" s="53"/>
      <c r="T485" s="53">
        <f>ROUND(SUM(G485:S485),2)</f>
        <v>35832.050000000003</v>
      </c>
      <c r="U485" s="111" t="str">
        <f>IF(ABS(F485-T485)&lt;0.01,"ok","err")</f>
        <v>ok</v>
      </c>
    </row>
    <row r="486" spans="1:21" x14ac:dyDescent="0.2">
      <c r="A486" s="17" t="s">
        <v>827</v>
      </c>
      <c r="F486" s="49">
        <f>F126</f>
        <v>1908324.8559688968</v>
      </c>
      <c r="G486" s="49"/>
      <c r="H486" s="49"/>
      <c r="I486" s="49"/>
      <c r="J486" s="49"/>
      <c r="K486" s="49"/>
      <c r="L486" s="49"/>
      <c r="M486" s="49"/>
      <c r="N486" s="53"/>
      <c r="O486" s="53"/>
      <c r="P486" s="53"/>
      <c r="Q486" s="53"/>
      <c r="R486" s="53"/>
      <c r="S486" s="53"/>
      <c r="T486" s="53"/>
      <c r="U486" s="111"/>
    </row>
    <row r="487" spans="1:21" x14ac:dyDescent="0.2">
      <c r="A487" s="61" t="s">
        <v>726</v>
      </c>
      <c r="F487" s="49">
        <v>2679.3179012420478</v>
      </c>
      <c r="G487" s="49">
        <v>0</v>
      </c>
      <c r="H487" s="49">
        <v>2679.3179012420478</v>
      </c>
      <c r="I487" s="49">
        <v>0</v>
      </c>
      <c r="J487" s="49">
        <v>0</v>
      </c>
      <c r="K487" s="49">
        <v>0</v>
      </c>
      <c r="L487" s="49">
        <v>0</v>
      </c>
      <c r="M487" s="49">
        <v>0</v>
      </c>
      <c r="N487" s="53"/>
      <c r="O487" s="53"/>
      <c r="P487" s="53"/>
      <c r="Q487" s="53"/>
      <c r="R487" s="53"/>
      <c r="S487" s="53"/>
      <c r="T487" s="53">
        <f>ROUND(SUM(G487:S487),2)</f>
        <v>2679.32</v>
      </c>
      <c r="U487" s="111" t="str">
        <f>IF(ABS(F487-T487)&lt;0.01,"ok","err")</f>
        <v>ok</v>
      </c>
    </row>
    <row r="488" spans="1:21" x14ac:dyDescent="0.2">
      <c r="A488" s="17" t="s">
        <v>853</v>
      </c>
      <c r="E488" s="17" t="s">
        <v>866</v>
      </c>
      <c r="F488" s="49">
        <f>F486-F487</f>
        <v>1905645.5380676547</v>
      </c>
      <c r="G488" s="132">
        <f>(VLOOKUP($E488,$D$4:$AH$583,4,)/VLOOKUP($E488,$D$4:$AH$583,3,))*$F488</f>
        <v>1620211.2722334084</v>
      </c>
      <c r="H488" s="132">
        <f>(VLOOKUP($E488,$D$4:$AH$583,5,)/VLOOKUP($E488,$D$4:$AH$583,3,))*$F488</f>
        <v>0</v>
      </c>
      <c r="I488" s="132">
        <f>(VLOOKUP($E488,$D$4:$AH$583,6,)/VLOOKUP($E488,$D$4:$AH$583,3,))*$F488</f>
        <v>230036.49554959408</v>
      </c>
      <c r="J488" s="132">
        <f>(VLOOKUP($E488,$D$4:$AH$583,7,)/VLOOKUP($E488,$D$4:$AH$583,3,))*$F488</f>
        <v>53336.940256782706</v>
      </c>
      <c r="K488" s="132">
        <f>(VLOOKUP($E488,$D$4:$AH$583,8,)/VLOOKUP($E488,$D$4:$AH$583,3,))*$F488</f>
        <v>1901.2818966796108</v>
      </c>
      <c r="L488" s="132">
        <f>(VLOOKUP($E488,$D$4:$AH$583,9,)/VLOOKUP($E488,$D$4:$AH$583,3,))*$F488</f>
        <v>159.54813118989742</v>
      </c>
      <c r="M488" s="132">
        <f>(VLOOKUP($E488,$D$4:$AH$583,10,)/VLOOKUP($E488,$D$4:$AH$583,3,))*$F488</f>
        <v>0</v>
      </c>
      <c r="N488" s="84">
        <f>(VLOOKUP($E488,$D$4:$AH$583,11,)/VLOOKUP($E488,$D$4:$AH$583,3,))*$F488</f>
        <v>0</v>
      </c>
      <c r="O488" s="84">
        <f>(VLOOKUP($E488,$D$4:$AH$583,12,)/VLOOKUP($E488,$D$4:$AH$583,3,))*$F488</f>
        <v>0</v>
      </c>
      <c r="P488" s="84">
        <f>(VLOOKUP($E488,$D$4:$AH$583,13,)/VLOOKUP($E488,$D$4:$AH$583,3,))*$F488</f>
        <v>0</v>
      </c>
      <c r="Q488" s="84">
        <f>(VLOOKUP($E488,$D$4:$AH$583,14,)/VLOOKUP($E488,$D$4:$AH$583,3,))*$F488</f>
        <v>0</v>
      </c>
      <c r="R488" s="84">
        <f>(VLOOKUP($E488,$D$4:$AH$583,15,)/VLOOKUP($E488,$D$4:$AH$583,3,))*$F488</f>
        <v>0</v>
      </c>
      <c r="S488" s="84">
        <f>(VLOOKUP($E488,$D$4:$AH$583,16,)/VLOOKUP($E488,$D$4:$AH$583,3,))*$F488</f>
        <v>0</v>
      </c>
      <c r="T488" s="34">
        <f>SUM(G488:S488)</f>
        <v>1905645.5380676549</v>
      </c>
      <c r="U488" s="85" t="str">
        <f t="shared" ref="U488:U490" si="99">IF(ABS(F488-T488)&lt;0.01,"ok","err")</f>
        <v>ok</v>
      </c>
    </row>
    <row r="489" spans="1:21" x14ac:dyDescent="0.2">
      <c r="A489" s="17" t="s">
        <v>854</v>
      </c>
      <c r="F489" s="49">
        <f>F487+F488</f>
        <v>1908324.8559688968</v>
      </c>
      <c r="G489" s="49">
        <f t="shared" ref="G489" si="100">G487+G488</f>
        <v>1620211.2722334084</v>
      </c>
      <c r="H489" s="49">
        <f t="shared" ref="H489" si="101">H487+H488</f>
        <v>2679.3179012420478</v>
      </c>
      <c r="I489" s="49">
        <f t="shared" ref="I489" si="102">I487+I488</f>
        <v>230036.49554959408</v>
      </c>
      <c r="J489" s="49">
        <f t="shared" ref="J489" si="103">J487+J488</f>
        <v>53336.940256782706</v>
      </c>
      <c r="K489" s="49">
        <f t="shared" ref="K489" si="104">K487+K488</f>
        <v>1901.2818966796108</v>
      </c>
      <c r="L489" s="49">
        <f t="shared" ref="L489" si="105">L487+L488</f>
        <v>159.54813118989742</v>
      </c>
      <c r="M489" s="49">
        <f t="shared" ref="M489" si="106">M487+M488</f>
        <v>0</v>
      </c>
      <c r="N489" s="53"/>
      <c r="O489" s="53"/>
      <c r="P489" s="53"/>
      <c r="Q489" s="53"/>
      <c r="R489" s="53"/>
      <c r="S489" s="53"/>
      <c r="T489" s="34">
        <f>SUM(G489:S489)</f>
        <v>1908324.855968897</v>
      </c>
      <c r="U489" s="85" t="str">
        <f t="shared" si="99"/>
        <v>ok</v>
      </c>
    </row>
    <row r="490" spans="1:21" x14ac:dyDescent="0.2">
      <c r="A490" s="17" t="s">
        <v>828</v>
      </c>
      <c r="D490" s="17" t="s">
        <v>867</v>
      </c>
      <c r="F490" s="228">
        <v>1</v>
      </c>
      <c r="G490" s="115">
        <f>G489/$F$489</f>
        <v>0.84902277888677025</v>
      </c>
      <c r="H490" s="115">
        <f t="shared" ref="H490:M490" si="107">H489/$F$489</f>
        <v>1.404015617603902E-3</v>
      </c>
      <c r="I490" s="115">
        <f t="shared" si="107"/>
        <v>0.12054367726232844</v>
      </c>
      <c r="J490" s="115">
        <f t="shared" si="107"/>
        <v>2.794961250436704E-2</v>
      </c>
      <c r="K490" s="115">
        <f t="shared" si="107"/>
        <v>9.9630934991636424E-4</v>
      </c>
      <c r="L490" s="115">
        <f t="shared" si="107"/>
        <v>8.3606379013960637E-5</v>
      </c>
      <c r="M490" s="115">
        <f t="shared" si="107"/>
        <v>0</v>
      </c>
      <c r="N490" s="53"/>
      <c r="O490" s="53"/>
      <c r="P490" s="53"/>
      <c r="Q490" s="53"/>
      <c r="R490" s="53"/>
      <c r="S490" s="53"/>
      <c r="T490" s="201">
        <f t="shared" ref="T490" si="108">SUM(G490:S490)</f>
        <v>0.99999999999999989</v>
      </c>
      <c r="U490" s="85" t="str">
        <f t="shared" si="99"/>
        <v>ok</v>
      </c>
    </row>
    <row r="491" spans="1:21" x14ac:dyDescent="0.2">
      <c r="A491" s="17"/>
      <c r="D491" s="17"/>
      <c r="F491" s="228"/>
      <c r="G491" s="115"/>
      <c r="H491" s="115"/>
      <c r="I491" s="115"/>
      <c r="J491" s="115"/>
      <c r="K491" s="115"/>
      <c r="L491" s="115"/>
      <c r="M491" s="115"/>
      <c r="N491" s="53"/>
      <c r="O491" s="53"/>
      <c r="P491" s="53"/>
      <c r="Q491" s="53"/>
      <c r="R491" s="53"/>
      <c r="S491" s="53"/>
      <c r="T491" s="201"/>
      <c r="U491" s="85"/>
    </row>
    <row r="492" spans="1:21" x14ac:dyDescent="0.2">
      <c r="A492" s="48" t="s">
        <v>9</v>
      </c>
      <c r="B492" s="48"/>
      <c r="C492" s="48"/>
      <c r="D492" s="48" t="s">
        <v>322</v>
      </c>
      <c r="E492" s="48"/>
      <c r="F492" s="49">
        <v>52364335.100000001</v>
      </c>
      <c r="G492" s="49">
        <f t="shared" ref="G492:S492" si="109">G559</f>
        <v>42868449.116516933</v>
      </c>
      <c r="H492" s="49">
        <f t="shared" si="109"/>
        <v>0</v>
      </c>
      <c r="I492" s="49">
        <f t="shared" ref="I492:M492" si="110">I559</f>
        <v>5622822.267418853</v>
      </c>
      <c r="J492" s="49">
        <f t="shared" si="110"/>
        <v>3622958.1238704827</v>
      </c>
      <c r="K492" s="49">
        <f t="shared" si="110"/>
        <v>239386.77938789185</v>
      </c>
      <c r="L492" s="49">
        <f t="shared" si="110"/>
        <v>10718.811017368293</v>
      </c>
      <c r="M492" s="49">
        <f t="shared" si="110"/>
        <v>0</v>
      </c>
      <c r="N492" s="49">
        <f t="shared" si="109"/>
        <v>0</v>
      </c>
      <c r="O492" s="49">
        <f t="shared" si="109"/>
        <v>0</v>
      </c>
      <c r="P492" s="49">
        <f t="shared" si="109"/>
        <v>0</v>
      </c>
      <c r="Q492" s="49">
        <f t="shared" si="109"/>
        <v>0</v>
      </c>
      <c r="R492" s="49">
        <f t="shared" si="109"/>
        <v>0</v>
      </c>
      <c r="S492" s="49">
        <f t="shared" si="109"/>
        <v>0</v>
      </c>
      <c r="T492" s="49">
        <f>ROUND(SUM(G492:S492),2)</f>
        <v>52364335.100000001</v>
      </c>
      <c r="U492" s="116" t="str">
        <f>IF(ABS(F492-T492)&lt;0.01,"ok","err")</f>
        <v>ok</v>
      </c>
    </row>
    <row r="493" spans="1:21" x14ac:dyDescent="0.2">
      <c r="A493" s="48"/>
      <c r="B493" s="48"/>
      <c r="C493" s="48"/>
      <c r="D493" s="48"/>
      <c r="E493" s="48"/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116"/>
    </row>
    <row r="494" spans="1:21" x14ac:dyDescent="0.2">
      <c r="A494" s="68" t="s">
        <v>837</v>
      </c>
      <c r="F494" s="49"/>
      <c r="G494" s="49"/>
      <c r="H494" s="49"/>
      <c r="I494" s="49"/>
      <c r="J494" s="49"/>
      <c r="K494" s="49"/>
      <c r="L494" s="49"/>
      <c r="M494" s="49"/>
      <c r="N494" s="53"/>
      <c r="O494" s="53"/>
      <c r="P494" s="53"/>
      <c r="Q494" s="53"/>
      <c r="R494" s="53"/>
      <c r="S494" s="53"/>
      <c r="T494" s="53"/>
      <c r="U494" s="111"/>
    </row>
    <row r="495" spans="1:21" x14ac:dyDescent="0.2">
      <c r="A495" s="17" t="s">
        <v>838</v>
      </c>
      <c r="D495" s="17" t="s">
        <v>840</v>
      </c>
      <c r="F495" s="49">
        <v>52364335.100000001</v>
      </c>
      <c r="G495" s="49">
        <f>G492</f>
        <v>42868449.116516933</v>
      </c>
      <c r="H495" s="49">
        <f t="shared" ref="H495:M495" si="111">H492</f>
        <v>0</v>
      </c>
      <c r="I495" s="49">
        <f t="shared" si="111"/>
        <v>5622822.267418853</v>
      </c>
      <c r="J495" s="49">
        <f t="shared" si="111"/>
        <v>3622958.1238704827</v>
      </c>
      <c r="K495" s="49">
        <f t="shared" si="111"/>
        <v>239386.77938789185</v>
      </c>
      <c r="L495" s="49">
        <f t="shared" si="111"/>
        <v>10718.811017368293</v>
      </c>
      <c r="M495" s="49">
        <f t="shared" si="111"/>
        <v>0</v>
      </c>
      <c r="N495" s="53"/>
      <c r="O495" s="53"/>
      <c r="P495" s="53"/>
      <c r="Q495" s="53"/>
      <c r="R495" s="53"/>
      <c r="S495" s="53"/>
      <c r="T495" s="53">
        <f>ROUND(SUM(G495:S495),2)</f>
        <v>52364335.100000001</v>
      </c>
      <c r="U495" s="111" t="str">
        <f>IF(ABS(F495-T495)&lt;0.01,"ok","err")</f>
        <v>ok</v>
      </c>
    </row>
    <row r="496" spans="1:21" x14ac:dyDescent="0.2">
      <c r="A496" s="17" t="s">
        <v>839</v>
      </c>
      <c r="F496" s="49">
        <f>F130</f>
        <v>727316.66987595172</v>
      </c>
      <c r="G496" s="49"/>
      <c r="H496" s="49"/>
      <c r="I496" s="49"/>
      <c r="J496" s="49"/>
      <c r="K496" s="49"/>
      <c r="L496" s="49"/>
      <c r="M496" s="49"/>
      <c r="N496" s="53"/>
      <c r="O496" s="53"/>
      <c r="P496" s="53"/>
      <c r="Q496" s="53"/>
      <c r="R496" s="53"/>
      <c r="S496" s="53"/>
      <c r="T496" s="53"/>
      <c r="U496" s="111"/>
    </row>
    <row r="497" spans="1:21" x14ac:dyDescent="0.2">
      <c r="A497" s="61" t="s">
        <v>726</v>
      </c>
      <c r="F497" s="49">
        <v>65964.138864739463</v>
      </c>
      <c r="G497" s="49">
        <v>0</v>
      </c>
      <c r="H497" s="49">
        <v>65964.138864739463</v>
      </c>
      <c r="I497" s="49">
        <v>0</v>
      </c>
      <c r="J497" s="49">
        <v>0</v>
      </c>
      <c r="K497" s="49">
        <v>0</v>
      </c>
      <c r="L497" s="49">
        <v>0</v>
      </c>
      <c r="M497" s="49">
        <v>0</v>
      </c>
      <c r="N497" s="53"/>
      <c r="O497" s="53"/>
      <c r="P497" s="53"/>
      <c r="Q497" s="53"/>
      <c r="R497" s="53"/>
      <c r="S497" s="53"/>
      <c r="T497" s="53">
        <f>ROUND(SUM(G497:S497),2)</f>
        <v>65964.14</v>
      </c>
      <c r="U497" s="111" t="str">
        <f>IF(ABS(F497-T497)&lt;0.01,"ok","err")</f>
        <v>ok</v>
      </c>
    </row>
    <row r="498" spans="1:21" x14ac:dyDescent="0.2">
      <c r="A498" s="17" t="s">
        <v>855</v>
      </c>
      <c r="E498" s="17" t="s">
        <v>840</v>
      </c>
      <c r="F498" s="49">
        <f>F496-F497</f>
        <v>661352.53101121227</v>
      </c>
      <c r="G498" s="132">
        <f>(VLOOKUP($E498,$D$4:$AH$583,4,)/VLOOKUP($E498,$D$4:$AH$583,3,))*$F498</f>
        <v>541421.12698636821</v>
      </c>
      <c r="H498" s="132">
        <f>(VLOOKUP($E498,$D$4:$AH$583,5,)/VLOOKUP($E498,$D$4:$AH$583,3,))*$F498</f>
        <v>0</v>
      </c>
      <c r="I498" s="132">
        <f>(VLOOKUP($E498,$D$4:$AH$583,6,)/VLOOKUP($E498,$D$4:$AH$583,3,))*$F498</f>
        <v>71015.276540457053</v>
      </c>
      <c r="J498" s="132">
        <f>(VLOOKUP($E498,$D$4:$AH$583,7,)/VLOOKUP($E498,$D$4:$AH$583,3,))*$F498</f>
        <v>45757.336943048031</v>
      </c>
      <c r="K498" s="132">
        <f>(VLOOKUP($E498,$D$4:$AH$583,8,)/VLOOKUP($E498,$D$4:$AH$583,3,))*$F498</f>
        <v>3023.4137822329562</v>
      </c>
      <c r="L498" s="132">
        <f>(VLOOKUP($E498,$D$4:$AH$583,9,)/VLOOKUP($E498,$D$4:$AH$583,3,))*$F498</f>
        <v>135.37673651789359</v>
      </c>
      <c r="M498" s="132">
        <f>(VLOOKUP($E498,$D$4:$AH$583,10,)/VLOOKUP($E498,$D$4:$AH$583,3,))*$F498</f>
        <v>0</v>
      </c>
      <c r="N498" s="84">
        <f>(VLOOKUP($E498,$D$4:$AH$583,11,)/VLOOKUP($E498,$D$4:$AH$583,3,))*$F498</f>
        <v>0</v>
      </c>
      <c r="O498" s="84">
        <f>(VLOOKUP($E498,$D$4:$AH$583,12,)/VLOOKUP($E498,$D$4:$AH$583,3,))*$F498</f>
        <v>0</v>
      </c>
      <c r="P498" s="84">
        <f>(VLOOKUP($E498,$D$4:$AH$583,13,)/VLOOKUP($E498,$D$4:$AH$583,3,))*$F498</f>
        <v>0</v>
      </c>
      <c r="Q498" s="84">
        <f>(VLOOKUP($E498,$D$4:$AH$583,14,)/VLOOKUP($E498,$D$4:$AH$583,3,))*$F498</f>
        <v>0</v>
      </c>
      <c r="R498" s="84">
        <f>(VLOOKUP($E498,$D$4:$AH$583,15,)/VLOOKUP($E498,$D$4:$AH$583,3,))*$F498</f>
        <v>0</v>
      </c>
      <c r="S498" s="84">
        <f>(VLOOKUP($E498,$D$4:$AH$583,16,)/VLOOKUP($E498,$D$4:$AH$583,3,))*$F498</f>
        <v>0</v>
      </c>
      <c r="T498" s="34">
        <f>SUM(G498:S498)</f>
        <v>661352.53098862409</v>
      </c>
      <c r="U498" s="85" t="str">
        <f t="shared" ref="U498:U500" si="112">IF(ABS(F498-T498)&lt;0.01,"ok","err")</f>
        <v>ok</v>
      </c>
    </row>
    <row r="499" spans="1:21" x14ac:dyDescent="0.2">
      <c r="A499" s="17" t="s">
        <v>856</v>
      </c>
      <c r="F499" s="49">
        <f>F497+F498</f>
        <v>727316.66987595172</v>
      </c>
      <c r="G499" s="49">
        <f t="shared" ref="G499" si="113">G497+G498</f>
        <v>541421.12698636821</v>
      </c>
      <c r="H499" s="49">
        <f t="shared" ref="H499" si="114">H497+H498</f>
        <v>65964.138864739463</v>
      </c>
      <c r="I499" s="49">
        <f t="shared" ref="I499" si="115">I497+I498</f>
        <v>71015.276540457053</v>
      </c>
      <c r="J499" s="49">
        <f t="shared" ref="J499" si="116">J497+J498</f>
        <v>45757.336943048031</v>
      </c>
      <c r="K499" s="49">
        <f t="shared" ref="K499" si="117">K497+K498</f>
        <v>3023.4137822329562</v>
      </c>
      <c r="L499" s="49">
        <f t="shared" ref="L499" si="118">L497+L498</f>
        <v>135.37673651789359</v>
      </c>
      <c r="M499" s="49">
        <f t="shared" ref="M499" si="119">M497+M498</f>
        <v>0</v>
      </c>
      <c r="N499" s="53"/>
      <c r="O499" s="53"/>
      <c r="P499" s="53"/>
      <c r="Q499" s="53"/>
      <c r="R499" s="53"/>
      <c r="S499" s="53"/>
      <c r="T499" s="34">
        <f>SUM(G499:S499)</f>
        <v>727316.66985336354</v>
      </c>
      <c r="U499" s="85" t="str">
        <f t="shared" si="112"/>
        <v>ok</v>
      </c>
    </row>
    <row r="500" spans="1:21" x14ac:dyDescent="0.2">
      <c r="A500" s="17" t="s">
        <v>838</v>
      </c>
      <c r="D500" s="17" t="s">
        <v>843</v>
      </c>
      <c r="F500" s="228">
        <v>1</v>
      </c>
      <c r="G500" s="115">
        <f t="shared" ref="G500:M500" si="120">G499/$F$499</f>
        <v>0.74440907160660963</v>
      </c>
      <c r="H500" s="115">
        <f t="shared" si="120"/>
        <v>9.069521103646648E-2</v>
      </c>
      <c r="I500" s="115">
        <f t="shared" si="120"/>
        <v>9.7640105722544682E-2</v>
      </c>
      <c r="J500" s="115">
        <f t="shared" si="120"/>
        <v>6.2912537053292375E-2</v>
      </c>
      <c r="K500" s="115">
        <f t="shared" si="120"/>
        <v>4.1569427836001859E-3</v>
      </c>
      <c r="L500" s="115">
        <f t="shared" si="120"/>
        <v>1.8613176642985911E-4</v>
      </c>
      <c r="M500" s="115">
        <f t="shared" si="120"/>
        <v>0</v>
      </c>
      <c r="N500" s="53"/>
      <c r="O500" s="53"/>
      <c r="P500" s="53"/>
      <c r="Q500" s="53"/>
      <c r="R500" s="53"/>
      <c r="S500" s="53"/>
      <c r="T500" s="201">
        <f t="shared" ref="T500" si="121">SUM(G500:S500)</f>
        <v>0.99999999996894329</v>
      </c>
      <c r="U500" s="85" t="str">
        <f t="shared" si="112"/>
        <v>ok</v>
      </c>
    </row>
    <row r="501" spans="1:21" x14ac:dyDescent="0.2">
      <c r="A501" s="48"/>
      <c r="B501" s="48"/>
      <c r="C501" s="48"/>
      <c r="D501" s="48"/>
      <c r="E501" s="48"/>
      <c r="F501" s="49"/>
      <c r="G501" s="49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116"/>
    </row>
    <row r="502" spans="1:21" x14ac:dyDescent="0.2">
      <c r="A502" s="48"/>
      <c r="B502" s="48"/>
      <c r="C502" s="48"/>
      <c r="D502" s="48"/>
      <c r="E502" s="48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116"/>
    </row>
    <row r="503" spans="1:21" x14ac:dyDescent="0.2">
      <c r="A503" s="68" t="s">
        <v>829</v>
      </c>
      <c r="B503" s="48"/>
      <c r="C503" s="48"/>
      <c r="D503" s="48" t="s">
        <v>323</v>
      </c>
      <c r="E503" s="48"/>
      <c r="F503" s="49">
        <v>26773352.149999999</v>
      </c>
      <c r="G503" s="49">
        <f t="shared" ref="G503:H503" si="122">G553</f>
        <v>16513078.478287745</v>
      </c>
      <c r="H503" s="49">
        <f t="shared" si="122"/>
        <v>1762176.8059786728</v>
      </c>
      <c r="I503" s="49">
        <f t="shared" ref="I503:M503" si="123">I553</f>
        <v>3735500.0851171012</v>
      </c>
      <c r="J503" s="49">
        <f t="shared" si="123"/>
        <v>3946584.5811488461</v>
      </c>
      <c r="K503" s="49">
        <f t="shared" si="123"/>
        <v>761121.87342249206</v>
      </c>
      <c r="L503" s="49">
        <f t="shared" si="123"/>
        <v>54890.330263210919</v>
      </c>
      <c r="M503" s="49">
        <f t="shared" si="123"/>
        <v>0</v>
      </c>
      <c r="N503" s="49">
        <v>0</v>
      </c>
      <c r="O503" s="49">
        <v>0</v>
      </c>
      <c r="P503" s="49">
        <v>0</v>
      </c>
      <c r="Q503" s="49">
        <v>0</v>
      </c>
      <c r="R503" s="49">
        <v>0</v>
      </c>
      <c r="S503" s="49">
        <v>0</v>
      </c>
      <c r="T503" s="49">
        <f>ROUND(SUM(G503:S503),2)</f>
        <v>26773352.149999999</v>
      </c>
      <c r="U503" s="116" t="str">
        <f>IF(ABS(F503-T503)&lt;0.01,"ok","err")</f>
        <v>ok</v>
      </c>
    </row>
    <row r="504" spans="1:21" x14ac:dyDescent="0.2">
      <c r="A504" s="68"/>
      <c r="B504" s="48"/>
      <c r="C504" s="48"/>
      <c r="D504" s="48"/>
      <c r="E504" s="48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116"/>
    </row>
    <row r="505" spans="1:21" x14ac:dyDescent="0.2">
      <c r="A505" s="68" t="s">
        <v>830</v>
      </c>
      <c r="F505" s="49"/>
      <c r="G505" s="49"/>
      <c r="H505" s="49"/>
      <c r="I505" s="49"/>
      <c r="J505" s="49"/>
      <c r="K505" s="49"/>
      <c r="L505" s="49"/>
      <c r="M505" s="49"/>
      <c r="N505" s="53"/>
      <c r="O505" s="53"/>
      <c r="P505" s="53"/>
      <c r="Q505" s="53"/>
      <c r="R505" s="53"/>
      <c r="S505" s="53"/>
      <c r="T505" s="53"/>
      <c r="U505" s="111"/>
    </row>
    <row r="506" spans="1:21" x14ac:dyDescent="0.2">
      <c r="A506" s="17" t="s">
        <v>831</v>
      </c>
      <c r="D506" s="17" t="s">
        <v>836</v>
      </c>
      <c r="F506" s="49">
        <v>25011175.350000001</v>
      </c>
      <c r="G506" s="49">
        <f t="shared" ref="G506:M506" si="124">G503</f>
        <v>16513078.478287745</v>
      </c>
      <c r="H506" s="49">
        <v>0</v>
      </c>
      <c r="I506" s="49">
        <f t="shared" si="124"/>
        <v>3735500.0851171012</v>
      </c>
      <c r="J506" s="49">
        <f t="shared" si="124"/>
        <v>3946584.5811488461</v>
      </c>
      <c r="K506" s="49">
        <f t="shared" si="124"/>
        <v>761121.87342249206</v>
      </c>
      <c r="L506" s="49">
        <f t="shared" si="124"/>
        <v>54890.330263210919</v>
      </c>
      <c r="M506" s="49">
        <f t="shared" si="124"/>
        <v>0</v>
      </c>
      <c r="N506" s="53"/>
      <c r="O506" s="53"/>
      <c r="P506" s="53"/>
      <c r="Q506" s="53"/>
      <c r="R506" s="53"/>
      <c r="S506" s="53"/>
      <c r="T506" s="53">
        <f>ROUND(SUM(G506:S506),2)</f>
        <v>25011175.350000001</v>
      </c>
      <c r="U506" s="111" t="str">
        <f>IF(ABS(F506-T506)&lt;0.01,"ok","err")</f>
        <v>ok</v>
      </c>
    </row>
    <row r="507" spans="1:21" x14ac:dyDescent="0.2">
      <c r="A507" s="17" t="s">
        <v>832</v>
      </c>
      <c r="F507" s="49">
        <f>F133</f>
        <v>1086965.1118471227</v>
      </c>
      <c r="G507" s="49"/>
      <c r="H507" s="49"/>
      <c r="I507" s="49"/>
      <c r="J507" s="49"/>
      <c r="K507" s="49"/>
      <c r="L507" s="49"/>
      <c r="M507" s="49"/>
      <c r="N507" s="53"/>
      <c r="O507" s="53"/>
      <c r="P507" s="53"/>
      <c r="Q507" s="53"/>
      <c r="R507" s="53"/>
      <c r="S507" s="53"/>
      <c r="T507" s="53"/>
      <c r="U507" s="111"/>
    </row>
    <row r="508" spans="1:21" x14ac:dyDescent="0.2">
      <c r="A508" s="61" t="s">
        <v>726</v>
      </c>
      <c r="F508" s="49">
        <v>376026.9170365216</v>
      </c>
      <c r="G508" s="49">
        <v>0</v>
      </c>
      <c r="H508" s="49">
        <v>376026.9170365216</v>
      </c>
      <c r="I508" s="49">
        <v>0</v>
      </c>
      <c r="J508" s="49">
        <v>0</v>
      </c>
      <c r="K508" s="49">
        <v>0</v>
      </c>
      <c r="L508" s="49">
        <v>0</v>
      </c>
      <c r="M508" s="49">
        <v>0</v>
      </c>
      <c r="N508" s="53"/>
      <c r="O508" s="53"/>
      <c r="P508" s="53"/>
      <c r="Q508" s="53"/>
      <c r="R508" s="53"/>
      <c r="S508" s="53"/>
      <c r="T508" s="53">
        <f>ROUND(SUM(G508:S508),2)</f>
        <v>376026.92</v>
      </c>
      <c r="U508" s="111" t="str">
        <f>IF(ABS(F508-T508)&lt;0.01,"ok","err")</f>
        <v>ok</v>
      </c>
    </row>
    <row r="509" spans="1:21" x14ac:dyDescent="0.2">
      <c r="A509" s="17" t="s">
        <v>857</v>
      </c>
      <c r="E509" s="17" t="s">
        <v>836</v>
      </c>
      <c r="F509" s="49">
        <f>F507-F508</f>
        <v>710938.19481060107</v>
      </c>
      <c r="G509" s="132">
        <f>(VLOOKUP($E509,$D$4:$AH$583,4,)/VLOOKUP($E509,$D$4:$AH$583,3,))*$F509</f>
        <v>469381.30814870622</v>
      </c>
      <c r="H509" s="132">
        <f>(VLOOKUP($E509,$D$4:$AH$583,5,)/VLOOKUP($E509,$D$4:$AH$583,3,))*$F509</f>
        <v>0</v>
      </c>
      <c r="I509" s="132">
        <f>(VLOOKUP($E509,$D$4:$AH$583,6,)/VLOOKUP($E509,$D$4:$AH$583,3,))*$F509</f>
        <v>106180.92312994791</v>
      </c>
      <c r="J509" s="132">
        <f>(VLOOKUP($E509,$D$4:$AH$583,7,)/VLOOKUP($E509,$D$4:$AH$583,3,))*$F509</f>
        <v>112180.96225091288</v>
      </c>
      <c r="K509" s="132">
        <f>(VLOOKUP($E509,$D$4:$AH$583,8,)/VLOOKUP($E509,$D$4:$AH$583,3,))*$F509</f>
        <v>21634.753391221548</v>
      </c>
      <c r="L509" s="132">
        <f>(VLOOKUP($E509,$D$4:$AH$583,9,)/VLOOKUP($E509,$D$4:$AH$583,3,))*$F509</f>
        <v>1560.2478397675491</v>
      </c>
      <c r="M509" s="132">
        <f>(VLOOKUP($E509,$D$4:$AH$583,10,)/VLOOKUP($E509,$D$4:$AH$583,3,))*$F509</f>
        <v>0</v>
      </c>
      <c r="N509" s="84">
        <f>(VLOOKUP($E509,$D$4:$AH$583,11,)/VLOOKUP($E509,$D$4:$AH$583,3,))*$F509</f>
        <v>0</v>
      </c>
      <c r="O509" s="84">
        <f>(VLOOKUP($E509,$D$4:$AH$583,12,)/VLOOKUP($E509,$D$4:$AH$583,3,))*$F509</f>
        <v>0</v>
      </c>
      <c r="P509" s="84">
        <f>(VLOOKUP($E509,$D$4:$AH$583,13,)/VLOOKUP($E509,$D$4:$AH$583,3,))*$F509</f>
        <v>0</v>
      </c>
      <c r="Q509" s="84">
        <f>(VLOOKUP($E509,$D$4:$AH$583,14,)/VLOOKUP($E509,$D$4:$AH$583,3,))*$F509</f>
        <v>0</v>
      </c>
      <c r="R509" s="84">
        <f>(VLOOKUP($E509,$D$4:$AH$583,15,)/VLOOKUP($E509,$D$4:$AH$583,3,))*$F509</f>
        <v>0</v>
      </c>
      <c r="S509" s="84">
        <f>(VLOOKUP($E509,$D$4:$AH$583,16,)/VLOOKUP($E509,$D$4:$AH$583,3,))*$F509</f>
        <v>0</v>
      </c>
      <c r="T509" s="34">
        <f>SUM(G509:S509)</f>
        <v>710938.19476055622</v>
      </c>
      <c r="U509" s="85" t="str">
        <f t="shared" ref="U509:U511" si="125">IF(ABS(F509-T509)&lt;0.01,"ok","err")</f>
        <v>ok</v>
      </c>
    </row>
    <row r="510" spans="1:21" x14ac:dyDescent="0.2">
      <c r="A510" s="17" t="s">
        <v>858</v>
      </c>
      <c r="F510" s="49">
        <f>F508+F509</f>
        <v>1086965.1118471227</v>
      </c>
      <c r="G510" s="49">
        <f t="shared" ref="G510" si="126">G508+G509</f>
        <v>469381.30814870622</v>
      </c>
      <c r="H510" s="49">
        <f t="shared" ref="H510" si="127">H508+H509</f>
        <v>376026.9170365216</v>
      </c>
      <c r="I510" s="49">
        <f t="shared" ref="I510" si="128">I508+I509</f>
        <v>106180.92312994791</v>
      </c>
      <c r="J510" s="49">
        <f t="shared" ref="J510" si="129">J508+J509</f>
        <v>112180.96225091288</v>
      </c>
      <c r="K510" s="49">
        <f t="shared" ref="K510" si="130">K508+K509</f>
        <v>21634.753391221548</v>
      </c>
      <c r="L510" s="49">
        <f t="shared" ref="L510" si="131">L508+L509</f>
        <v>1560.2478397675491</v>
      </c>
      <c r="M510" s="49">
        <f t="shared" ref="M510" si="132">M508+M509</f>
        <v>0</v>
      </c>
      <c r="N510" s="53"/>
      <c r="O510" s="53"/>
      <c r="P510" s="53"/>
      <c r="Q510" s="53"/>
      <c r="R510" s="53"/>
      <c r="S510" s="53"/>
      <c r="T510" s="34">
        <f>SUM(G510:S510)</f>
        <v>1086965.1117970776</v>
      </c>
      <c r="U510" s="85" t="str">
        <f t="shared" si="125"/>
        <v>ok</v>
      </c>
    </row>
    <row r="511" spans="1:21" x14ac:dyDescent="0.2">
      <c r="A511" s="17" t="s">
        <v>831</v>
      </c>
      <c r="D511" s="17" t="s">
        <v>833</v>
      </c>
      <c r="F511" s="228">
        <v>1</v>
      </c>
      <c r="G511" s="115">
        <f>G510/$F$510</f>
        <v>0.43182739080840238</v>
      </c>
      <c r="H511" s="115">
        <f t="shared" ref="H511:M511" si="133">H510/$F$510</f>
        <v>0.34594202972855698</v>
      </c>
      <c r="I511" s="115">
        <f t="shared" si="133"/>
        <v>9.768567727947633E-2</v>
      </c>
      <c r="J511" s="115">
        <f t="shared" si="133"/>
        <v>0.10320566964681999</v>
      </c>
      <c r="K511" s="115">
        <f t="shared" si="133"/>
        <v>1.9903815822070646E-2</v>
      </c>
      <c r="L511" s="115">
        <f t="shared" si="133"/>
        <v>1.4354166686326836E-3</v>
      </c>
      <c r="M511" s="115">
        <f t="shared" si="133"/>
        <v>0</v>
      </c>
      <c r="N511" s="53"/>
      <c r="O511" s="53"/>
      <c r="P511" s="53"/>
      <c r="Q511" s="53"/>
      <c r="R511" s="53"/>
      <c r="S511" s="53"/>
      <c r="T511" s="201">
        <f t="shared" ref="T511" si="134">SUM(G511:S511)</f>
        <v>0.99999999995395905</v>
      </c>
      <c r="U511" s="85" t="str">
        <f t="shared" si="125"/>
        <v>ok</v>
      </c>
    </row>
    <row r="512" spans="1:21" x14ac:dyDescent="0.2">
      <c r="A512" s="48"/>
      <c r="B512" s="48"/>
      <c r="C512" s="48"/>
      <c r="D512" s="48"/>
      <c r="E512" s="48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116"/>
    </row>
    <row r="513" spans="1:21" x14ac:dyDescent="0.2">
      <c r="A513" s="19" t="s">
        <v>646</v>
      </c>
      <c r="F513" s="49">
        <v>39115.379999999997</v>
      </c>
      <c r="G513" s="49">
        <v>30465</v>
      </c>
      <c r="H513" s="49">
        <v>3283.3333333333335</v>
      </c>
      <c r="I513" s="49">
        <v>4325.3999999999996</v>
      </c>
      <c r="J513" s="49">
        <v>1002.9</v>
      </c>
      <c r="K513" s="49">
        <v>35.75</v>
      </c>
      <c r="L513" s="49">
        <v>3</v>
      </c>
      <c r="M513" s="49">
        <v>0</v>
      </c>
      <c r="N513" s="53"/>
      <c r="O513" s="53"/>
      <c r="P513" s="53"/>
      <c r="Q513" s="53"/>
      <c r="R513" s="53"/>
      <c r="S513" s="53"/>
      <c r="T513" s="53">
        <f>ROUND(SUM(G513:S513),2)</f>
        <v>39115.379999999997</v>
      </c>
      <c r="U513" s="111" t="str">
        <f>IF(ABS(F513-T513)&lt;0.01,"ok","err")</f>
        <v>ok</v>
      </c>
    </row>
    <row r="514" spans="1:21" x14ac:dyDescent="0.2">
      <c r="A514" s="19" t="s">
        <v>11</v>
      </c>
      <c r="D514" s="19" t="s">
        <v>324</v>
      </c>
      <c r="F514" s="49">
        <v>42360.333333333336</v>
      </c>
      <c r="G514" s="49">
        <f>G513</f>
        <v>30465</v>
      </c>
      <c r="H514" s="49">
        <f>H513</f>
        <v>3283.3333333333335</v>
      </c>
      <c r="I514" s="49">
        <f>I513</f>
        <v>4325.3999999999996</v>
      </c>
      <c r="J514" s="49">
        <f>J513*4</f>
        <v>4011.6</v>
      </c>
      <c r="K514" s="49">
        <f>K513*4</f>
        <v>143</v>
      </c>
      <c r="L514" s="49">
        <f>L513*4</f>
        <v>12</v>
      </c>
      <c r="M514" s="49">
        <f>30*4</f>
        <v>120</v>
      </c>
      <c r="N514" s="53">
        <v>0</v>
      </c>
      <c r="O514" s="53">
        <v>0</v>
      </c>
      <c r="P514" s="53">
        <v>0</v>
      </c>
      <c r="Q514" s="53">
        <v>0</v>
      </c>
      <c r="R514" s="53">
        <v>0</v>
      </c>
      <c r="S514" s="53">
        <v>0</v>
      </c>
      <c r="T514" s="53">
        <f>(SUM(G514:S514))</f>
        <v>42360.333333333336</v>
      </c>
      <c r="U514" s="111" t="str">
        <f>IF(ABS(F514-T514)&lt;0.0001,"ok","err")</f>
        <v>ok</v>
      </c>
    </row>
    <row r="515" spans="1:21" x14ac:dyDescent="0.2">
      <c r="F515" s="48"/>
      <c r="G515" s="48"/>
      <c r="H515" s="48"/>
      <c r="I515" s="48"/>
      <c r="J515" s="48"/>
      <c r="K515" s="48"/>
      <c r="L515" s="48"/>
      <c r="M515" s="48"/>
    </row>
    <row r="516" spans="1:21" x14ac:dyDescent="0.2">
      <c r="A516" s="68" t="s">
        <v>844</v>
      </c>
      <c r="F516" s="49"/>
      <c r="G516" s="49"/>
      <c r="H516" s="49"/>
      <c r="I516" s="49"/>
      <c r="J516" s="49"/>
      <c r="K516" s="49"/>
      <c r="L516" s="49"/>
      <c r="M516" s="49"/>
      <c r="N516" s="53"/>
      <c r="O516" s="53"/>
      <c r="P516" s="53"/>
      <c r="Q516" s="53"/>
      <c r="R516" s="53"/>
      <c r="S516" s="53"/>
      <c r="T516" s="53"/>
      <c r="U516" s="111"/>
    </row>
    <row r="517" spans="1:21" x14ac:dyDescent="0.2">
      <c r="A517" s="17" t="s">
        <v>846</v>
      </c>
      <c r="D517" s="17" t="s">
        <v>845</v>
      </c>
      <c r="F517" s="49">
        <v>39077</v>
      </c>
      <c r="G517" s="49">
        <v>30465</v>
      </c>
      <c r="H517" s="49">
        <v>0</v>
      </c>
      <c r="I517" s="49">
        <f t="shared" ref="I517:M517" si="135">I514</f>
        <v>4325.3999999999996</v>
      </c>
      <c r="J517" s="49">
        <f t="shared" si="135"/>
        <v>4011.6</v>
      </c>
      <c r="K517" s="49">
        <f t="shared" si="135"/>
        <v>143</v>
      </c>
      <c r="L517" s="49">
        <f t="shared" si="135"/>
        <v>12</v>
      </c>
      <c r="M517" s="49">
        <f t="shared" si="135"/>
        <v>120</v>
      </c>
      <c r="N517" s="53"/>
      <c r="O517" s="53"/>
      <c r="P517" s="53"/>
      <c r="Q517" s="53"/>
      <c r="R517" s="53"/>
      <c r="S517" s="53"/>
      <c r="T517" s="53">
        <f>ROUND(SUM(G517:S517),2)</f>
        <v>39077</v>
      </c>
      <c r="U517" s="111" t="str">
        <f>IF(ABS(F517-T517)&lt;0.01,"ok","err")</f>
        <v>ok</v>
      </c>
    </row>
    <row r="518" spans="1:21" x14ac:dyDescent="0.2">
      <c r="A518" s="17" t="s">
        <v>847</v>
      </c>
      <c r="F518" s="49">
        <f>F136</f>
        <v>2121638.8337300797</v>
      </c>
      <c r="G518" s="49"/>
      <c r="H518" s="49"/>
      <c r="I518" s="49"/>
      <c r="J518" s="49"/>
      <c r="K518" s="49"/>
      <c r="L518" s="49"/>
      <c r="M518" s="49"/>
      <c r="N518" s="53"/>
      <c r="O518" s="53"/>
      <c r="P518" s="53"/>
      <c r="Q518" s="53"/>
      <c r="R518" s="53"/>
      <c r="S518" s="53"/>
      <c r="T518" s="53"/>
      <c r="U518" s="111"/>
    </row>
    <row r="519" spans="1:21" x14ac:dyDescent="0.2">
      <c r="A519" s="61" t="s">
        <v>726</v>
      </c>
      <c r="F519" s="49">
        <v>938367.36956828437</v>
      </c>
      <c r="G519" s="49">
        <v>0</v>
      </c>
      <c r="H519" s="49">
        <v>938367.36956828437</v>
      </c>
      <c r="I519" s="49">
        <v>0</v>
      </c>
      <c r="J519" s="49">
        <v>0</v>
      </c>
      <c r="K519" s="49">
        <v>0</v>
      </c>
      <c r="L519" s="49">
        <v>0</v>
      </c>
      <c r="M519" s="49">
        <v>0</v>
      </c>
      <c r="N519" s="53"/>
      <c r="O519" s="53"/>
      <c r="P519" s="53"/>
      <c r="Q519" s="53"/>
      <c r="R519" s="53"/>
      <c r="S519" s="53"/>
      <c r="T519" s="53">
        <f>ROUND(SUM(G519:S519),2)</f>
        <v>938367.37</v>
      </c>
      <c r="U519" s="111" t="str">
        <f>IF(ABS(F519-T519)&lt;0.01,"ok","err")</f>
        <v>ok</v>
      </c>
    </row>
    <row r="520" spans="1:21" x14ac:dyDescent="0.2">
      <c r="A520" s="17" t="s">
        <v>848</v>
      </c>
      <c r="E520" s="17" t="s">
        <v>845</v>
      </c>
      <c r="F520" s="49">
        <f>F518-F519</f>
        <v>1183271.4641617953</v>
      </c>
      <c r="G520" s="132">
        <f>(VLOOKUP($E520,$D$4:$AH$583,4,)/VLOOKUP($E520,$D$4:$AH$583,3,))*$F520</f>
        <v>922495.71757527685</v>
      </c>
      <c r="H520" s="132">
        <f>(VLOOKUP($E520,$D$4:$AH$583,5,)/VLOOKUP($E520,$D$4:$AH$583,3,))*$F520</f>
        <v>0</v>
      </c>
      <c r="I520" s="132">
        <f>(VLOOKUP($E520,$D$4:$AH$583,6,)/VLOOKUP($E520,$D$4:$AH$583,3,))*$F520</f>
        <v>130975.3151747941</v>
      </c>
      <c r="J520" s="132">
        <f>(VLOOKUP($E520,$D$4:$AH$583,7,)/VLOOKUP($E520,$D$4:$AH$583,3,))*$F520</f>
        <v>121473.2913384205</v>
      </c>
      <c r="K520" s="132">
        <f>(VLOOKUP($E520,$D$4:$AH$583,8,)/VLOOKUP($E520,$D$4:$AH$583,3,))*$F520</f>
        <v>4330.1128381179915</v>
      </c>
      <c r="L520" s="132">
        <f>(VLOOKUP($E520,$D$4:$AH$583,9,)/VLOOKUP($E520,$D$4:$AH$583,3,))*$F520</f>
        <v>363.36611228962164</v>
      </c>
      <c r="M520" s="132">
        <f>(VLOOKUP($E520,$D$4:$AH$583,10,)/VLOOKUP($E520,$D$4:$AH$583,3,))*$F520</f>
        <v>3633.6611228962165</v>
      </c>
      <c r="N520" s="84">
        <f>(VLOOKUP($E520,$D$4:$AH$583,11,)/VLOOKUP($E520,$D$4:$AH$583,3,))*$F520</f>
        <v>0</v>
      </c>
      <c r="O520" s="84">
        <f>(VLOOKUP($E520,$D$4:$AH$583,12,)/VLOOKUP($E520,$D$4:$AH$583,3,))*$F520</f>
        <v>0</v>
      </c>
      <c r="P520" s="84">
        <f>(VLOOKUP($E520,$D$4:$AH$583,13,)/VLOOKUP($E520,$D$4:$AH$583,3,))*$F520</f>
        <v>0</v>
      </c>
      <c r="Q520" s="84">
        <f>(VLOOKUP($E520,$D$4:$AH$583,14,)/VLOOKUP($E520,$D$4:$AH$583,3,))*$F520</f>
        <v>0</v>
      </c>
      <c r="R520" s="84">
        <f>(VLOOKUP($E520,$D$4:$AH$583,15,)/VLOOKUP($E520,$D$4:$AH$583,3,))*$F520</f>
        <v>0</v>
      </c>
      <c r="S520" s="84">
        <f>(VLOOKUP($E520,$D$4:$AH$583,16,)/VLOOKUP($E520,$D$4:$AH$583,3,))*$F520</f>
        <v>0</v>
      </c>
      <c r="T520" s="34">
        <f>SUM(G520:S520)</f>
        <v>1183271.4641617956</v>
      </c>
      <c r="U520" s="85" t="str">
        <f t="shared" ref="U520:U522" si="136">IF(ABS(F520-T520)&lt;0.01,"ok","err")</f>
        <v>ok</v>
      </c>
    </row>
    <row r="521" spans="1:21" x14ac:dyDescent="0.2">
      <c r="A521" s="17" t="s">
        <v>849</v>
      </c>
      <c r="F521" s="49">
        <f>F519+F520</f>
        <v>2121638.8337300797</v>
      </c>
      <c r="G521" s="49">
        <f t="shared" ref="G521" si="137">G519+G520</f>
        <v>922495.71757527685</v>
      </c>
      <c r="H521" s="49">
        <f t="shared" ref="H521" si="138">H519+H520</f>
        <v>938367.36956828437</v>
      </c>
      <c r="I521" s="49">
        <f t="shared" ref="I521" si="139">I519+I520</f>
        <v>130975.3151747941</v>
      </c>
      <c r="J521" s="49">
        <f t="shared" ref="J521" si="140">J519+J520</f>
        <v>121473.2913384205</v>
      </c>
      <c r="K521" s="49">
        <f t="shared" ref="K521" si="141">K519+K520</f>
        <v>4330.1128381179915</v>
      </c>
      <c r="L521" s="49">
        <f t="shared" ref="L521" si="142">L519+L520</f>
        <v>363.36611228962164</v>
      </c>
      <c r="M521" s="49">
        <f t="shared" ref="M521" si="143">M519+M520</f>
        <v>3633.6611228962165</v>
      </c>
      <c r="N521" s="53"/>
      <c r="O521" s="53"/>
      <c r="P521" s="53"/>
      <c r="Q521" s="53"/>
      <c r="R521" s="53"/>
      <c r="S521" s="53"/>
      <c r="T521" s="34">
        <f>SUM(G521:S521)</f>
        <v>2121638.8337300797</v>
      </c>
      <c r="U521" s="85" t="str">
        <f t="shared" si="136"/>
        <v>ok</v>
      </c>
    </row>
    <row r="522" spans="1:21" x14ac:dyDescent="0.2">
      <c r="A522" s="17" t="s">
        <v>850</v>
      </c>
      <c r="D522" s="17" t="s">
        <v>841</v>
      </c>
      <c r="F522" s="228">
        <v>1</v>
      </c>
      <c r="G522" s="115">
        <f>G521/$F$521</f>
        <v>0.43480337129455043</v>
      </c>
      <c r="H522" s="115">
        <f t="shared" ref="H522:M522" si="144">H521/$F$521</f>
        <v>0.44228421663951589</v>
      </c>
      <c r="I522" s="115">
        <f t="shared" si="144"/>
        <v>6.1733087221317852E-2</v>
      </c>
      <c r="J522" s="115">
        <f t="shared" si="144"/>
        <v>5.7254462638608852E-2</v>
      </c>
      <c r="K522" s="115">
        <f t="shared" si="144"/>
        <v>2.0409283471236081E-3</v>
      </c>
      <c r="L522" s="115">
        <f t="shared" si="144"/>
        <v>1.7126671444393915E-4</v>
      </c>
      <c r="M522" s="115">
        <f t="shared" si="144"/>
        <v>1.7126671444393914E-3</v>
      </c>
      <c r="N522" s="53"/>
      <c r="O522" s="53"/>
      <c r="P522" s="53"/>
      <c r="Q522" s="53"/>
      <c r="R522" s="53"/>
      <c r="S522" s="53"/>
      <c r="T522" s="201">
        <f t="shared" ref="T522" si="145">SUM(G522:S522)</f>
        <v>1</v>
      </c>
      <c r="U522" s="85" t="str">
        <f t="shared" si="136"/>
        <v>ok</v>
      </c>
    </row>
    <row r="523" spans="1:21" x14ac:dyDescent="0.2">
      <c r="A523" s="48"/>
      <c r="B523" s="48"/>
      <c r="C523" s="48"/>
      <c r="D523" s="48"/>
      <c r="E523" s="48"/>
      <c r="F523" s="49"/>
      <c r="G523" s="49"/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116"/>
    </row>
    <row r="524" spans="1:21" x14ac:dyDescent="0.2">
      <c r="A524" s="19" t="s">
        <v>646</v>
      </c>
      <c r="F524" s="49">
        <v>39018.080000000002</v>
      </c>
      <c r="G524" s="49">
        <v>30441.083333333332</v>
      </c>
      <c r="H524" s="49">
        <v>3283.3333333333335</v>
      </c>
      <c r="I524" s="49">
        <v>4304.083333333333</v>
      </c>
      <c r="J524" s="49">
        <v>963.08333333333337</v>
      </c>
      <c r="K524" s="49">
        <v>23.5</v>
      </c>
      <c r="L524" s="49">
        <v>3</v>
      </c>
      <c r="M524" s="49">
        <v>0</v>
      </c>
      <c r="N524" s="53"/>
      <c r="O524" s="53"/>
      <c r="P524" s="53"/>
      <c r="Q524" s="53"/>
      <c r="R524" s="53"/>
      <c r="S524" s="53"/>
      <c r="T524" s="53">
        <f>ROUND(SUM(G524:S524),2)</f>
        <v>39018.080000000002</v>
      </c>
      <c r="U524" s="111" t="str">
        <f>IF(ABS(F524-T524)&lt;0.01,"ok","err")</f>
        <v>ok</v>
      </c>
    </row>
    <row r="525" spans="1:21" x14ac:dyDescent="0.2">
      <c r="A525" s="19" t="s">
        <v>11</v>
      </c>
      <c r="D525" s="19" t="s">
        <v>324</v>
      </c>
      <c r="F525" s="49">
        <v>42106.833333333336</v>
      </c>
      <c r="G525" s="49">
        <f>G524</f>
        <v>30441.083333333332</v>
      </c>
      <c r="H525" s="49">
        <f>H524</f>
        <v>3283.3333333333335</v>
      </c>
      <c r="I525" s="49">
        <f>I524</f>
        <v>4304.083333333333</v>
      </c>
      <c r="J525" s="49">
        <f>J524*4</f>
        <v>3852.3333333333335</v>
      </c>
      <c r="K525" s="49">
        <f>K524*4</f>
        <v>94</v>
      </c>
      <c r="L525" s="49">
        <f>L524*4</f>
        <v>12</v>
      </c>
      <c r="M525" s="49">
        <f>30*4</f>
        <v>120</v>
      </c>
      <c r="N525" s="53">
        <v>0</v>
      </c>
      <c r="O525" s="53">
        <v>0</v>
      </c>
      <c r="P525" s="53">
        <v>0</v>
      </c>
      <c r="Q525" s="53">
        <v>0</v>
      </c>
      <c r="R525" s="53">
        <v>0</v>
      </c>
      <c r="S525" s="53">
        <v>0</v>
      </c>
      <c r="T525" s="53">
        <f>(SUM(G525:S525))</f>
        <v>42106.833333333336</v>
      </c>
      <c r="U525" s="111" t="str">
        <f>IF(ABS(F525-T525)&lt;0.0001,"ok","err")</f>
        <v>ok</v>
      </c>
    </row>
    <row r="526" spans="1:21" x14ac:dyDescent="0.2">
      <c r="A526" s="17" t="s">
        <v>12</v>
      </c>
      <c r="D526" s="19" t="s">
        <v>325</v>
      </c>
      <c r="F526" s="49">
        <v>39018.083333333336</v>
      </c>
      <c r="G526" s="49">
        <f t="shared" ref="G526:M526" si="146">G524</f>
        <v>30441.083333333332</v>
      </c>
      <c r="H526" s="49">
        <f t="shared" si="146"/>
        <v>3283.3333333333335</v>
      </c>
      <c r="I526" s="49">
        <f t="shared" si="146"/>
        <v>4304.083333333333</v>
      </c>
      <c r="J526" s="49">
        <f t="shared" si="146"/>
        <v>963.08333333333337</v>
      </c>
      <c r="K526" s="49">
        <f t="shared" si="146"/>
        <v>23.5</v>
      </c>
      <c r="L526" s="49">
        <f t="shared" si="146"/>
        <v>3</v>
      </c>
      <c r="M526" s="49">
        <f t="shared" si="146"/>
        <v>0</v>
      </c>
      <c r="N526" s="53"/>
      <c r="O526" s="53"/>
      <c r="P526" s="53"/>
      <c r="Q526" s="53"/>
      <c r="R526" s="53"/>
      <c r="S526" s="53"/>
      <c r="T526" s="53">
        <f>(SUM(G526:S526))</f>
        <v>39018.083333333336</v>
      </c>
      <c r="U526" s="111" t="str">
        <f>IF(ABS(F526-T526)&lt;0.01,"ok","err")</f>
        <v>ok</v>
      </c>
    </row>
    <row r="527" spans="1:21" x14ac:dyDescent="0.2">
      <c r="A527" s="17"/>
      <c r="F527" s="49"/>
      <c r="G527" s="49"/>
      <c r="H527" s="49"/>
      <c r="I527" s="49"/>
      <c r="J527" s="49"/>
      <c r="K527" s="49"/>
      <c r="L527" s="49"/>
      <c r="M527" s="49"/>
      <c r="N527" s="53"/>
      <c r="O527" s="53"/>
      <c r="P527" s="53"/>
      <c r="Q527" s="53"/>
      <c r="R527" s="53"/>
      <c r="S527" s="53"/>
      <c r="T527" s="53"/>
      <c r="U527" s="111"/>
    </row>
    <row r="528" spans="1:21" x14ac:dyDescent="0.2">
      <c r="A528" s="68" t="s">
        <v>859</v>
      </c>
      <c r="F528" s="49"/>
      <c r="G528" s="49"/>
      <c r="H528" s="49"/>
      <c r="I528" s="49"/>
      <c r="J528" s="49"/>
      <c r="K528" s="49"/>
      <c r="L528" s="49"/>
      <c r="M528" s="49"/>
      <c r="N528" s="53"/>
      <c r="O528" s="53"/>
      <c r="P528" s="53"/>
      <c r="Q528" s="53"/>
      <c r="R528" s="53"/>
      <c r="S528" s="53"/>
      <c r="T528" s="53"/>
      <c r="U528" s="111"/>
    </row>
    <row r="529" spans="1:21" x14ac:dyDescent="0.2">
      <c r="A529" s="17" t="s">
        <v>860</v>
      </c>
      <c r="D529" s="17" t="s">
        <v>840</v>
      </c>
      <c r="F529" s="49">
        <v>35734.75</v>
      </c>
      <c r="G529" s="49">
        <f t="shared" ref="G529" si="147">G526</f>
        <v>30441.083333333332</v>
      </c>
      <c r="H529" s="49">
        <v>0</v>
      </c>
      <c r="I529" s="49">
        <f t="shared" ref="I529:M529" si="148">I526</f>
        <v>4304.083333333333</v>
      </c>
      <c r="J529" s="49">
        <f t="shared" si="148"/>
        <v>963.08333333333337</v>
      </c>
      <c r="K529" s="49">
        <f t="shared" si="148"/>
        <v>23.5</v>
      </c>
      <c r="L529" s="49">
        <f t="shared" si="148"/>
        <v>3</v>
      </c>
      <c r="M529" s="49">
        <f t="shared" si="148"/>
        <v>0</v>
      </c>
      <c r="N529" s="53"/>
      <c r="O529" s="53"/>
      <c r="P529" s="53"/>
      <c r="Q529" s="53"/>
      <c r="R529" s="53"/>
      <c r="S529" s="53"/>
      <c r="T529" s="53">
        <f>ROUND(SUM(G529:S529),2)</f>
        <v>35734.75</v>
      </c>
      <c r="U529" s="111" t="str">
        <f>IF(ABS(F529-T529)&lt;0.01,"ok","err")</f>
        <v>ok</v>
      </c>
    </row>
    <row r="530" spans="1:21" x14ac:dyDescent="0.2">
      <c r="A530" s="17" t="s">
        <v>861</v>
      </c>
      <c r="F530" s="49">
        <f>F139</f>
        <v>1346.0690687126983</v>
      </c>
      <c r="G530" s="49"/>
      <c r="H530" s="49"/>
      <c r="I530" s="49"/>
      <c r="J530" s="49"/>
      <c r="K530" s="49"/>
      <c r="L530" s="49"/>
      <c r="M530" s="49"/>
      <c r="N530" s="53"/>
      <c r="O530" s="53"/>
      <c r="P530" s="53"/>
      <c r="Q530" s="53"/>
      <c r="R530" s="53"/>
      <c r="S530" s="53"/>
      <c r="T530" s="53"/>
      <c r="U530" s="111"/>
    </row>
    <row r="531" spans="1:21" x14ac:dyDescent="0.2">
      <c r="A531" s="61" t="s">
        <v>726</v>
      </c>
      <c r="F531" s="49">
        <v>1572.9016230322977</v>
      </c>
      <c r="G531" s="49">
        <v>0</v>
      </c>
      <c r="H531" s="49">
        <v>1572.9016230322977</v>
      </c>
      <c r="I531" s="49">
        <v>0</v>
      </c>
      <c r="J531" s="49">
        <v>0</v>
      </c>
      <c r="K531" s="49">
        <v>0</v>
      </c>
      <c r="L531" s="49">
        <v>0</v>
      </c>
      <c r="M531" s="49">
        <v>0</v>
      </c>
      <c r="N531" s="53"/>
      <c r="O531" s="53"/>
      <c r="P531" s="53"/>
      <c r="Q531" s="53"/>
      <c r="R531" s="53"/>
      <c r="S531" s="53"/>
      <c r="T531" s="53">
        <f>ROUND(SUM(G531:S531),2)</f>
        <v>1572.9</v>
      </c>
      <c r="U531" s="111" t="str">
        <f>IF(ABS(F531-T531)&lt;0.01,"ok","err")</f>
        <v>ok</v>
      </c>
    </row>
    <row r="532" spans="1:21" x14ac:dyDescent="0.2">
      <c r="A532" s="17" t="s">
        <v>862</v>
      </c>
      <c r="E532" s="17" t="s">
        <v>840</v>
      </c>
      <c r="F532" s="49">
        <f>F530-F531</f>
        <v>-226.83255431959947</v>
      </c>
      <c r="G532" s="132">
        <f>(VLOOKUP($E532,$D$4:$AH$583,4,)/VLOOKUP($E532,$D$4:$AH$583,3,))*$F532</f>
        <v>-185.69814348352745</v>
      </c>
      <c r="H532" s="132">
        <f>(VLOOKUP($E532,$D$4:$AH$583,5,)/VLOOKUP($E532,$D$4:$AH$583,3,))*$F532</f>
        <v>0</v>
      </c>
      <c r="I532" s="132">
        <f>(VLOOKUP($E532,$D$4:$AH$583,6,)/VLOOKUP($E532,$D$4:$AH$583,3,))*$F532</f>
        <v>-24.357019619709455</v>
      </c>
      <c r="J532" s="132">
        <f>(VLOOKUP($E532,$D$4:$AH$583,7,)/VLOOKUP($E532,$D$4:$AH$583,3,))*$F532</f>
        <v>-15.693980337210188</v>
      </c>
      <c r="K532" s="132">
        <f>(VLOOKUP($E532,$D$4:$AH$583,8,)/VLOOKUP($E532,$D$4:$AH$583,3,))*$F532</f>
        <v>-1.0369789769162552</v>
      </c>
      <c r="L532" s="132">
        <f>(VLOOKUP($E532,$D$4:$AH$583,9,)/VLOOKUP($E532,$D$4:$AH$583,3,))*$F532</f>
        <v>-4.6431894488787553E-2</v>
      </c>
      <c r="M532" s="132">
        <f>(VLOOKUP($E532,$D$4:$AH$583,10,)/VLOOKUP($E532,$D$4:$AH$583,3,))*$F532</f>
        <v>0</v>
      </c>
      <c r="N532" s="84">
        <f>(VLOOKUP($E532,$D$4:$AH$583,11,)/VLOOKUP($E532,$D$4:$AH$583,3,))*$F532</f>
        <v>0</v>
      </c>
      <c r="O532" s="84">
        <f>(VLOOKUP($E532,$D$4:$AH$583,12,)/VLOOKUP($E532,$D$4:$AH$583,3,))*$F532</f>
        <v>0</v>
      </c>
      <c r="P532" s="84">
        <f>(VLOOKUP($E532,$D$4:$AH$583,13,)/VLOOKUP($E532,$D$4:$AH$583,3,))*$F532</f>
        <v>0</v>
      </c>
      <c r="Q532" s="84">
        <f>(VLOOKUP($E532,$D$4:$AH$583,14,)/VLOOKUP($E532,$D$4:$AH$583,3,))*$F532</f>
        <v>0</v>
      </c>
      <c r="R532" s="84">
        <f>(VLOOKUP($E532,$D$4:$AH$583,15,)/VLOOKUP($E532,$D$4:$AH$583,3,))*$F532</f>
        <v>0</v>
      </c>
      <c r="S532" s="84">
        <f>(VLOOKUP($E532,$D$4:$AH$583,16,)/VLOOKUP($E532,$D$4:$AH$583,3,))*$F532</f>
        <v>0</v>
      </c>
      <c r="T532" s="34">
        <f>SUM(G532:S532)</f>
        <v>-226.83255431185214</v>
      </c>
      <c r="U532" s="85" t="str">
        <f t="shared" ref="U532:U534" si="149">IF(ABS(F532-T532)&lt;0.01,"ok","err")</f>
        <v>ok</v>
      </c>
    </row>
    <row r="533" spans="1:21" x14ac:dyDescent="0.2">
      <c r="A533" s="17" t="s">
        <v>863</v>
      </c>
      <c r="F533" s="49">
        <f>F531+F532</f>
        <v>1346.0690687126983</v>
      </c>
      <c r="G533" s="49">
        <f t="shared" ref="G533" si="150">G531+G532</f>
        <v>-185.69814348352745</v>
      </c>
      <c r="H533" s="49">
        <f t="shared" ref="H533" si="151">H531+H532</f>
        <v>1572.9016230322977</v>
      </c>
      <c r="I533" s="49">
        <f t="shared" ref="I533" si="152">I531+I532</f>
        <v>-24.357019619709455</v>
      </c>
      <c r="J533" s="49">
        <f t="shared" ref="J533" si="153">J531+J532</f>
        <v>-15.693980337210188</v>
      </c>
      <c r="K533" s="49">
        <f t="shared" ref="K533" si="154">K531+K532</f>
        <v>-1.0369789769162552</v>
      </c>
      <c r="L533" s="49">
        <f t="shared" ref="L533" si="155">L531+L532</f>
        <v>-4.6431894488787553E-2</v>
      </c>
      <c r="M533" s="49">
        <f t="shared" ref="M533" si="156">M531+M532</f>
        <v>0</v>
      </c>
      <c r="N533" s="53"/>
      <c r="O533" s="53"/>
      <c r="P533" s="53"/>
      <c r="Q533" s="53"/>
      <c r="R533" s="53"/>
      <c r="S533" s="53"/>
      <c r="T533" s="34">
        <f>SUM(G533:S533)</f>
        <v>1346.0690687204456</v>
      </c>
      <c r="U533" s="85" t="str">
        <f t="shared" si="149"/>
        <v>ok</v>
      </c>
    </row>
    <row r="534" spans="1:21" x14ac:dyDescent="0.2">
      <c r="A534" s="17" t="s">
        <v>864</v>
      </c>
      <c r="D534" s="17" t="s">
        <v>842</v>
      </c>
      <c r="F534" s="228">
        <v>1</v>
      </c>
      <c r="G534" s="115">
        <f>G533/$F$533</f>
        <v>-0.13795588042233101</v>
      </c>
      <c r="H534" s="115">
        <f t="shared" ref="H534:M534" si="157">H533/$F$533</f>
        <v>1.1685147958540707</v>
      </c>
      <c r="I534" s="115">
        <f t="shared" si="157"/>
        <v>-1.8094925576889666E-2</v>
      </c>
      <c r="J534" s="115">
        <f t="shared" si="157"/>
        <v>-1.1659119655887342E-2</v>
      </c>
      <c r="K534" s="115">
        <f t="shared" si="157"/>
        <v>-7.7037575635547533E-4</v>
      </c>
      <c r="L534" s="115">
        <f t="shared" si="157"/>
        <v>-3.4494436851737705E-5</v>
      </c>
      <c r="M534" s="115">
        <f t="shared" si="157"/>
        <v>0</v>
      </c>
      <c r="N534" s="53"/>
      <c r="O534" s="53"/>
      <c r="P534" s="53"/>
      <c r="Q534" s="53"/>
      <c r="R534" s="53"/>
      <c r="S534" s="53"/>
      <c r="T534" s="201">
        <f t="shared" ref="T534" si="158">SUM(G534:S534)</f>
        <v>1.0000000000057554</v>
      </c>
      <c r="U534" s="85" t="str">
        <f t="shared" si="149"/>
        <v>ok</v>
      </c>
    </row>
    <row r="535" spans="1:21" x14ac:dyDescent="0.2">
      <c r="A535" s="17"/>
      <c r="F535" s="49"/>
      <c r="G535" s="49"/>
      <c r="H535" s="49"/>
      <c r="I535" s="49"/>
      <c r="J535" s="49"/>
      <c r="K535" s="49"/>
      <c r="L535" s="49"/>
      <c r="M535" s="49"/>
      <c r="N535" s="53"/>
      <c r="O535" s="53"/>
      <c r="P535" s="53"/>
      <c r="Q535" s="53"/>
      <c r="R535" s="53"/>
      <c r="S535" s="53"/>
      <c r="T535" s="53"/>
      <c r="U535" s="111"/>
    </row>
    <row r="536" spans="1:21" x14ac:dyDescent="0.2">
      <c r="A536" s="17"/>
      <c r="F536" s="49"/>
      <c r="G536" s="49"/>
      <c r="H536" s="49"/>
      <c r="I536" s="49"/>
      <c r="J536" s="49"/>
      <c r="K536" s="49"/>
      <c r="L536" s="49"/>
      <c r="M536" s="49"/>
      <c r="N536" s="53"/>
      <c r="O536" s="53"/>
      <c r="P536" s="53"/>
      <c r="Q536" s="53"/>
      <c r="R536" s="53"/>
      <c r="S536" s="53"/>
      <c r="T536" s="53"/>
      <c r="U536" s="111"/>
    </row>
    <row r="537" spans="1:21" x14ac:dyDescent="0.2">
      <c r="A537" s="48" t="s">
        <v>672</v>
      </c>
      <c r="B537" s="48"/>
      <c r="C537" s="48"/>
      <c r="D537" s="48" t="s">
        <v>673</v>
      </c>
      <c r="E537" s="48"/>
      <c r="F537" s="49">
        <v>1</v>
      </c>
      <c r="G537" s="64">
        <v>1</v>
      </c>
      <c r="H537" s="64">
        <v>0</v>
      </c>
      <c r="I537" s="64">
        <v>0</v>
      </c>
      <c r="J537" s="64">
        <v>0</v>
      </c>
      <c r="K537" s="64">
        <v>0</v>
      </c>
      <c r="L537" s="64">
        <v>0</v>
      </c>
      <c r="M537" s="64">
        <v>0</v>
      </c>
      <c r="N537" s="64"/>
      <c r="O537" s="64"/>
      <c r="P537" s="64"/>
      <c r="Q537" s="64"/>
      <c r="R537" s="64"/>
      <c r="S537" s="64"/>
      <c r="T537" s="53">
        <f>(SUM(G537:S537))</f>
        <v>1</v>
      </c>
      <c r="U537" s="111" t="str">
        <f>IF(ABS(F537-T537)&lt;0.0001,"ok","err")</f>
        <v>ok</v>
      </c>
    </row>
    <row r="538" spans="1:21" x14ac:dyDescent="0.2">
      <c r="A538" s="7" t="s">
        <v>669</v>
      </c>
      <c r="F538" s="49"/>
      <c r="G538" s="64"/>
      <c r="H538" s="64"/>
      <c r="I538" s="64"/>
      <c r="J538" s="64"/>
      <c r="K538" s="64"/>
      <c r="L538" s="64"/>
      <c r="M538" s="64"/>
      <c r="N538" s="14"/>
      <c r="O538" s="14"/>
      <c r="P538" s="14"/>
      <c r="Q538" s="14"/>
      <c r="R538" s="14"/>
      <c r="S538" s="14"/>
      <c r="T538" s="14"/>
      <c r="U538" s="42"/>
    </row>
    <row r="539" spans="1:21" x14ac:dyDescent="0.2">
      <c r="F539" s="48"/>
      <c r="G539" s="48"/>
      <c r="H539" s="48"/>
      <c r="I539" s="48"/>
      <c r="J539" s="48"/>
      <c r="K539" s="48"/>
      <c r="L539" s="48"/>
      <c r="M539" s="48"/>
    </row>
    <row r="540" spans="1:21" x14ac:dyDescent="0.2">
      <c r="A540" s="1" t="s">
        <v>663</v>
      </c>
      <c r="F540" s="48"/>
      <c r="G540" s="48"/>
      <c r="H540" s="48"/>
      <c r="I540" s="48"/>
      <c r="J540" s="48"/>
      <c r="K540" s="48"/>
      <c r="L540" s="48"/>
      <c r="M540" s="48"/>
    </row>
    <row r="541" spans="1:21" x14ac:dyDescent="0.2">
      <c r="F541" s="48"/>
      <c r="G541" s="48"/>
      <c r="H541" s="48"/>
      <c r="I541" s="48"/>
      <c r="J541" s="48"/>
      <c r="K541" s="48"/>
      <c r="L541" s="48"/>
      <c r="M541" s="48"/>
    </row>
    <row r="542" spans="1:21" x14ac:dyDescent="0.2">
      <c r="A542" s="19" t="s">
        <v>306</v>
      </c>
      <c r="D542" s="19" t="s">
        <v>310</v>
      </c>
      <c r="F542" s="70">
        <f t="shared" ref="F542:M542" si="159">F380</f>
        <v>3596658.5232218169</v>
      </c>
      <c r="G542" s="70">
        <f t="shared" si="159"/>
        <v>652748.3999817539</v>
      </c>
      <c r="H542" s="70">
        <f t="shared" si="159"/>
        <v>58703.828560701571</v>
      </c>
      <c r="I542" s="70">
        <f t="shared" si="159"/>
        <v>1038568.6506159957</v>
      </c>
      <c r="J542" s="70">
        <f t="shared" si="159"/>
        <v>1654870.9947377369</v>
      </c>
      <c r="K542" s="70">
        <f t="shared" si="159"/>
        <v>1370113.9940425162</v>
      </c>
      <c r="L542" s="70">
        <f t="shared" si="159"/>
        <v>-599263.85950094042</v>
      </c>
      <c r="M542" s="70">
        <f t="shared" si="159"/>
        <v>-579083.50012430409</v>
      </c>
      <c r="N542" s="36">
        <v>0</v>
      </c>
      <c r="O542" s="36">
        <v>0</v>
      </c>
      <c r="P542" s="36">
        <v>0</v>
      </c>
      <c r="Q542" s="36">
        <v>0</v>
      </c>
      <c r="R542" s="36">
        <v>0</v>
      </c>
      <c r="S542" s="36">
        <v>0</v>
      </c>
      <c r="T542" s="24">
        <f>ROUND(SUM(G542:S542),2)</f>
        <v>3596658.51</v>
      </c>
      <c r="U542" s="88" t="str">
        <f>IF(ABS(F542-T542)&lt;0.1,"ok","err")</f>
        <v>ok</v>
      </c>
    </row>
    <row r="543" spans="1:21" x14ac:dyDescent="0.2">
      <c r="F543" s="48"/>
      <c r="G543" s="48"/>
      <c r="H543" s="48"/>
      <c r="I543" s="48"/>
      <c r="J543" s="48"/>
      <c r="K543" s="48"/>
      <c r="L543" s="48"/>
      <c r="M543" s="48"/>
    </row>
    <row r="544" spans="1:21" s="28" customFormat="1" x14ac:dyDescent="0.2">
      <c r="A544" s="19" t="s">
        <v>657</v>
      </c>
      <c r="B544" s="19"/>
      <c r="C544" s="19"/>
      <c r="D544" s="19" t="s">
        <v>309</v>
      </c>
      <c r="E544" s="19" t="s">
        <v>209</v>
      </c>
      <c r="F544" s="204">
        <f>'S5-Functional Assignment'!F561</f>
        <v>2639800</v>
      </c>
      <c r="G544" s="132">
        <f>(VLOOKUP($E544,$D$4:$AH$583,4,)/VLOOKUP($E544,$D$4:$AH$583,3,))*$F544</f>
        <v>1473495.4651214406</v>
      </c>
      <c r="H544" s="132">
        <f>(VLOOKUP($E544,$D$4:$AH$583,5,)/VLOOKUP($E544,$D$4:$AH$583,3,))*$F544</f>
        <v>15401.147496335925</v>
      </c>
      <c r="I544" s="132">
        <f>(VLOOKUP($E544,$D$4:$AH$583,6,)/VLOOKUP($E544,$D$4:$AH$583,3,))*$F544</f>
        <v>319513.86863052082</v>
      </c>
      <c r="J544" s="132">
        <f>(VLOOKUP($E544,$D$4:$AH$583,7,)/VLOOKUP($E544,$D$4:$AH$583,3,))*$F544</f>
        <v>532924.72509196505</v>
      </c>
      <c r="K544" s="132">
        <f>(VLOOKUP($E544,$D$4:$AH$583,8,)/VLOOKUP($E544,$D$4:$AH$583,3,))*$F544</f>
        <v>35413.124460561383</v>
      </c>
      <c r="L544" s="132">
        <f>(VLOOKUP($E544,$D$4:$AH$583,9,)/VLOOKUP($E544,$D$4:$AH$583,3,))*$F544</f>
        <v>58140.407114072805</v>
      </c>
      <c r="M544" s="132">
        <f>(VLOOKUP($E544,$D$4:$AH$583,10,)/VLOOKUP($E544,$D$4:$AH$583,3,))*$F544</f>
        <v>204911.2639492446</v>
      </c>
      <c r="N544" s="84">
        <f>(VLOOKUP($E544,$D$4:$AH$583,11,)/VLOOKUP($E544,$D$4:$AH$583,3,))*$F544</f>
        <v>0</v>
      </c>
      <c r="O544" s="84">
        <f>(VLOOKUP($E544,$D$4:$AH$583,12,)/VLOOKUP($E544,$D$4:$AH$583,3,))*$F544</f>
        <v>0</v>
      </c>
      <c r="P544" s="84">
        <f>(VLOOKUP($E544,$D$4:$AH$583,13,)/VLOOKUP($E544,$D$4:$AH$583,3,))*$F544</f>
        <v>0</v>
      </c>
      <c r="Q544" s="84">
        <f>(VLOOKUP($E544,$D$4:$AH$583,14,)/VLOOKUP($E544,$D$4:$AH$583,3,))*$F544</f>
        <v>0</v>
      </c>
      <c r="R544" s="84">
        <f>(VLOOKUP($E544,$D$4:$AH$583,15,)/VLOOKUP($E544,$D$4:$AH$583,3,))*$F544</f>
        <v>0</v>
      </c>
      <c r="S544" s="84">
        <f>(VLOOKUP($E544,$D$4:$AH$583,16,)/VLOOKUP($E544,$D$4:$AH$583,3,))*$F544</f>
        <v>0</v>
      </c>
      <c r="T544" s="35">
        <f>SUM(G544:S544)</f>
        <v>2639800.0018641409</v>
      </c>
      <c r="U544" s="85" t="str">
        <f>IF(ABS(F544-T544)&lt;0.01,"ok","err")</f>
        <v>ok</v>
      </c>
    </row>
    <row r="545" spans="1:21" s="28" customFormat="1" x14ac:dyDescent="0.2">
      <c r="A545" s="57" t="s">
        <v>658</v>
      </c>
      <c r="B545" s="57"/>
      <c r="C545" s="57"/>
      <c r="D545" s="57"/>
      <c r="E545" s="57" t="s">
        <v>209</v>
      </c>
      <c r="F545" s="58">
        <v>0</v>
      </c>
      <c r="G545" s="132">
        <f>(VLOOKUP($E545,$D$4:$AH$583,4,)/VLOOKUP($E545,$D$4:$AH$583,3,))*$F545</f>
        <v>0</v>
      </c>
      <c r="H545" s="132">
        <f>(VLOOKUP($E545,$D$4:$AH$583,5,)/VLOOKUP($E545,$D$4:$AH$583,3,))*$F545</f>
        <v>0</v>
      </c>
      <c r="I545" s="132">
        <f>(VLOOKUP($E545,$D$4:$AH$583,6,)/VLOOKUP($E545,$D$4:$AH$583,3,))*$F545</f>
        <v>0</v>
      </c>
      <c r="J545" s="132">
        <f>(VLOOKUP($E545,$D$4:$AH$583,7,)/VLOOKUP($E545,$D$4:$AH$583,3,))*$F545</f>
        <v>0</v>
      </c>
      <c r="K545" s="132">
        <f>(VLOOKUP($E545,$D$4:$AH$583,8,)/VLOOKUP($E545,$D$4:$AH$583,3,))*$F545</f>
        <v>0</v>
      </c>
      <c r="L545" s="132">
        <f>(VLOOKUP($E545,$D$4:$AH$583,9,)/VLOOKUP($E545,$D$4:$AH$583,3,))*$F545</f>
        <v>0</v>
      </c>
      <c r="M545" s="132">
        <f>(VLOOKUP($E545,$D$4:$AH$583,10,)/VLOOKUP($E545,$D$4:$AH$583,3,))*$F545</f>
        <v>0</v>
      </c>
      <c r="N545" s="132">
        <f>(VLOOKUP($E545,$D$4:$AH$583,11,)/VLOOKUP($E545,$D$4:$AH$583,3,))*$F545</f>
        <v>0</v>
      </c>
      <c r="O545" s="132">
        <f>(VLOOKUP($E545,$D$4:$AH$583,12,)/VLOOKUP($E545,$D$4:$AH$583,3,))*$F545</f>
        <v>0</v>
      </c>
      <c r="P545" s="132">
        <f>(VLOOKUP($E545,$D$4:$AH$583,13,)/VLOOKUP($E545,$D$4:$AH$583,3,))*$F545</f>
        <v>0</v>
      </c>
      <c r="Q545" s="132">
        <f>(VLOOKUP($E545,$D$4:$AH$583,14,)/VLOOKUP($E545,$D$4:$AH$583,3,))*$F545</f>
        <v>0</v>
      </c>
      <c r="R545" s="132">
        <f>(VLOOKUP($E545,$D$4:$AH$583,15,)/VLOOKUP($E545,$D$4:$AH$583,3,))*$F545</f>
        <v>0</v>
      </c>
      <c r="S545" s="132">
        <f>(VLOOKUP($E545,$D$4:$AH$583,16,)/VLOOKUP($E545,$D$4:$AH$583,3,))*$F545</f>
        <v>0</v>
      </c>
      <c r="T545" s="133">
        <f>SUM(G545:S545)</f>
        <v>0</v>
      </c>
      <c r="U545" s="134" t="str">
        <f>IF(ABS(F545-T545)&lt;0.01,"ok","err")</f>
        <v>ok</v>
      </c>
    </row>
    <row r="546" spans="1:21" x14ac:dyDescent="0.2">
      <c r="F546" s="48"/>
      <c r="G546" s="48"/>
      <c r="H546" s="48"/>
      <c r="I546" s="48"/>
      <c r="J546" s="48"/>
      <c r="K546" s="48"/>
      <c r="L546" s="48"/>
      <c r="M546" s="48"/>
    </row>
    <row r="547" spans="1:21" s="28" customFormat="1" x14ac:dyDescent="0.2">
      <c r="A547" s="28" t="s">
        <v>305</v>
      </c>
      <c r="D547" s="28" t="s">
        <v>308</v>
      </c>
      <c r="F547" s="133">
        <f>F542-F544-F545</f>
        <v>956858.52322181687</v>
      </c>
      <c r="G547" s="133">
        <f>G542-G544-G545</f>
        <v>-820747.06513968669</v>
      </c>
      <c r="H547" s="133">
        <f t="shared" ref="H547:S547" si="160">H542-H544-H545</f>
        <v>43302.68106436565</v>
      </c>
      <c r="I547" s="133">
        <f t="shared" si="160"/>
        <v>719054.78198547498</v>
      </c>
      <c r="J547" s="133">
        <f t="shared" si="160"/>
        <v>1121946.2696457719</v>
      </c>
      <c r="K547" s="133">
        <f t="shared" si="160"/>
        <v>1334700.8695819548</v>
      </c>
      <c r="L547" s="133">
        <f t="shared" si="160"/>
        <v>-657404.26661501324</v>
      </c>
      <c r="M547" s="133">
        <f t="shared" si="160"/>
        <v>-783994.76407354872</v>
      </c>
      <c r="N547" s="35">
        <f t="shared" si="160"/>
        <v>0</v>
      </c>
      <c r="O547" s="35">
        <f t="shared" si="160"/>
        <v>0</v>
      </c>
      <c r="P547" s="35">
        <f t="shared" si="160"/>
        <v>0</v>
      </c>
      <c r="Q547" s="35">
        <f t="shared" si="160"/>
        <v>0</v>
      </c>
      <c r="R547" s="35">
        <f t="shared" si="160"/>
        <v>0</v>
      </c>
      <c r="S547" s="35">
        <f t="shared" si="160"/>
        <v>0</v>
      </c>
      <c r="T547" s="35">
        <f>SUM(G547:S547)</f>
        <v>956858.50644931907</v>
      </c>
      <c r="U547" s="85" t="str">
        <f>IF(ABS(F547-T547)&lt;0.1,"ok","err")</f>
        <v>ok</v>
      </c>
    </row>
    <row r="548" spans="1:21" x14ac:dyDescent="0.2">
      <c r="F548" s="48"/>
      <c r="G548" s="48"/>
      <c r="H548" s="48"/>
      <c r="I548" s="48"/>
      <c r="J548" s="48"/>
      <c r="K548" s="48"/>
      <c r="L548" s="48"/>
      <c r="M548" s="48"/>
    </row>
    <row r="549" spans="1:21" x14ac:dyDescent="0.2">
      <c r="F549" s="48"/>
      <c r="G549" s="189"/>
      <c r="H549" s="48"/>
      <c r="I549" s="48"/>
      <c r="J549" s="48"/>
      <c r="K549" s="48"/>
      <c r="L549" s="48"/>
      <c r="M549" s="48"/>
    </row>
    <row r="550" spans="1:21" x14ac:dyDescent="0.2">
      <c r="A550" s="1" t="s">
        <v>713</v>
      </c>
      <c r="F550" s="48"/>
      <c r="G550" s="48"/>
      <c r="H550" s="48"/>
      <c r="I550" s="48"/>
      <c r="J550" s="48"/>
      <c r="K550" s="48"/>
      <c r="L550" s="48"/>
      <c r="M550" s="48"/>
    </row>
    <row r="551" spans="1:21" x14ac:dyDescent="0.2">
      <c r="A551" s="19" t="s">
        <v>326</v>
      </c>
      <c r="F551" s="127">
        <v>36425</v>
      </c>
      <c r="G551" s="127">
        <f t="shared" ref="G551:T551" si="161">G557</f>
        <v>30980</v>
      </c>
      <c r="H551" s="127">
        <v>3306</v>
      </c>
      <c r="I551" s="127">
        <f t="shared" ref="I551:M551" si="162">I557</f>
        <v>4361</v>
      </c>
      <c r="J551" s="127">
        <f t="shared" si="162"/>
        <v>1014</v>
      </c>
      <c r="K551" s="127">
        <f t="shared" si="162"/>
        <v>67</v>
      </c>
      <c r="L551" s="127">
        <f t="shared" si="162"/>
        <v>3</v>
      </c>
      <c r="M551" s="127">
        <f t="shared" si="162"/>
        <v>0</v>
      </c>
      <c r="N551" s="112">
        <f t="shared" si="161"/>
        <v>0</v>
      </c>
      <c r="O551" s="112">
        <f t="shared" si="161"/>
        <v>0</v>
      </c>
      <c r="P551" s="112">
        <f t="shared" si="161"/>
        <v>0</v>
      </c>
      <c r="Q551" s="112">
        <f t="shared" si="161"/>
        <v>0</v>
      </c>
      <c r="R551" s="112">
        <f t="shared" si="161"/>
        <v>0</v>
      </c>
      <c r="S551" s="112">
        <f t="shared" si="161"/>
        <v>0</v>
      </c>
      <c r="T551" s="112">
        <f t="shared" si="161"/>
        <v>36425</v>
      </c>
      <c r="U551" s="88" t="str">
        <f>IF(ABS(F551-T551)&lt;0.01,"ok","err")</f>
        <v>ok</v>
      </c>
    </row>
    <row r="552" spans="1:21" x14ac:dyDescent="0.2">
      <c r="A552" s="48" t="s">
        <v>371</v>
      </c>
      <c r="B552" s="48"/>
      <c r="C552" s="48"/>
      <c r="D552" s="48"/>
      <c r="E552" s="48"/>
      <c r="F552" s="48"/>
      <c r="G552" s="231">
        <f>399.11*1.33553114995647</f>
        <v>533.02383725912671</v>
      </c>
      <c r="H552" s="231">
        <f>399.11*1.33553114995647</f>
        <v>533.02383725912671</v>
      </c>
      <c r="I552" s="231">
        <f>641.37*1.33553114995647</f>
        <v>856.56961364758115</v>
      </c>
      <c r="J552" s="231">
        <f>((0.049582*14806.62)+(1-0.049582)*(2293.86))*1.33553114995647</f>
        <v>3892.0952476813077</v>
      </c>
      <c r="K552" s="231">
        <f>8506*1.33553114995647</f>
        <v>11360.027961529733</v>
      </c>
      <c r="L552" s="231">
        <f>13700*1.33553114995647</f>
        <v>18296.77675440364</v>
      </c>
      <c r="M552" s="48"/>
      <c r="N552" s="48"/>
      <c r="O552" s="48"/>
      <c r="P552" s="48"/>
      <c r="Q552" s="48"/>
      <c r="R552" s="48"/>
      <c r="S552" s="48"/>
      <c r="T552" s="48"/>
      <c r="U552" s="48"/>
    </row>
    <row r="553" spans="1:21" x14ac:dyDescent="0.2">
      <c r="A553" s="48" t="s">
        <v>327</v>
      </c>
      <c r="B553" s="48"/>
      <c r="C553" s="48"/>
      <c r="D553" s="48"/>
      <c r="E553" s="48"/>
      <c r="F553" s="49">
        <v>26773352.154218074</v>
      </c>
      <c r="G553" s="127">
        <f t="shared" ref="G553:H553" si="163">G551*G552</f>
        <v>16513078.478287745</v>
      </c>
      <c r="H553" s="127">
        <f t="shared" si="163"/>
        <v>1762176.8059786728</v>
      </c>
      <c r="I553" s="127">
        <f t="shared" ref="I553:M553" si="164">I551*I552</f>
        <v>3735500.0851171012</v>
      </c>
      <c r="J553" s="127">
        <f t="shared" si="164"/>
        <v>3946584.5811488461</v>
      </c>
      <c r="K553" s="127">
        <f t="shared" si="164"/>
        <v>761121.87342249206</v>
      </c>
      <c r="L553" s="127">
        <f t="shared" si="164"/>
        <v>54890.330263210919</v>
      </c>
      <c r="M553" s="127">
        <f t="shared" si="164"/>
        <v>0</v>
      </c>
      <c r="N553" s="127">
        <v>0</v>
      </c>
      <c r="O553" s="127">
        <v>0</v>
      </c>
      <c r="P553" s="127">
        <v>0</v>
      </c>
      <c r="Q553" s="127">
        <v>0</v>
      </c>
      <c r="R553" s="127">
        <v>0</v>
      </c>
      <c r="S553" s="127">
        <v>0</v>
      </c>
      <c r="T553" s="49">
        <f>SUM(G553:S553)</f>
        <v>26773352.154218074</v>
      </c>
      <c r="U553" s="128" t="str">
        <f>IF(ABS(F553-T553)&lt;0.01,"ok","err")</f>
        <v>ok</v>
      </c>
    </row>
    <row r="554" spans="1:21" x14ac:dyDescent="0.2">
      <c r="F554" s="48"/>
      <c r="G554" s="48"/>
      <c r="H554" s="48"/>
      <c r="I554" s="48"/>
      <c r="J554" s="48"/>
      <c r="K554" s="48"/>
      <c r="L554" s="48"/>
      <c r="M554" s="48"/>
    </row>
    <row r="555" spans="1:21" x14ac:dyDescent="0.2">
      <c r="F555" s="48"/>
      <c r="G555" s="48"/>
      <c r="H555" s="48"/>
      <c r="I555" s="48"/>
      <c r="J555" s="48"/>
      <c r="K555" s="48"/>
      <c r="L555" s="48"/>
      <c r="M555" s="48"/>
    </row>
    <row r="556" spans="1:21" x14ac:dyDescent="0.2">
      <c r="A556" s="1" t="s">
        <v>712</v>
      </c>
      <c r="F556" s="48"/>
      <c r="G556" s="48"/>
      <c r="H556" s="48"/>
      <c r="I556" s="48"/>
      <c r="J556" s="48"/>
      <c r="K556" s="48"/>
      <c r="L556" s="48"/>
      <c r="M556" s="48"/>
    </row>
    <row r="557" spans="1:21" x14ac:dyDescent="0.2">
      <c r="A557" s="19" t="s">
        <v>326</v>
      </c>
      <c r="F557" s="127">
        <v>36425</v>
      </c>
      <c r="G557" s="127">
        <f>G482</f>
        <v>30980</v>
      </c>
      <c r="H557" s="127">
        <f>H482</f>
        <v>0</v>
      </c>
      <c r="I557" s="127">
        <f>I482</f>
        <v>4361</v>
      </c>
      <c r="J557" s="127">
        <f>J482</f>
        <v>1014</v>
      </c>
      <c r="K557" s="127">
        <f>K482</f>
        <v>67</v>
      </c>
      <c r="L557" s="127">
        <v>3</v>
      </c>
      <c r="M557" s="127">
        <f t="shared" ref="M557:S557" si="165">M482</f>
        <v>0</v>
      </c>
      <c r="N557" s="112">
        <f t="shared" si="165"/>
        <v>0</v>
      </c>
      <c r="O557" s="112">
        <f t="shared" si="165"/>
        <v>0</v>
      </c>
      <c r="P557" s="112">
        <f t="shared" si="165"/>
        <v>0</v>
      </c>
      <c r="Q557" s="112">
        <f t="shared" si="165"/>
        <v>0</v>
      </c>
      <c r="R557" s="112">
        <f t="shared" si="165"/>
        <v>0</v>
      </c>
      <c r="S557" s="112">
        <f t="shared" si="165"/>
        <v>0</v>
      </c>
      <c r="T557" s="53">
        <f>SUM(G557:S557)</f>
        <v>36425</v>
      </c>
      <c r="U557" s="88" t="str">
        <f>IF(ABS(F557-T557)&lt;0.01,"ok","err")</f>
        <v>ok</v>
      </c>
    </row>
    <row r="558" spans="1:21" x14ac:dyDescent="0.2">
      <c r="A558" s="48" t="s">
        <v>371</v>
      </c>
      <c r="B558" s="48"/>
      <c r="C558" s="48"/>
      <c r="D558" s="48"/>
      <c r="E558" s="48"/>
      <c r="F558" s="48"/>
      <c r="G558" s="231">
        <f>764.11*1.81092504563603</f>
        <v>1383.7459366209468</v>
      </c>
      <c r="H558" s="231">
        <v>0</v>
      </c>
      <c r="I558" s="231">
        <f>711.98*1.81092504563603</f>
        <v>1289.3424139919407</v>
      </c>
      <c r="J558" s="231">
        <f>1972.99*1.81092504563603</f>
        <v>3572.9370057894307</v>
      </c>
      <c r="K558" s="231">
        <f>1972.99*1.81092504563603</f>
        <v>3572.9370057894307</v>
      </c>
      <c r="L558" s="231">
        <f>1972.99*1.81092504563603</f>
        <v>3572.9370057894307</v>
      </c>
      <c r="M558" s="48">
        <v>0</v>
      </c>
      <c r="N558" s="48"/>
      <c r="O558" s="48"/>
      <c r="P558" s="48"/>
      <c r="Q558" s="48"/>
      <c r="R558" s="48"/>
      <c r="S558" s="48"/>
      <c r="T558" s="48"/>
    </row>
    <row r="559" spans="1:21" x14ac:dyDescent="0.2">
      <c r="A559" s="48" t="s">
        <v>659</v>
      </c>
      <c r="B559" s="48"/>
      <c r="C559" s="48"/>
      <c r="D559" s="48"/>
      <c r="E559" s="48"/>
      <c r="F559" s="49">
        <v>52364335.098211534</v>
      </c>
      <c r="G559" s="127">
        <f t="shared" ref="G559:S559" si="166">G557*G558</f>
        <v>42868449.116516933</v>
      </c>
      <c r="H559" s="127">
        <f t="shared" si="166"/>
        <v>0</v>
      </c>
      <c r="I559" s="127">
        <f t="shared" ref="I559:M559" si="167">I557*I558</f>
        <v>5622822.267418853</v>
      </c>
      <c r="J559" s="127">
        <f t="shared" si="167"/>
        <v>3622958.1238704827</v>
      </c>
      <c r="K559" s="127">
        <f t="shared" si="167"/>
        <v>239386.77938789185</v>
      </c>
      <c r="L559" s="127">
        <f t="shared" si="167"/>
        <v>10718.811017368293</v>
      </c>
      <c r="M559" s="127">
        <f t="shared" si="167"/>
        <v>0</v>
      </c>
      <c r="N559" s="127">
        <f t="shared" si="166"/>
        <v>0</v>
      </c>
      <c r="O559" s="127">
        <f t="shared" si="166"/>
        <v>0</v>
      </c>
      <c r="P559" s="127">
        <f t="shared" si="166"/>
        <v>0</v>
      </c>
      <c r="Q559" s="127">
        <f t="shared" si="166"/>
        <v>0</v>
      </c>
      <c r="R559" s="127">
        <f t="shared" si="166"/>
        <v>0</v>
      </c>
      <c r="S559" s="127">
        <f t="shared" si="166"/>
        <v>0</v>
      </c>
      <c r="T559" s="49">
        <f>SUM(G559:S559)</f>
        <v>52364335.098211534</v>
      </c>
      <c r="U559" s="88" t="str">
        <f>IF(ABS(F559-T559)&lt;0.01,"ok","err")</f>
        <v>ok</v>
      </c>
    </row>
    <row r="560" spans="1:21" x14ac:dyDescent="0.2">
      <c r="F560" s="48"/>
      <c r="G560" s="48"/>
      <c r="H560" s="48"/>
      <c r="I560" s="48"/>
      <c r="J560" s="48"/>
      <c r="K560" s="48"/>
      <c r="L560" s="48"/>
      <c r="M560" s="48"/>
    </row>
    <row r="561" spans="1:22" s="53" customFormat="1" x14ac:dyDescent="0.2">
      <c r="A561" s="1" t="s">
        <v>718</v>
      </c>
      <c r="D561" s="53" t="s">
        <v>719</v>
      </c>
      <c r="F561" s="115">
        <v>1</v>
      </c>
      <c r="G561" s="115">
        <v>1</v>
      </c>
      <c r="H561" s="115">
        <v>0</v>
      </c>
      <c r="I561" s="115">
        <v>0</v>
      </c>
      <c r="J561" s="115">
        <v>0</v>
      </c>
      <c r="K561" s="49"/>
      <c r="L561" s="49"/>
      <c r="M561" s="49"/>
      <c r="T561" s="54">
        <f>SUM(G561:S561)</f>
        <v>1</v>
      </c>
      <c r="U561" s="88" t="str">
        <f>IF(ABS(F561-T561)&lt;0.01,"ok","err")</f>
        <v>ok</v>
      </c>
    </row>
    <row r="562" spans="1:22" x14ac:dyDescent="0.2">
      <c r="F562" s="48"/>
      <c r="G562" s="48"/>
      <c r="H562" s="48"/>
      <c r="I562" s="48"/>
      <c r="J562" s="48"/>
      <c r="K562" s="49"/>
      <c r="L562" s="48"/>
      <c r="M562" s="48"/>
    </row>
    <row r="563" spans="1:22" x14ac:dyDescent="0.2">
      <c r="A563" s="1" t="s">
        <v>721</v>
      </c>
      <c r="D563" s="19" t="s">
        <v>722</v>
      </c>
      <c r="F563" s="232">
        <v>0</v>
      </c>
      <c r="G563" s="48">
        <v>0</v>
      </c>
      <c r="H563" s="48">
        <v>0</v>
      </c>
      <c r="I563" s="48">
        <v>0</v>
      </c>
      <c r="J563" s="48">
        <v>0</v>
      </c>
      <c r="K563" s="49"/>
      <c r="L563" s="48"/>
      <c r="M563" s="48"/>
      <c r="T563" s="54">
        <f>SUM(G563:S563)</f>
        <v>0</v>
      </c>
      <c r="U563" s="88" t="str">
        <f>IF(ABS(F563-T563)&lt;0.01,"ok","err")</f>
        <v>ok</v>
      </c>
    </row>
    <row r="564" spans="1:22" x14ac:dyDescent="0.2">
      <c r="A564" s="1"/>
      <c r="F564" s="232"/>
      <c r="G564" s="48"/>
      <c r="H564" s="48"/>
      <c r="I564" s="48"/>
      <c r="J564" s="48"/>
      <c r="K564" s="49"/>
      <c r="L564" s="48"/>
      <c r="M564" s="48"/>
      <c r="T564" s="54"/>
      <c r="U564" s="88"/>
    </row>
    <row r="565" spans="1:22" s="53" customFormat="1" x14ac:dyDescent="0.2">
      <c r="A565" s="1" t="s">
        <v>732</v>
      </c>
      <c r="D565" s="53" t="s">
        <v>731</v>
      </c>
      <c r="F565" s="115">
        <v>0</v>
      </c>
      <c r="G565" s="232">
        <v>0</v>
      </c>
      <c r="H565" s="115">
        <v>0</v>
      </c>
      <c r="I565" s="115">
        <v>0</v>
      </c>
      <c r="J565" s="115">
        <v>0</v>
      </c>
      <c r="K565" s="49"/>
      <c r="L565" s="49"/>
      <c r="M565" s="49"/>
      <c r="T565" s="54">
        <f>SUM(G565:S565)</f>
        <v>0</v>
      </c>
      <c r="U565" s="88" t="str">
        <f>IF(ABS(F565-T565)&lt;0.01,"ok","err")</f>
        <v>ok</v>
      </c>
    </row>
    <row r="566" spans="1:22" s="53" customFormat="1" x14ac:dyDescent="0.2">
      <c r="A566" s="1"/>
      <c r="F566" s="115"/>
      <c r="G566" s="232"/>
      <c r="H566" s="115"/>
      <c r="I566" s="115"/>
      <c r="J566" s="115"/>
      <c r="K566" s="49"/>
      <c r="L566" s="49"/>
      <c r="M566" s="49"/>
      <c r="T566" s="54"/>
      <c r="U566" s="88"/>
    </row>
    <row r="567" spans="1:22" s="53" customFormat="1" x14ac:dyDescent="0.2">
      <c r="A567" s="1" t="s">
        <v>733</v>
      </c>
      <c r="D567" s="53" t="s">
        <v>734</v>
      </c>
      <c r="F567" s="115">
        <v>0</v>
      </c>
      <c r="G567" s="233">
        <v>0</v>
      </c>
      <c r="H567" s="234">
        <v>0</v>
      </c>
      <c r="I567" s="234">
        <v>0</v>
      </c>
      <c r="J567" s="234">
        <v>0</v>
      </c>
      <c r="K567" s="234">
        <v>0</v>
      </c>
      <c r="L567" s="49"/>
      <c r="M567" s="49"/>
      <c r="T567" s="54">
        <f>SUM(G567:S567)</f>
        <v>0</v>
      </c>
      <c r="U567" s="88" t="str">
        <f>IF(ABS(F567-T567)&lt;0.01,"ok","err")</f>
        <v>ok</v>
      </c>
    </row>
    <row r="568" spans="1:22" x14ac:dyDescent="0.2">
      <c r="F568" s="48"/>
      <c r="G568" s="48"/>
      <c r="H568" s="48"/>
      <c r="I568" s="48"/>
      <c r="J568" s="48"/>
      <c r="K568" s="48"/>
      <c r="L568" s="48"/>
      <c r="M568" s="48"/>
    </row>
    <row r="569" spans="1:22" x14ac:dyDescent="0.2">
      <c r="A569" s="1" t="s">
        <v>724</v>
      </c>
      <c r="F569" s="48"/>
      <c r="G569" s="48"/>
      <c r="H569" s="48"/>
      <c r="I569" s="48"/>
      <c r="J569" s="48"/>
      <c r="K569" s="48"/>
      <c r="L569" s="48"/>
      <c r="M569" s="48"/>
    </row>
    <row r="570" spans="1:22" x14ac:dyDescent="0.2">
      <c r="A570" s="9" t="s">
        <v>725</v>
      </c>
      <c r="F570" s="127">
        <f t="shared" ref="F570:S570" si="168">F460</f>
        <v>82207.19</v>
      </c>
      <c r="G570" s="127">
        <f t="shared" si="168"/>
        <v>22302</v>
      </c>
      <c r="H570" s="127">
        <f t="shared" si="168"/>
        <v>0</v>
      </c>
      <c r="I570" s="127">
        <f t="shared" si="168"/>
        <v>7749</v>
      </c>
      <c r="J570" s="127">
        <f t="shared" si="168"/>
        <v>21120</v>
      </c>
      <c r="K570" s="127">
        <f t="shared" si="168"/>
        <v>1686.19</v>
      </c>
      <c r="L570" s="127">
        <f t="shared" si="168"/>
        <v>6253</v>
      </c>
      <c r="M570" s="127">
        <f t="shared" si="168"/>
        <v>23097</v>
      </c>
      <c r="N570" s="112">
        <f t="shared" si="168"/>
        <v>0</v>
      </c>
      <c r="O570" s="112">
        <f t="shared" si="168"/>
        <v>0</v>
      </c>
      <c r="P570" s="112">
        <f t="shared" si="168"/>
        <v>0</v>
      </c>
      <c r="Q570" s="112">
        <f t="shared" si="168"/>
        <v>0</v>
      </c>
      <c r="R570" s="112">
        <f t="shared" si="168"/>
        <v>0</v>
      </c>
      <c r="S570" s="112">
        <f t="shared" si="168"/>
        <v>0</v>
      </c>
      <c r="T570" s="53">
        <f>SUM(G570:S570)</f>
        <v>82207.19</v>
      </c>
      <c r="U570" s="88" t="str">
        <f t="shared" ref="U570:U575" si="169">IF(ABS(F570-T570)&lt;0.01,"ok","err")</f>
        <v>ok</v>
      </c>
    </row>
    <row r="571" spans="1:22" x14ac:dyDescent="0.2">
      <c r="A571" s="9" t="s">
        <v>390</v>
      </c>
      <c r="F571" s="70">
        <f>F17</f>
        <v>82135228.611048251</v>
      </c>
      <c r="G571" s="48"/>
      <c r="H571" s="48"/>
      <c r="I571" s="48"/>
      <c r="J571" s="48"/>
      <c r="K571" s="48"/>
      <c r="L571" s="48"/>
      <c r="M571" s="48"/>
      <c r="T571" s="36">
        <f>F571</f>
        <v>82135228.611048251</v>
      </c>
      <c r="U571" s="88" t="str">
        <f t="shared" si="169"/>
        <v>ok</v>
      </c>
    </row>
    <row r="572" spans="1:22" x14ac:dyDescent="0.2">
      <c r="A572" s="61" t="s">
        <v>726</v>
      </c>
      <c r="B572" s="48"/>
      <c r="C572" s="48"/>
      <c r="D572" s="48"/>
      <c r="E572" s="48"/>
      <c r="F572" s="130">
        <v>36192.400000000001</v>
      </c>
      <c r="G572" s="130">
        <v>0</v>
      </c>
      <c r="H572" s="130">
        <v>0</v>
      </c>
      <c r="I572" s="130">
        <v>0</v>
      </c>
      <c r="J572" s="130">
        <v>0</v>
      </c>
      <c r="K572" s="130">
        <v>0</v>
      </c>
      <c r="L572" s="130">
        <v>36192.400000000001</v>
      </c>
      <c r="M572" s="48"/>
      <c r="N572" s="48"/>
      <c r="O572" s="48"/>
      <c r="P572" s="48"/>
      <c r="Q572" s="48"/>
      <c r="R572" s="48"/>
      <c r="S572" s="48"/>
      <c r="T572" s="129">
        <f>SUM(G572:S572)</f>
        <v>36192.400000000001</v>
      </c>
      <c r="U572" s="128" t="str">
        <f t="shared" si="169"/>
        <v>ok</v>
      </c>
      <c r="V572" s="48"/>
    </row>
    <row r="573" spans="1:22" s="28" customFormat="1" x14ac:dyDescent="0.2">
      <c r="A573" s="9" t="s">
        <v>727</v>
      </c>
      <c r="B573" s="19"/>
      <c r="C573" s="19"/>
      <c r="D573" s="19"/>
      <c r="E573" s="19" t="s">
        <v>316</v>
      </c>
      <c r="F573" s="127">
        <f>F571-F572</f>
        <v>82099036.211048245</v>
      </c>
      <c r="G573" s="132">
        <f>(VLOOKUP($E573,$D$4:$AH$583,4,)/VLOOKUP($E573,$D$4:$AH$583,3,))*$F573</f>
        <v>22272658.9435644</v>
      </c>
      <c r="H573" s="132">
        <f>(VLOOKUP($E573,$D$4:$AH$583,5,)/VLOOKUP($E573,$D$4:$AH$583,3,))*$F573</f>
        <v>0</v>
      </c>
      <c r="I573" s="132">
        <f>(VLOOKUP($E573,$D$4:$AH$583,6,)/VLOOKUP($E573,$D$4:$AH$583,3,))*$F573</f>
        <v>7738805.2261537323</v>
      </c>
      <c r="J573" s="132">
        <f>(VLOOKUP($E573,$D$4:$AH$583,7,)/VLOOKUP($E573,$D$4:$AH$583,3,))*$F573</f>
        <v>21092214.011661738</v>
      </c>
      <c r="K573" s="132">
        <f>(VLOOKUP($E573,$D$4:$AH$583,8,)/VLOOKUP($E573,$D$4:$AH$583,3,))*$F573</f>
        <v>1683971.6072123062</v>
      </c>
      <c r="L573" s="132">
        <f>(VLOOKUP($E573,$D$4:$AH$583,9,)/VLOOKUP($E573,$D$4:$AH$583,3,))*$F573</f>
        <v>6244773.4003276918</v>
      </c>
      <c r="M573" s="132">
        <f>(VLOOKUP($E573,$D$4:$AH$583,10,)/VLOOKUP($E573,$D$4:$AH$583,3,))*$F573</f>
        <v>23066613.02212837</v>
      </c>
      <c r="N573" s="84">
        <f>(VLOOKUP($E573,$D$4:$AH$583,11,)/VLOOKUP($E573,$D$4:$AH$583,3,))*$F573</f>
        <v>0</v>
      </c>
      <c r="O573" s="84">
        <f>(VLOOKUP($E573,$D$4:$AH$583,12,)/VLOOKUP($E573,$D$4:$AH$583,3,))*$F573</f>
        <v>0</v>
      </c>
      <c r="P573" s="84">
        <f>(VLOOKUP($E573,$D$4:$AH$583,13,)/VLOOKUP($E573,$D$4:$AH$583,3,))*$F573</f>
        <v>0</v>
      </c>
      <c r="Q573" s="84">
        <f>(VLOOKUP($E573,$D$4:$AH$583,14,)/VLOOKUP($E573,$D$4:$AH$583,3,))*$F573</f>
        <v>0</v>
      </c>
      <c r="R573" s="84">
        <f>(VLOOKUP($E573,$D$4:$AH$583,15,)/VLOOKUP($E573,$D$4:$AH$583,3,))*$F573</f>
        <v>0</v>
      </c>
      <c r="S573" s="84">
        <f>(VLOOKUP($E573,$D$4:$AH$583,16,)/VLOOKUP($E573,$D$4:$AH$583,3,))*$F573</f>
        <v>0</v>
      </c>
      <c r="T573" s="34">
        <f>SUM(G573:S573)</f>
        <v>82099036.211048231</v>
      </c>
      <c r="U573" s="85" t="str">
        <f t="shared" si="169"/>
        <v>ok</v>
      </c>
    </row>
    <row r="574" spans="1:22" x14ac:dyDescent="0.2">
      <c r="A574" s="9" t="s">
        <v>728</v>
      </c>
      <c r="F574" s="70">
        <f>F572+F573</f>
        <v>82135228.611048251</v>
      </c>
      <c r="G574" s="235">
        <f t="shared" ref="G574:M574" si="170">G572+G573</f>
        <v>22272658.9435644</v>
      </c>
      <c r="H574" s="235">
        <f t="shared" si="170"/>
        <v>0</v>
      </c>
      <c r="I574" s="235">
        <f t="shared" si="170"/>
        <v>7738805.2261537323</v>
      </c>
      <c r="J574" s="235">
        <f t="shared" si="170"/>
        <v>21092214.011661738</v>
      </c>
      <c r="K574" s="235">
        <f t="shared" si="170"/>
        <v>1683971.6072123062</v>
      </c>
      <c r="L574" s="235">
        <f t="shared" si="170"/>
        <v>6280965.8003276922</v>
      </c>
      <c r="M574" s="235">
        <f t="shared" si="170"/>
        <v>23066613.02212837</v>
      </c>
      <c r="T574" s="53">
        <f>SUM(G574:S574)</f>
        <v>82135228.611048236</v>
      </c>
      <c r="U574" s="88" t="str">
        <f t="shared" si="169"/>
        <v>ok</v>
      </c>
    </row>
    <row r="575" spans="1:22" x14ac:dyDescent="0.2">
      <c r="A575" s="9" t="s">
        <v>724</v>
      </c>
      <c r="D575" s="19" t="s">
        <v>729</v>
      </c>
      <c r="F575" s="236">
        <v>1</v>
      </c>
      <c r="G575" s="48">
        <f>G574/$F$574</f>
        <v>0.27117059659061371</v>
      </c>
      <c r="H575" s="48">
        <f t="shared" ref="H575:S575" si="171">H574/$F$574</f>
        <v>0</v>
      </c>
      <c r="I575" s="48">
        <f t="shared" si="171"/>
        <v>9.4220292035721714E-2</v>
      </c>
      <c r="J575" s="48">
        <f t="shared" si="171"/>
        <v>0.25679862792546682</v>
      </c>
      <c r="K575" s="48">
        <f t="shared" si="171"/>
        <v>2.0502427955570213E-2</v>
      </c>
      <c r="L575" s="48">
        <f t="shared" si="171"/>
        <v>7.6471033276978309E-2</v>
      </c>
      <c r="M575" s="48">
        <f t="shared" si="171"/>
        <v>0.28083702221564905</v>
      </c>
      <c r="N575" s="19">
        <f t="shared" si="171"/>
        <v>0</v>
      </c>
      <c r="O575" s="19">
        <f t="shared" si="171"/>
        <v>0</v>
      </c>
      <c r="P575" s="19">
        <f t="shared" si="171"/>
        <v>0</v>
      </c>
      <c r="Q575" s="19">
        <f t="shared" si="171"/>
        <v>0</v>
      </c>
      <c r="R575" s="19">
        <f t="shared" si="171"/>
        <v>0</v>
      </c>
      <c r="S575" s="19">
        <f t="shared" si="171"/>
        <v>0</v>
      </c>
      <c r="T575" s="54">
        <f>SUM(G575:S575)</f>
        <v>0.99999999999999978</v>
      </c>
      <c r="U575" s="88" t="str">
        <f t="shared" si="169"/>
        <v>ok</v>
      </c>
    </row>
    <row r="576" spans="1:22" x14ac:dyDescent="0.2">
      <c r="A576" s="9"/>
      <c r="F576" s="236"/>
      <c r="G576" s="48"/>
      <c r="H576" s="48"/>
      <c r="I576" s="48"/>
      <c r="J576" s="48"/>
      <c r="K576" s="48"/>
      <c r="L576" s="48"/>
      <c r="M576" s="48"/>
      <c r="T576" s="54"/>
      <c r="U576" s="88"/>
    </row>
    <row r="577" spans="1:22" x14ac:dyDescent="0.2">
      <c r="A577" s="9" t="s">
        <v>725</v>
      </c>
      <c r="F577" s="127">
        <f>F460</f>
        <v>82207.19</v>
      </c>
      <c r="G577" s="127">
        <f>G460</f>
        <v>22302</v>
      </c>
      <c r="H577" s="127">
        <f t="shared" ref="H577:M577" si="172">H460</f>
        <v>0</v>
      </c>
      <c r="I577" s="127">
        <f t="shared" si="172"/>
        <v>7749</v>
      </c>
      <c r="J577" s="127">
        <f t="shared" si="172"/>
        <v>21120</v>
      </c>
      <c r="K577" s="127">
        <f t="shared" si="172"/>
        <v>1686.19</v>
      </c>
      <c r="L577" s="127">
        <f t="shared" si="172"/>
        <v>6253</v>
      </c>
      <c r="M577" s="127">
        <f t="shared" si="172"/>
        <v>23097</v>
      </c>
      <c r="N577" s="112">
        <f t="shared" ref="N577:S577" si="173">N503</f>
        <v>0</v>
      </c>
      <c r="O577" s="112">
        <f t="shared" si="173"/>
        <v>0</v>
      </c>
      <c r="P577" s="112">
        <f t="shared" si="173"/>
        <v>0</v>
      </c>
      <c r="Q577" s="112">
        <f t="shared" si="173"/>
        <v>0</v>
      </c>
      <c r="R577" s="112">
        <f t="shared" si="173"/>
        <v>0</v>
      </c>
      <c r="S577" s="112">
        <f t="shared" si="173"/>
        <v>0</v>
      </c>
      <c r="T577" s="53">
        <f>SUM(G577:S577)</f>
        <v>82207.19</v>
      </c>
      <c r="U577" s="88" t="str">
        <f t="shared" ref="U577:U582" si="174">IF(ABS(F577-T577)&lt;0.01,"ok","err")</f>
        <v>ok</v>
      </c>
    </row>
    <row r="578" spans="1:22" x14ac:dyDescent="0.2">
      <c r="A578" s="9" t="s">
        <v>390</v>
      </c>
      <c r="F578" s="70">
        <f>F112</f>
        <v>7748256.9140584935</v>
      </c>
      <c r="G578" s="48"/>
      <c r="H578" s="48"/>
      <c r="I578" s="48"/>
      <c r="J578" s="48"/>
      <c r="K578" s="48"/>
      <c r="L578" s="48"/>
      <c r="M578" s="48"/>
      <c r="T578" s="36">
        <f>F578</f>
        <v>7748256.9140584935</v>
      </c>
      <c r="U578" s="88" t="str">
        <f t="shared" si="174"/>
        <v>ok</v>
      </c>
    </row>
    <row r="579" spans="1:22" x14ac:dyDescent="0.2">
      <c r="A579" s="61" t="s">
        <v>726</v>
      </c>
      <c r="B579" s="48"/>
      <c r="C579" s="48"/>
      <c r="D579" s="48"/>
      <c r="E579" s="48"/>
      <c r="F579" s="130">
        <v>36192.400000000001</v>
      </c>
      <c r="G579" s="130">
        <v>0</v>
      </c>
      <c r="H579" s="130">
        <v>0</v>
      </c>
      <c r="I579" s="130">
        <v>0</v>
      </c>
      <c r="J579" s="130">
        <v>0</v>
      </c>
      <c r="K579" s="130">
        <v>0</v>
      </c>
      <c r="L579" s="130">
        <v>36192.400000000001</v>
      </c>
      <c r="M579" s="48"/>
      <c r="N579" s="48"/>
      <c r="O579" s="48"/>
      <c r="P579" s="48"/>
      <c r="Q579" s="48"/>
      <c r="R579" s="48"/>
      <c r="S579" s="48"/>
      <c r="T579" s="129">
        <f>SUM(G579:S579)</f>
        <v>36192.400000000001</v>
      </c>
      <c r="U579" s="128" t="str">
        <f t="shared" si="174"/>
        <v>ok</v>
      </c>
      <c r="V579" s="48"/>
    </row>
    <row r="580" spans="1:22" s="28" customFormat="1" x14ac:dyDescent="0.2">
      <c r="A580" s="9" t="s">
        <v>727</v>
      </c>
      <c r="B580" s="19"/>
      <c r="C580" s="19"/>
      <c r="D580" s="19"/>
      <c r="E580" s="19" t="s">
        <v>316</v>
      </c>
      <c r="F580" s="127">
        <f>F578-F579</f>
        <v>7712064.5140584931</v>
      </c>
      <c r="G580" s="132">
        <f>(VLOOKUP($E580,$D$4:$AH$583,4,)/VLOOKUP($E580,$D$4:$AH$583,3,))*$F580</f>
        <v>2092207.0538177076</v>
      </c>
      <c r="H580" s="132">
        <f>(VLOOKUP($E580,$D$4:$AH$583,5,)/VLOOKUP($E580,$D$4:$AH$583,3,))*$F580</f>
        <v>0</v>
      </c>
      <c r="I580" s="132">
        <f>(VLOOKUP($E580,$D$4:$AH$583,6,)/VLOOKUP($E580,$D$4:$AH$583,3,))*$F580</f>
        <v>726953.29836038989</v>
      </c>
      <c r="J580" s="132">
        <f>(VLOOKUP($E580,$D$4:$AH$583,7,)/VLOOKUP($E580,$D$4:$AH$583,3,))*$F580</f>
        <v>1981320.6428405517</v>
      </c>
      <c r="K580" s="132">
        <f>(VLOOKUP($E580,$D$4:$AH$583,8,)/VLOOKUP($E580,$D$4:$AH$583,3,))*$F580</f>
        <v>158185.75069845218</v>
      </c>
      <c r="L580" s="132">
        <f>(VLOOKUP($E580,$D$4:$AH$583,9,)/VLOOKUP($E580,$D$4:$AH$583,3,))*$F580</f>
        <v>586609.75282585085</v>
      </c>
      <c r="M580" s="132">
        <f>(VLOOKUP($E580,$D$4:$AH$583,10,)/VLOOKUP($E580,$D$4:$AH$583,3,))*$F580</f>
        <v>2166788.0155155407</v>
      </c>
      <c r="N580" s="84">
        <f>(VLOOKUP($E580,$D$4:$AH$583,11,)/VLOOKUP($E580,$D$4:$AH$583,3,))*$F580</f>
        <v>0</v>
      </c>
      <c r="O580" s="84">
        <f>(VLOOKUP($E580,$D$4:$AH$583,12,)/VLOOKUP($E580,$D$4:$AH$583,3,))*$F580</f>
        <v>0</v>
      </c>
      <c r="P580" s="84">
        <f>(VLOOKUP($E580,$D$4:$AH$583,13,)/VLOOKUP($E580,$D$4:$AH$583,3,))*$F580</f>
        <v>0</v>
      </c>
      <c r="Q580" s="84">
        <f>(VLOOKUP($E580,$D$4:$AH$583,14,)/VLOOKUP($E580,$D$4:$AH$583,3,))*$F580</f>
        <v>0</v>
      </c>
      <c r="R580" s="84">
        <f>(VLOOKUP($E580,$D$4:$AH$583,15,)/VLOOKUP($E580,$D$4:$AH$583,3,))*$F580</f>
        <v>0</v>
      </c>
      <c r="S580" s="84">
        <f>(VLOOKUP($E580,$D$4:$AH$583,16,)/VLOOKUP($E580,$D$4:$AH$583,3,))*$F580</f>
        <v>0</v>
      </c>
      <c r="T580" s="34">
        <f>SUM(G580:S580)</f>
        <v>7712064.5140584931</v>
      </c>
      <c r="U580" s="85" t="str">
        <f t="shared" si="174"/>
        <v>ok</v>
      </c>
    </row>
    <row r="581" spans="1:22" x14ac:dyDescent="0.2">
      <c r="A581" s="9" t="s">
        <v>728</v>
      </c>
      <c r="F581" s="70">
        <f>F579+F580</f>
        <v>7748256.9140584935</v>
      </c>
      <c r="G581" s="235">
        <f t="shared" ref="G581:M581" si="175">G579+G580</f>
        <v>2092207.0538177076</v>
      </c>
      <c r="H581" s="235">
        <f t="shared" si="175"/>
        <v>0</v>
      </c>
      <c r="I581" s="235">
        <f t="shared" si="175"/>
        <v>726953.29836038989</v>
      </c>
      <c r="J581" s="235">
        <f t="shared" si="175"/>
        <v>1981320.6428405517</v>
      </c>
      <c r="K581" s="235">
        <f t="shared" si="175"/>
        <v>158185.75069845218</v>
      </c>
      <c r="L581" s="235">
        <f t="shared" si="175"/>
        <v>622802.15282585088</v>
      </c>
      <c r="M581" s="235">
        <f t="shared" si="175"/>
        <v>2166788.0155155407</v>
      </c>
      <c r="T581" s="53">
        <f>SUM(G581:S581)</f>
        <v>7748256.9140584935</v>
      </c>
      <c r="U581" s="88" t="str">
        <f t="shared" si="174"/>
        <v>ok</v>
      </c>
    </row>
    <row r="582" spans="1:22" x14ac:dyDescent="0.2">
      <c r="A582" s="9" t="s">
        <v>724</v>
      </c>
      <c r="D582" s="17" t="s">
        <v>817</v>
      </c>
      <c r="F582" s="236">
        <v>1</v>
      </c>
      <c r="G582" s="48">
        <f>G581/$F$581</f>
        <v>0.2700229325155174</v>
      </c>
      <c r="H582" s="48">
        <f t="shared" ref="H582:M582" si="176">H581/$F$581</f>
        <v>0</v>
      </c>
      <c r="I582" s="48">
        <f t="shared" si="176"/>
        <v>9.3821527399459426E-2</v>
      </c>
      <c r="J582" s="48">
        <f t="shared" si="176"/>
        <v>0.25571178973758979</v>
      </c>
      <c r="K582" s="48">
        <f t="shared" si="176"/>
        <v>2.0415656379622466E-2</v>
      </c>
      <c r="L582" s="48">
        <f t="shared" si="176"/>
        <v>8.0379646639727978E-2</v>
      </c>
      <c r="M582" s="48">
        <f t="shared" si="176"/>
        <v>0.27964844732808292</v>
      </c>
      <c r="N582" s="19">
        <f t="shared" ref="N582:S582" si="177">N581/$F$574</f>
        <v>0</v>
      </c>
      <c r="O582" s="19">
        <f t="shared" si="177"/>
        <v>0</v>
      </c>
      <c r="P582" s="19">
        <f t="shared" si="177"/>
        <v>0</v>
      </c>
      <c r="Q582" s="19">
        <f t="shared" si="177"/>
        <v>0</v>
      </c>
      <c r="R582" s="19">
        <f t="shared" si="177"/>
        <v>0</v>
      </c>
      <c r="S582" s="19">
        <f t="shared" si="177"/>
        <v>0</v>
      </c>
      <c r="T582" s="54">
        <f>SUM(G582:S582)</f>
        <v>1</v>
      </c>
      <c r="U582" s="88" t="str">
        <f t="shared" si="174"/>
        <v>ok</v>
      </c>
    </row>
    <row r="583" spans="1:22" x14ac:dyDescent="0.2">
      <c r="A583" s="9"/>
      <c r="F583" s="38"/>
      <c r="T583" s="54"/>
      <c r="U583" s="88"/>
    </row>
  </sheetData>
  <phoneticPr fontId="0" type="noConversion"/>
  <pageMargins left="0.35" right="0.33" top="1.89" bottom="0.5" header="0.65" footer="0.32"/>
  <pageSetup scale="60" pageOrder="overThenDown" orientation="landscape" r:id="rId1"/>
  <headerFooter alignWithMargins="0">
    <oddHeader>&amp;C&amp;"Arial,Bold"&amp;12DELTA NATURAL GAS COMPANY
Cost of Service Study
12 Months Ended December 31, 2022
Class Allocation</oddHeader>
    <oddFooter>&amp;R&amp;"Arial,Bold"Exhibit WSS-3
Page &amp;P of &amp;N</oddFooter>
  </headerFooter>
  <rowBreaks count="18" manualBreakCount="18">
    <brk id="27" max="16383" man="1"/>
    <brk id="51" max="16383" man="1"/>
    <brk id="75" max="16383" man="1"/>
    <brk id="98" max="16383" man="1"/>
    <brk id="121" max="16383" man="1"/>
    <brk id="145" max="16383" man="1"/>
    <brk id="169" max="16383" man="1"/>
    <brk id="193" max="16383" man="1"/>
    <brk id="217" max="16383" man="1"/>
    <brk id="241" max="16383" man="1"/>
    <brk id="265" max="16383" man="1"/>
    <brk id="289" max="16383" man="1"/>
    <brk id="313" max="16383" man="1"/>
    <brk id="337" max="16383" man="1"/>
    <brk id="363" max="16383" man="1"/>
    <brk id="416" max="16383" man="1"/>
    <brk id="445" max="16383" man="1"/>
    <brk id="537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7"/>
  <sheetViews>
    <sheetView tabSelected="1" workbookViewId="0">
      <selection sqref="A1:H37"/>
    </sheetView>
  </sheetViews>
  <sheetFormatPr defaultRowHeight="12.75" x14ac:dyDescent="0.2"/>
  <cols>
    <col min="1" max="1" width="4.140625" bestFit="1" customWidth="1"/>
    <col min="2" max="2" width="33.28515625" bestFit="1" customWidth="1"/>
    <col min="3" max="3" width="21.5703125" bestFit="1" customWidth="1"/>
    <col min="4" max="6" width="17.42578125" bestFit="1" customWidth="1"/>
    <col min="7" max="7" width="19.140625" bestFit="1" customWidth="1"/>
    <col min="8" max="8" width="12.28515625" bestFit="1" customWidth="1"/>
    <col min="10" max="11" width="11.28515625" bestFit="1" customWidth="1"/>
  </cols>
  <sheetData>
    <row r="1" spans="1:8" x14ac:dyDescent="0.2">
      <c r="A1" s="260" t="s">
        <v>804</v>
      </c>
      <c r="B1" s="261"/>
      <c r="C1" s="261"/>
      <c r="D1" s="261"/>
      <c r="E1" s="261"/>
      <c r="F1" s="261"/>
      <c r="G1" s="261"/>
      <c r="H1" s="262"/>
    </row>
    <row r="2" spans="1:8" x14ac:dyDescent="0.2">
      <c r="A2" s="138"/>
      <c r="B2" s="139"/>
      <c r="C2" s="139"/>
      <c r="D2" s="139"/>
      <c r="E2" s="139"/>
      <c r="F2" s="139"/>
      <c r="G2" s="139"/>
      <c r="H2" s="140"/>
    </row>
    <row r="3" spans="1:8" x14ac:dyDescent="0.2">
      <c r="A3" s="263" t="s">
        <v>760</v>
      </c>
      <c r="B3" s="264"/>
      <c r="C3" s="264"/>
      <c r="D3" s="264"/>
      <c r="E3" s="264"/>
      <c r="F3" s="264"/>
      <c r="G3" s="264"/>
      <c r="H3" s="265"/>
    </row>
    <row r="4" spans="1:8" x14ac:dyDescent="0.2">
      <c r="A4" s="263" t="s">
        <v>810</v>
      </c>
      <c r="B4" s="264"/>
      <c r="C4" s="264"/>
      <c r="D4" s="264"/>
      <c r="E4" s="264"/>
      <c r="F4" s="264"/>
      <c r="G4" s="264"/>
      <c r="H4" s="265"/>
    </row>
    <row r="5" spans="1:8" x14ac:dyDescent="0.2">
      <c r="A5" s="141"/>
      <c r="B5" s="142"/>
      <c r="C5" s="142"/>
      <c r="D5" s="142"/>
      <c r="E5" s="142"/>
      <c r="F5" s="142"/>
      <c r="G5" s="142"/>
      <c r="H5" s="143"/>
    </row>
    <row r="6" spans="1:8" x14ac:dyDescent="0.2">
      <c r="A6" s="263" t="s">
        <v>805</v>
      </c>
      <c r="B6" s="264"/>
      <c r="C6" s="264"/>
      <c r="D6" s="264"/>
      <c r="E6" s="264"/>
      <c r="F6" s="264"/>
      <c r="G6" s="264"/>
      <c r="H6" s="265"/>
    </row>
    <row r="7" spans="1:8" ht="13.5" thickBot="1" x14ac:dyDescent="0.25">
      <c r="A7" s="144"/>
      <c r="B7" s="145"/>
      <c r="C7" s="145"/>
      <c r="D7" s="145"/>
      <c r="E7" s="145"/>
      <c r="F7" s="145"/>
      <c r="G7" s="145"/>
      <c r="H7" s="146"/>
    </row>
    <row r="8" spans="1:8" ht="13.5" thickBot="1" x14ac:dyDescent="0.25">
      <c r="A8" s="147"/>
      <c r="B8" s="148"/>
      <c r="C8" s="149"/>
      <c r="D8" s="266" t="s">
        <v>761</v>
      </c>
      <c r="E8" s="267"/>
      <c r="F8" s="268"/>
      <c r="G8" s="150"/>
      <c r="H8" s="149"/>
    </row>
    <row r="9" spans="1:8" x14ac:dyDescent="0.2">
      <c r="A9" s="151"/>
      <c r="B9" s="143"/>
      <c r="C9" s="152"/>
      <c r="D9" s="153"/>
      <c r="E9" s="154"/>
      <c r="F9" s="155" t="s">
        <v>13</v>
      </c>
      <c r="G9" s="156" t="s">
        <v>762</v>
      </c>
      <c r="H9" s="152"/>
    </row>
    <row r="10" spans="1:8" x14ac:dyDescent="0.2">
      <c r="A10" s="151"/>
      <c r="B10" s="143"/>
      <c r="C10" s="152"/>
      <c r="D10" s="138" t="s">
        <v>763</v>
      </c>
      <c r="E10" s="139" t="s">
        <v>763</v>
      </c>
      <c r="F10" s="140" t="s">
        <v>763</v>
      </c>
      <c r="G10" s="156" t="s">
        <v>764</v>
      </c>
      <c r="H10" s="152"/>
    </row>
    <row r="11" spans="1:8" ht="13.5" thickBot="1" x14ac:dyDescent="0.25">
      <c r="A11" s="144"/>
      <c r="B11" s="157" t="s">
        <v>18</v>
      </c>
      <c r="C11" s="158" t="s">
        <v>765</v>
      </c>
      <c r="D11" s="159" t="s">
        <v>766</v>
      </c>
      <c r="E11" s="160" t="s">
        <v>767</v>
      </c>
      <c r="F11" s="161" t="s">
        <v>768</v>
      </c>
      <c r="G11" s="158" t="s">
        <v>768</v>
      </c>
      <c r="H11" s="158" t="s">
        <v>769</v>
      </c>
    </row>
    <row r="12" spans="1:8" x14ac:dyDescent="0.2">
      <c r="A12" s="147"/>
      <c r="B12" s="148"/>
      <c r="C12" s="162"/>
      <c r="D12" s="147"/>
      <c r="E12" s="163"/>
      <c r="F12" s="148"/>
      <c r="G12" s="149"/>
      <c r="H12" s="149"/>
    </row>
    <row r="13" spans="1:8" x14ac:dyDescent="0.2">
      <c r="A13" s="164" t="s">
        <v>770</v>
      </c>
      <c r="B13" s="143" t="s">
        <v>247</v>
      </c>
      <c r="C13" s="165" t="s">
        <v>771</v>
      </c>
      <c r="D13" s="166">
        <f>'S6-Allocation'!G80</f>
        <v>35166573.022240691</v>
      </c>
      <c r="E13" s="167">
        <f>'S6-Allocation'!G84+'S6-Allocation'!G87+'S6-Allocation'!G90+'S6-Allocation'!G93</f>
        <v>18175412.267388858</v>
      </c>
      <c r="F13" s="168">
        <f>D13+E13</f>
        <v>53341985.289629549</v>
      </c>
      <c r="G13" s="169">
        <f>'S6-Allocation'!G55+'S6-Allocation'!G56+'S6-Allocation'!G60+'S6-Allocation'!G61+'S6-Allocation'!G65+'S6-Allocation'!G66+'S6-Allocation'!G70+'S6-Allocation'!G73+'S6-Allocation'!G79</f>
        <v>25129257.792924218</v>
      </c>
      <c r="H13" s="170">
        <f>D13+E13+G13</f>
        <v>78471243.082553774</v>
      </c>
    </row>
    <row r="14" spans="1:8" x14ac:dyDescent="0.2">
      <c r="A14" s="164" t="s">
        <v>772</v>
      </c>
      <c r="B14" s="143" t="s">
        <v>370</v>
      </c>
      <c r="C14" s="165" t="s">
        <v>773</v>
      </c>
      <c r="D14" s="256">
        <f>'S6-Allocation'!F431</f>
        <v>7.4378219268334198E-2</v>
      </c>
      <c r="E14" s="257">
        <f>D14</f>
        <v>7.4378219268334198E-2</v>
      </c>
      <c r="F14" s="258">
        <f>D14</f>
        <v>7.4378219268334198E-2</v>
      </c>
      <c r="G14" s="259">
        <f>D14</f>
        <v>7.4378219268334198E-2</v>
      </c>
      <c r="H14" s="259">
        <f>D14</f>
        <v>7.4378219268334198E-2</v>
      </c>
    </row>
    <row r="15" spans="1:8" x14ac:dyDescent="0.2">
      <c r="A15" s="151"/>
      <c r="B15" s="143"/>
      <c r="C15" s="165"/>
      <c r="D15" s="151"/>
      <c r="E15" s="142"/>
      <c r="F15" s="143"/>
      <c r="G15" s="152"/>
      <c r="H15" s="152"/>
    </row>
    <row r="16" spans="1:8" x14ac:dyDescent="0.2">
      <c r="A16" s="164" t="s">
        <v>774</v>
      </c>
      <c r="B16" s="143" t="s">
        <v>369</v>
      </c>
      <c r="C16" s="165" t="s">
        <v>775</v>
      </c>
      <c r="D16" s="166">
        <f>D13*D14</f>
        <v>2615627.0791641041</v>
      </c>
      <c r="E16" s="167">
        <f>E13*E14</f>
        <v>1351854.7989162197</v>
      </c>
      <c r="F16" s="171">
        <f>F13*F14</f>
        <v>3967481.8780803238</v>
      </c>
      <c r="G16" s="169">
        <f>G13*G14</f>
        <v>1869069.4461726134</v>
      </c>
      <c r="H16" s="169">
        <f>H13*H14</f>
        <v>5836551.3242529379</v>
      </c>
    </row>
    <row r="17" spans="1:11" x14ac:dyDescent="0.2">
      <c r="A17" s="151"/>
      <c r="B17" s="143"/>
      <c r="C17" s="165"/>
      <c r="D17" s="151"/>
      <c r="E17" s="142"/>
      <c r="F17" s="143"/>
      <c r="G17" s="152"/>
      <c r="H17" s="152"/>
    </row>
    <row r="18" spans="1:11" x14ac:dyDescent="0.2">
      <c r="A18" s="164" t="s">
        <v>776</v>
      </c>
      <c r="B18" s="143" t="s">
        <v>777</v>
      </c>
      <c r="C18" s="165" t="s">
        <v>778</v>
      </c>
      <c r="D18" s="166">
        <f>'S6-Allocation'!G318</f>
        <v>647271.82031523413</v>
      </c>
      <c r="E18" s="167">
        <f>'S6-Allocation'!G322+'S6-Allocation'!G325+'S6-Allocation'!G328+'S6-Allocation'!G331</f>
        <v>342282.13144867774</v>
      </c>
      <c r="F18" s="168">
        <f>D18+E18</f>
        <v>989553.95176391187</v>
      </c>
      <c r="G18" s="169">
        <f>'S6-Allocation'!G295+'S6-Allocation'!G300+'S6-Allocation'!G305+'S6-Allocation'!G308+'S6-Allocation'!G311+'S6-Allocation'!G317</f>
        <v>490170.61623472674</v>
      </c>
      <c r="H18" s="170">
        <f>D18+E18+G18</f>
        <v>1479724.5679986386</v>
      </c>
    </row>
    <row r="19" spans="1:11" x14ac:dyDescent="0.2">
      <c r="A19" s="151"/>
      <c r="B19" s="143"/>
      <c r="C19" s="165"/>
      <c r="D19" s="151"/>
      <c r="E19" s="142"/>
      <c r="F19" s="143"/>
      <c r="G19" s="152"/>
      <c r="H19" s="152"/>
    </row>
    <row r="20" spans="1:11" x14ac:dyDescent="0.2">
      <c r="A20" s="164" t="s">
        <v>779</v>
      </c>
      <c r="B20" s="143" t="s">
        <v>780</v>
      </c>
      <c r="C20" s="165" t="s">
        <v>781</v>
      </c>
      <c r="D20" s="172">
        <f>D16-D18</f>
        <v>1968355.2588488699</v>
      </c>
      <c r="E20" s="173">
        <f>E16-E18</f>
        <v>1009572.667467542</v>
      </c>
      <c r="F20" s="168">
        <f>F16-F18</f>
        <v>2977927.9263164122</v>
      </c>
      <c r="G20" s="170">
        <f>G16-G18</f>
        <v>1378898.8299378867</v>
      </c>
      <c r="H20" s="170">
        <f>H16-H18</f>
        <v>4356826.7562542995</v>
      </c>
    </row>
    <row r="21" spans="1:11" x14ac:dyDescent="0.2">
      <c r="A21" s="151"/>
      <c r="B21" s="143"/>
      <c r="C21" s="165"/>
      <c r="D21" s="151"/>
      <c r="E21" s="142"/>
      <c r="F21" s="143"/>
      <c r="G21" s="152"/>
      <c r="H21" s="152"/>
    </row>
    <row r="22" spans="1:11" x14ac:dyDescent="0.2">
      <c r="A22" s="164" t="s">
        <v>782</v>
      </c>
      <c r="B22" s="143" t="s">
        <v>299</v>
      </c>
      <c r="C22" s="165"/>
      <c r="D22" s="166">
        <f>$J$22*(D20/$H$20)</f>
        <v>447570.30635521503</v>
      </c>
      <c r="E22" s="167">
        <f>$J$22*(E20/$H$20)</f>
        <v>229559.55030727139</v>
      </c>
      <c r="F22" s="168">
        <f>D22+E22</f>
        <v>677129.85666248645</v>
      </c>
      <c r="G22" s="166">
        <f>$J$22*(G20/$H$20)</f>
        <v>313538.00030441175</v>
      </c>
      <c r="H22" s="170">
        <f>D22+E22+G22</f>
        <v>990667.85696689819</v>
      </c>
      <c r="J22" s="198">
        <f>(H16-'S6-Allocation'!G384)*0.2495+'S6-Allocation'!G382</f>
        <v>990667.85696689843</v>
      </c>
      <c r="K22" s="198"/>
    </row>
    <row r="23" spans="1:11" x14ac:dyDescent="0.2">
      <c r="A23" s="151"/>
      <c r="B23" s="143"/>
      <c r="C23" s="165"/>
      <c r="D23" s="151"/>
      <c r="E23" s="142"/>
      <c r="F23" s="143"/>
      <c r="G23" s="152"/>
      <c r="H23" s="152"/>
    </row>
    <row r="24" spans="1:11" x14ac:dyDescent="0.2">
      <c r="A24" s="164" t="s">
        <v>783</v>
      </c>
      <c r="B24" s="143" t="s">
        <v>173</v>
      </c>
      <c r="C24" s="165" t="s">
        <v>784</v>
      </c>
      <c r="D24" s="166">
        <f>'S6-Allocation'!G126</f>
        <v>1620211.2722334084</v>
      </c>
      <c r="E24" s="167">
        <f>'S6-Allocation'!G130+'S6-Allocation'!G133+'S6-Allocation'!G136+'S6-Allocation'!G139</f>
        <v>1934348.3273266451</v>
      </c>
      <c r="F24" s="168">
        <f>D24+E24</f>
        <v>3554559.5995600536</v>
      </c>
      <c r="G24" s="169">
        <f>'S6-Allocation'!G104+'S6-Allocation'!G109+'S6-Allocation'!G114+'S6-Allocation'!G117+'S6-Allocation'!G120+'S6-Allocation'!G125</f>
        <v>2915167.6172916149</v>
      </c>
      <c r="H24" s="170">
        <f>D24+E24+G24</f>
        <v>6469727.2168516684</v>
      </c>
    </row>
    <row r="25" spans="1:11" x14ac:dyDescent="0.2">
      <c r="A25" s="164" t="s">
        <v>785</v>
      </c>
      <c r="B25" s="143" t="s">
        <v>175</v>
      </c>
      <c r="C25" s="165" t="s">
        <v>786</v>
      </c>
      <c r="D25" s="174">
        <f>'S6-Allocation'!G222</f>
        <v>2497201.6411660207</v>
      </c>
      <c r="E25" s="175">
        <f>'S6-Allocation'!G226+'S6-Allocation'!G229+'S6-Allocation'!G232+'S6-Allocation'!G235</f>
        <v>1418896.5803127829</v>
      </c>
      <c r="F25" s="176">
        <f>D25+E25</f>
        <v>3916098.2214788035</v>
      </c>
      <c r="G25" s="177">
        <f>'S6-Allocation'!G199+'S6-Allocation'!G204+'S6-Allocation'!G209+'S6-Allocation'!G212+'S6-Allocation'!G215+'S6-Allocation'!G221</f>
        <v>1735790.7381593972</v>
      </c>
      <c r="H25" s="177">
        <f>D25+E25+G25</f>
        <v>5651888.9596382007</v>
      </c>
    </row>
    <row r="26" spans="1:11" x14ac:dyDescent="0.2">
      <c r="A26" s="164" t="s">
        <v>787</v>
      </c>
      <c r="B26" s="143" t="s">
        <v>215</v>
      </c>
      <c r="C26" s="165" t="s">
        <v>788</v>
      </c>
      <c r="D26" s="174">
        <f>'S6-Allocation'!G270</f>
        <v>954639.38031970523</v>
      </c>
      <c r="E26" s="175">
        <f>'S6-Allocation'!G274+'S6-Allocation'!G277+'S6-Allocation'!G280+'S6-Allocation'!G283</f>
        <v>504820.37314947066</v>
      </c>
      <c r="F26" s="176">
        <f>D26+E26</f>
        <v>1459459.7534691759</v>
      </c>
      <c r="G26" s="177">
        <f>'S6-Allocation'!G247+'S6-Allocation'!G252+'S6-Allocation'!G257+'S6-Allocation'!G260+'S6-Allocation'!G263+'S6-Allocation'!G269</f>
        <v>722936.11222770892</v>
      </c>
      <c r="H26" s="177">
        <f>D26+E26+G26</f>
        <v>2182395.8656968847</v>
      </c>
    </row>
    <row r="27" spans="1:11" x14ac:dyDescent="0.2">
      <c r="A27" s="164" t="s">
        <v>789</v>
      </c>
      <c r="B27" s="143" t="s">
        <v>328</v>
      </c>
      <c r="C27" s="165" t="s">
        <v>790</v>
      </c>
      <c r="D27" s="174">
        <f>'S6-Allocation'!G378*(D24/$H$24)</f>
        <v>0</v>
      </c>
      <c r="E27" s="175">
        <f>'S6-Allocation'!G378*(E24/$H$24)</f>
        <v>0</v>
      </c>
      <c r="F27" s="176">
        <f>D27+E27</f>
        <v>0</v>
      </c>
      <c r="G27" s="174">
        <f>'S6-Allocation'!G378*(G24/$H$24)</f>
        <v>0</v>
      </c>
      <c r="H27" s="177">
        <f>D27+E27+G27</f>
        <v>0</v>
      </c>
    </row>
    <row r="28" spans="1:11" x14ac:dyDescent="0.2">
      <c r="A28" s="151"/>
      <c r="B28" s="143"/>
      <c r="C28" s="165"/>
      <c r="D28" s="151"/>
      <c r="E28" s="142"/>
      <c r="F28" s="143"/>
      <c r="G28" s="152"/>
      <c r="H28" s="152"/>
    </row>
    <row r="29" spans="1:11" x14ac:dyDescent="0.2">
      <c r="A29" s="164" t="s">
        <v>791</v>
      </c>
      <c r="B29" s="143" t="s">
        <v>792</v>
      </c>
      <c r="C29" s="165" t="s">
        <v>793</v>
      </c>
      <c r="D29" s="172">
        <f>D16+D22+SUM(D24:D27)</f>
        <v>8135249.6792384535</v>
      </c>
      <c r="E29" s="173">
        <f>E16+E22+SUM(E24:E27)</f>
        <v>5439479.6300123893</v>
      </c>
      <c r="F29" s="168">
        <f>F16+F22+SUM(F24:F27)</f>
        <v>13574729.309250843</v>
      </c>
      <c r="G29" s="170">
        <f>G16+G22+SUM(G24:G27)</f>
        <v>7556501.9141557459</v>
      </c>
      <c r="H29" s="170">
        <f>H16+H22+SUM(H24:H27)</f>
        <v>21131231.223406591</v>
      </c>
    </row>
    <row r="30" spans="1:11" x14ac:dyDescent="0.2">
      <c r="A30" s="151"/>
      <c r="B30" s="143"/>
      <c r="C30" s="165"/>
      <c r="D30" s="151"/>
      <c r="E30" s="142"/>
      <c r="F30" s="143"/>
      <c r="G30" s="152"/>
      <c r="H30" s="152"/>
    </row>
    <row r="31" spans="1:11" x14ac:dyDescent="0.2">
      <c r="A31" s="164" t="s">
        <v>794</v>
      </c>
      <c r="B31" s="143" t="s">
        <v>795</v>
      </c>
      <c r="C31" s="165" t="s">
        <v>790</v>
      </c>
      <c r="D31" s="174">
        <f>('S6-Allocation'!G342+'S6-Allocation'!G343+'S6-Allocation'!G346)*D29/$H29</f>
        <v>14238.809055133986</v>
      </c>
      <c r="E31" s="175">
        <f>('S6-Allocation'!G342+'S6-Allocation'!G343+'S6-Allocation'!G346)*E29/$H29</f>
        <v>9520.5082652469482</v>
      </c>
      <c r="F31" s="176">
        <f>D31+E31</f>
        <v>23759.317320380935</v>
      </c>
      <c r="G31" s="174">
        <f>('S6-Allocation'!G342+'S6-Allocation'!G343+'S6-Allocation'!G346)*G29/$H29</f>
        <v>13225.849497281841</v>
      </c>
      <c r="H31" s="177">
        <f>D31+E31+G31</f>
        <v>36985.166817662772</v>
      </c>
    </row>
    <row r="32" spans="1:11" x14ac:dyDescent="0.2">
      <c r="A32" s="151"/>
      <c r="B32" s="143"/>
      <c r="C32" s="165"/>
      <c r="D32" s="151"/>
      <c r="E32" s="142"/>
      <c r="F32" s="143"/>
      <c r="G32" s="152"/>
      <c r="H32" s="152"/>
    </row>
    <row r="33" spans="1:8" x14ac:dyDescent="0.2">
      <c r="A33" s="164" t="s">
        <v>796</v>
      </c>
      <c r="B33" s="143" t="s">
        <v>797</v>
      </c>
      <c r="C33" s="165" t="s">
        <v>798</v>
      </c>
      <c r="D33" s="172">
        <f>D29-D31</f>
        <v>8121010.8701833198</v>
      </c>
      <c r="E33" s="173">
        <f>E29-E31</f>
        <v>5429959.1217471426</v>
      </c>
      <c r="F33" s="168">
        <f>F29-F31</f>
        <v>13550969.991930462</v>
      </c>
      <c r="G33" s="170">
        <f>G29-G31</f>
        <v>7543276.0646584639</v>
      </c>
      <c r="H33" s="170">
        <f>H29-H31</f>
        <v>21094246.056588929</v>
      </c>
    </row>
    <row r="34" spans="1:8" x14ac:dyDescent="0.2">
      <c r="A34" s="151"/>
      <c r="B34" s="143"/>
      <c r="C34" s="165"/>
      <c r="D34" s="151"/>
      <c r="E34" s="142"/>
      <c r="F34" s="143"/>
      <c r="G34" s="152"/>
      <c r="H34" s="152"/>
    </row>
    <row r="35" spans="1:8" x14ac:dyDescent="0.2">
      <c r="A35" s="164" t="s">
        <v>799</v>
      </c>
      <c r="B35" s="143" t="s">
        <v>800</v>
      </c>
      <c r="C35" s="165" t="s">
        <v>801</v>
      </c>
      <c r="D35" s="174">
        <f>'S6-Allocation'!G485</f>
        <v>30465</v>
      </c>
      <c r="E35" s="175">
        <f>D35</f>
        <v>30465</v>
      </c>
      <c r="F35" s="175">
        <f>E35</f>
        <v>30465</v>
      </c>
      <c r="G35" s="174">
        <f>'S6-Allocation'!G453</f>
        <v>1386492.5</v>
      </c>
      <c r="H35" s="152"/>
    </row>
    <row r="36" spans="1:8" ht="13.5" thickBot="1" x14ac:dyDescent="0.25">
      <c r="A36" s="151"/>
      <c r="B36" s="143"/>
      <c r="C36" s="165"/>
      <c r="D36" s="151"/>
      <c r="E36" s="142"/>
      <c r="F36" s="143"/>
      <c r="G36" s="152"/>
      <c r="H36" s="152"/>
    </row>
    <row r="37" spans="1:8" ht="13.5" thickBot="1" x14ac:dyDescent="0.25">
      <c r="A37" s="178" t="s">
        <v>802</v>
      </c>
      <c r="B37" s="146" t="s">
        <v>749</v>
      </c>
      <c r="C37" s="179" t="s">
        <v>803</v>
      </c>
      <c r="D37" s="180" t="str">
        <f>CONCATENATE(TEXT(D33/D35/12,"$0.00"),"/Cust/Mo")</f>
        <v>$22.21/Cust/Mo</v>
      </c>
      <c r="E37" s="181" t="str">
        <f>CONCATENATE(TEXT(E33/E35/12,"$0.00"),"/Cust/Mo")</f>
        <v>$14.85/Cust/Mo</v>
      </c>
      <c r="F37" s="182" t="str">
        <f>CONCATENATE(TEXT(F33/F35/12,"$0.00"),"/Cust/Mo")</f>
        <v>$37.07/Cust/Mo</v>
      </c>
      <c r="G37" s="183" t="str">
        <f>CONCATENATE(TEXT(G33/G35,"$0.0000"),"/Mcf")</f>
        <v>$5.4405/Mcf</v>
      </c>
      <c r="H37" s="184"/>
    </row>
  </sheetData>
  <mergeCells count="5">
    <mergeCell ref="A1:H1"/>
    <mergeCell ref="A3:H3"/>
    <mergeCell ref="A4:H4"/>
    <mergeCell ref="A6:H6"/>
    <mergeCell ref="D8:F8"/>
  </mergeCells>
  <pageMargins left="0.7" right="0.7" top="0.75" bottom="0.75" header="0.3" footer="0.3"/>
  <pageSetup scale="87" orientation="landscape" r:id="rId1"/>
  <headerFooter>
    <oddFooter>&amp;RExhibit WSS-6
Page 1 of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49711-DABF-4901-BD50-9F6180962568}">
  <sheetPr>
    <pageSetUpPr fitToPage="1"/>
  </sheetPr>
  <dimension ref="A1:E28"/>
  <sheetViews>
    <sheetView topLeftCell="A7" workbookViewId="0">
      <selection activeCell="H8" sqref="H8"/>
    </sheetView>
  </sheetViews>
  <sheetFormatPr defaultRowHeight="12.75" x14ac:dyDescent="0.2"/>
  <cols>
    <col min="1" max="1" width="30.5703125" style="219" customWidth="1"/>
    <col min="2" max="2" width="16.28515625" style="219" customWidth="1"/>
    <col min="3" max="3" width="16.42578125" style="219" customWidth="1"/>
    <col min="4" max="4" width="17.140625" style="219" customWidth="1"/>
    <col min="5" max="5" width="21.42578125" style="219" customWidth="1"/>
    <col min="6" max="16384" width="9.140625" style="219"/>
  </cols>
  <sheetData>
    <row r="1" spans="1:5" ht="18" x14ac:dyDescent="0.25">
      <c r="A1" s="208" t="s">
        <v>804</v>
      </c>
    </row>
    <row r="2" spans="1:5" ht="15" x14ac:dyDescent="0.2">
      <c r="A2" s="207" t="s">
        <v>871</v>
      </c>
    </row>
    <row r="3" spans="1:5" ht="15" x14ac:dyDescent="0.2">
      <c r="A3" s="207" t="s">
        <v>877</v>
      </c>
    </row>
    <row r="4" spans="1:5" ht="15" x14ac:dyDescent="0.2">
      <c r="A4" s="207" t="s">
        <v>876</v>
      </c>
    </row>
    <row r="5" spans="1:5" ht="15" x14ac:dyDescent="0.2">
      <c r="A5" s="207"/>
      <c r="B5" s="207"/>
      <c r="C5" s="207"/>
      <c r="D5" s="207"/>
      <c r="E5" s="207"/>
    </row>
    <row r="6" spans="1:5" ht="15" x14ac:dyDescent="0.2">
      <c r="A6" s="207"/>
      <c r="B6" s="207"/>
      <c r="C6" s="207"/>
      <c r="D6" s="207"/>
      <c r="E6" s="207"/>
    </row>
    <row r="7" spans="1:5" ht="15.75" x14ac:dyDescent="0.25">
      <c r="A7" s="207"/>
      <c r="B7" s="207"/>
      <c r="C7" s="209" t="s">
        <v>874</v>
      </c>
      <c r="D7" s="207"/>
      <c r="E7" s="209" t="s">
        <v>370</v>
      </c>
    </row>
    <row r="8" spans="1:5" ht="15.75" x14ac:dyDescent="0.25">
      <c r="A8" s="207"/>
      <c r="B8" s="207"/>
      <c r="C8" s="209" t="s">
        <v>875</v>
      </c>
      <c r="D8" s="207"/>
      <c r="E8" s="209" t="s">
        <v>878</v>
      </c>
    </row>
    <row r="9" spans="1:5" ht="16.5" thickBot="1" x14ac:dyDescent="0.3">
      <c r="A9" s="210" t="s">
        <v>869</v>
      </c>
      <c r="B9" s="211" t="s">
        <v>868</v>
      </c>
      <c r="C9" s="211" t="s">
        <v>873</v>
      </c>
      <c r="D9" s="211" t="s">
        <v>247</v>
      </c>
      <c r="E9" s="211" t="s">
        <v>876</v>
      </c>
    </row>
    <row r="10" spans="1:5" ht="15" x14ac:dyDescent="0.2">
      <c r="A10" s="207"/>
      <c r="B10" s="207"/>
      <c r="C10" s="207"/>
      <c r="D10" s="207"/>
      <c r="E10" s="207"/>
    </row>
    <row r="11" spans="1:5" ht="15" customHeight="1" x14ac:dyDescent="0.25">
      <c r="A11" s="220" t="s">
        <v>303</v>
      </c>
      <c r="B11" s="212">
        <f>'S6-Allocation'!G341</f>
        <v>14938616.15891877</v>
      </c>
      <c r="C11" s="212">
        <f>'S6-Allocation'!G384</f>
        <v>894998.07796395628</v>
      </c>
      <c r="D11" s="212">
        <f>'S6-Allocation'!G386</f>
        <v>78471243.082553774</v>
      </c>
      <c r="E11" s="213">
        <f>C11/D11</f>
        <v>1.1405427552898521E-2</v>
      </c>
    </row>
    <row r="12" spans="1:5" ht="15" customHeight="1" x14ac:dyDescent="0.25">
      <c r="A12" s="220"/>
      <c r="B12" s="207"/>
      <c r="C12" s="207"/>
      <c r="D12" s="207"/>
      <c r="E12" s="207"/>
    </row>
    <row r="13" spans="1:5" ht="15" customHeight="1" x14ac:dyDescent="0.25">
      <c r="A13" s="220" t="s">
        <v>811</v>
      </c>
      <c r="B13" s="214">
        <f>'S6-Allocation'!H341</f>
        <v>1576167.3791870857</v>
      </c>
      <c r="C13" s="214">
        <f>'S6-Allocation'!H384</f>
        <v>45922.716097237273</v>
      </c>
      <c r="D13" s="214">
        <f>'S6-Allocation'!H386</f>
        <v>823883.96261748415</v>
      </c>
      <c r="E13" s="213">
        <f>C13/D13</f>
        <v>5.5739300897835825E-2</v>
      </c>
    </row>
    <row r="14" spans="1:5" ht="15" customHeight="1" x14ac:dyDescent="0.25">
      <c r="A14" s="220"/>
      <c r="B14" s="214"/>
      <c r="C14" s="214"/>
      <c r="D14" s="214"/>
      <c r="E14" s="207"/>
    </row>
    <row r="15" spans="1:5" ht="15" customHeight="1" x14ac:dyDescent="0.25">
      <c r="A15" s="220" t="s">
        <v>750</v>
      </c>
      <c r="B15" s="214">
        <f>'S6-Allocation'!I341</f>
        <v>4254659.7771843923</v>
      </c>
      <c r="C15" s="214">
        <f>'S6-Allocation'!I384</f>
        <v>826334.21593312826</v>
      </c>
      <c r="D15" s="214">
        <f>'S6-Allocation'!I386</f>
        <v>16781430.536424</v>
      </c>
      <c r="E15" s="213">
        <f>C15/D15</f>
        <v>4.9240987777506483E-2</v>
      </c>
    </row>
    <row r="16" spans="1:5" ht="15" customHeight="1" x14ac:dyDescent="0.25">
      <c r="A16" s="220"/>
      <c r="B16" s="214"/>
      <c r="C16" s="214"/>
      <c r="D16" s="214"/>
      <c r="E16" s="207"/>
    </row>
    <row r="17" spans="1:5" ht="15" customHeight="1" x14ac:dyDescent="0.25">
      <c r="A17" s="220" t="s">
        <v>751</v>
      </c>
      <c r="B17" s="214">
        <f>'S6-Allocation'!J341</f>
        <v>7496034.1353668729</v>
      </c>
      <c r="C17" s="214">
        <f>'S6-Allocation'!J384</f>
        <v>1323720.1029721182</v>
      </c>
      <c r="D17" s="214">
        <f>'S6-Allocation'!J386</f>
        <v>27369587.237921342</v>
      </c>
      <c r="E17" s="213">
        <f>C17/D17</f>
        <v>4.8364635223218357E-2</v>
      </c>
    </row>
    <row r="18" spans="1:5" ht="15" customHeight="1" x14ac:dyDescent="0.25">
      <c r="A18" s="220"/>
      <c r="B18" s="214"/>
      <c r="C18" s="214"/>
      <c r="D18" s="214"/>
      <c r="E18" s="207"/>
    </row>
    <row r="19" spans="1:5" ht="15" customHeight="1" x14ac:dyDescent="0.25">
      <c r="A19" s="220" t="s">
        <v>710</v>
      </c>
      <c r="B19" s="214">
        <f>'S6-Allocation'!K341</f>
        <v>1970007.9018084018</v>
      </c>
      <c r="C19" s="214">
        <f>'S6-Allocation'!K384</f>
        <v>976166.97967973573</v>
      </c>
      <c r="D19" s="214">
        <f>'S6-Allocation'!K386</f>
        <v>1782589.9521513043</v>
      </c>
      <c r="E19" s="213">
        <f>C19/D19</f>
        <v>0.54761162459244006</v>
      </c>
    </row>
    <row r="20" spans="1:5" ht="15" customHeight="1" x14ac:dyDescent="0.25">
      <c r="A20" s="220"/>
      <c r="B20" s="214"/>
      <c r="C20" s="214"/>
      <c r="D20" s="214"/>
      <c r="E20" s="207"/>
    </row>
    <row r="21" spans="1:5" ht="15" customHeight="1" x14ac:dyDescent="0.25">
      <c r="A21" s="220" t="s">
        <v>884</v>
      </c>
      <c r="B21" s="214">
        <f>'S6-Allocation'!L341</f>
        <v>354922.1</v>
      </c>
      <c r="C21" s="214">
        <f>'S6-Allocation'!L384</f>
        <v>-405226.03876927763</v>
      </c>
      <c r="D21" s="214">
        <f>'S6-Allocation'!L386</f>
        <v>2563718.2331270636</v>
      </c>
      <c r="E21" s="213">
        <f>C21/D21</f>
        <v>-0.15806184686489833</v>
      </c>
    </row>
    <row r="22" spans="1:5" ht="15" customHeight="1" x14ac:dyDescent="0.25">
      <c r="A22" s="220"/>
      <c r="B22" s="214"/>
      <c r="C22" s="214"/>
      <c r="D22" s="214"/>
      <c r="E22" s="207"/>
    </row>
    <row r="23" spans="1:5" ht="15" customHeight="1" x14ac:dyDescent="0.25">
      <c r="A23" s="220" t="s">
        <v>885</v>
      </c>
      <c r="B23" s="214">
        <f>'S6-Allocation'!M341</f>
        <v>2699723.3899999997</v>
      </c>
      <c r="C23" s="214">
        <f>'S6-Allocation'!M384</f>
        <v>-347681.54061290924</v>
      </c>
      <c r="D23" s="214">
        <f>'S6-Allocation'!M386</f>
        <v>8943534.7369507588</v>
      </c>
      <c r="E23" s="213">
        <f>C23/D23</f>
        <v>-3.8875181998951909E-2</v>
      </c>
    </row>
    <row r="24" spans="1:5" ht="15" x14ac:dyDescent="0.2">
      <c r="A24" s="207"/>
      <c r="B24" s="207"/>
      <c r="C24" s="207"/>
      <c r="D24" s="207"/>
      <c r="E24" s="207"/>
    </row>
    <row r="25" spans="1:5" ht="16.5" thickBot="1" x14ac:dyDescent="0.3">
      <c r="A25" s="215" t="s">
        <v>872</v>
      </c>
      <c r="B25" s="216">
        <f>SUM(B11:B23)</f>
        <v>33290130.842465527</v>
      </c>
      <c r="C25" s="216">
        <f>SUM(C11:C23)</f>
        <v>3314234.5132639892</v>
      </c>
      <c r="D25" s="216">
        <f>SUM(D11:D23)</f>
        <v>136735987.74174571</v>
      </c>
      <c r="E25" s="217">
        <f>C25/D25</f>
        <v>2.4238202158773366E-2</v>
      </c>
    </row>
    <row r="28" spans="1:5" ht="15.75" x14ac:dyDescent="0.25">
      <c r="A28" s="221"/>
    </row>
  </sheetData>
  <pageMargins left="0.7" right="0.7" top="0.75" bottom="0.75" header="0.3" footer="0.3"/>
  <pageSetup scale="90" orientation="portrait" r:id="rId1"/>
  <headerFooter>
    <oddHeader>&amp;R&amp;"Arial,Bold"&amp;16EXHIBIT 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E32BF-37A0-4562-8BC4-91F83FB561A2}">
  <sheetPr>
    <pageSetUpPr fitToPage="1"/>
  </sheetPr>
  <dimension ref="A1:F27"/>
  <sheetViews>
    <sheetView topLeftCell="A7" workbookViewId="0">
      <selection activeCell="F17" sqref="F17"/>
    </sheetView>
  </sheetViews>
  <sheetFormatPr defaultRowHeight="12.75" x14ac:dyDescent="0.2"/>
  <cols>
    <col min="1" max="1" width="32.140625" style="206" customWidth="1"/>
    <col min="2" max="2" width="17.5703125" style="206" customWidth="1"/>
    <col min="3" max="3" width="14.28515625" style="206" customWidth="1"/>
    <col min="4" max="4" width="5.28515625" style="206" customWidth="1"/>
    <col min="5" max="6" width="21.42578125" style="206" customWidth="1"/>
    <col min="7" max="16384" width="9.140625" style="206"/>
  </cols>
  <sheetData>
    <row r="1" spans="1:6" ht="18" x14ac:dyDescent="0.25">
      <c r="A1" s="208" t="s">
        <v>804</v>
      </c>
      <c r="B1" s="208"/>
      <c r="C1" s="208"/>
      <c r="D1" s="208"/>
    </row>
    <row r="2" spans="1:6" ht="15" x14ac:dyDescent="0.2">
      <c r="A2" s="207" t="s">
        <v>877</v>
      </c>
      <c r="B2" s="207"/>
      <c r="C2" s="207"/>
      <c r="D2" s="207"/>
    </row>
    <row r="3" spans="1:6" ht="15" x14ac:dyDescent="0.2">
      <c r="A3" s="207" t="s">
        <v>883</v>
      </c>
      <c r="B3" s="207"/>
      <c r="C3" s="207"/>
      <c r="D3" s="207"/>
    </row>
    <row r="4" spans="1:6" ht="15" x14ac:dyDescent="0.2">
      <c r="A4" s="207"/>
      <c r="B4" s="207"/>
      <c r="C4" s="207"/>
      <c r="D4" s="207"/>
      <c r="E4" s="207"/>
    </row>
    <row r="5" spans="1:6" ht="15.75" thickBot="1" x14ac:dyDescent="0.25">
      <c r="A5" s="207"/>
      <c r="B5" s="207"/>
      <c r="C5" s="207"/>
      <c r="D5" s="207"/>
      <c r="E5" s="207"/>
    </row>
    <row r="6" spans="1:6" ht="16.5" thickBot="1" x14ac:dyDescent="0.3">
      <c r="A6" s="207"/>
      <c r="B6" s="207"/>
      <c r="C6" s="209" t="s">
        <v>886</v>
      </c>
      <c r="D6" s="207"/>
      <c r="E6" s="269" t="s">
        <v>870</v>
      </c>
      <c r="F6" s="270"/>
    </row>
    <row r="7" spans="1:6" ht="15.75" x14ac:dyDescent="0.25">
      <c r="A7" s="207"/>
      <c r="B7" s="209" t="s">
        <v>879</v>
      </c>
      <c r="C7" s="209" t="s">
        <v>868</v>
      </c>
      <c r="D7" s="209"/>
      <c r="E7" s="209"/>
      <c r="F7" s="219"/>
    </row>
    <row r="8" spans="1:6" ht="16.5" thickBot="1" x14ac:dyDescent="0.3">
      <c r="A8" s="210" t="s">
        <v>869</v>
      </c>
      <c r="B8" s="211" t="s">
        <v>880</v>
      </c>
      <c r="C8" s="211" t="s">
        <v>880</v>
      </c>
      <c r="D8" s="211"/>
      <c r="E8" s="211" t="s">
        <v>881</v>
      </c>
      <c r="F8" s="211" t="s">
        <v>882</v>
      </c>
    </row>
    <row r="9" spans="1:6" ht="15" x14ac:dyDescent="0.2">
      <c r="A9" s="207"/>
      <c r="B9" s="207"/>
      <c r="C9" s="207"/>
      <c r="D9" s="207"/>
      <c r="E9" s="207"/>
      <c r="F9" s="219"/>
    </row>
    <row r="10" spans="1:6" ht="15.75" x14ac:dyDescent="0.25">
      <c r="A10" s="220" t="s">
        <v>303</v>
      </c>
      <c r="B10" s="212">
        <f>'S6-Allocation'!G421</f>
        <v>4802026.3659762703</v>
      </c>
      <c r="C10" s="222">
        <f>'[1]Cleaned Summary'!$G$10</f>
        <v>0.20921860719595084</v>
      </c>
      <c r="D10" s="220"/>
      <c r="E10" s="213">
        <f>'Class ROR Summary'!E11</f>
        <v>1.1405427552898521E-2</v>
      </c>
      <c r="F10" s="213">
        <f>'S6-Allocation'!G431</f>
        <v>5.7332070818556666E-2</v>
      </c>
    </row>
    <row r="11" spans="1:6" ht="15.75" x14ac:dyDescent="0.25">
      <c r="A11" s="220"/>
      <c r="B11" s="220"/>
      <c r="C11" s="220"/>
      <c r="D11" s="220"/>
      <c r="E11" s="207"/>
      <c r="F11" s="207"/>
    </row>
    <row r="12" spans="1:6" ht="15.75" x14ac:dyDescent="0.25">
      <c r="A12" s="220" t="s">
        <v>811</v>
      </c>
      <c r="B12" s="214">
        <f>'S6-Allocation'!H421</f>
        <v>63003.647918324918</v>
      </c>
      <c r="C12" s="222">
        <f>'[1]Cleaned Summary'!$G$11</f>
        <v>2.7517456968571181E-2</v>
      </c>
      <c r="D12" s="220"/>
      <c r="E12" s="213">
        <f>'Class ROR Summary'!E13</f>
        <v>5.5739300897835825E-2</v>
      </c>
      <c r="F12" s="213">
        <f>'S6-Allocation'!H431</f>
        <v>0.11313116663154978</v>
      </c>
    </row>
    <row r="13" spans="1:6" ht="15.75" x14ac:dyDescent="0.25">
      <c r="A13" s="220"/>
      <c r="B13" s="214"/>
      <c r="C13" s="222"/>
      <c r="D13" s="220"/>
      <c r="E13" s="207"/>
      <c r="F13" s="207"/>
    </row>
    <row r="14" spans="1:6" ht="15.75" x14ac:dyDescent="0.25">
      <c r="A14" s="220" t="s">
        <v>750</v>
      </c>
      <c r="B14" s="214">
        <f>'S6-Allocation'!I421</f>
        <v>1354251.2501877695</v>
      </c>
      <c r="C14" s="222">
        <f>'[1]Cleaned Summary'!$G$12</f>
        <v>0.19126612876417179</v>
      </c>
      <c r="D14" s="220"/>
      <c r="E14" s="213">
        <f>'Class ROR Summary'!E15</f>
        <v>4.9240987777506483E-2</v>
      </c>
      <c r="F14" s="213">
        <f>'S6-Allocation'!I431</f>
        <v>0.10980588187636804</v>
      </c>
    </row>
    <row r="15" spans="1:6" ht="15.75" x14ac:dyDescent="0.25">
      <c r="A15" s="220"/>
      <c r="B15" s="214"/>
      <c r="C15" s="222"/>
      <c r="D15" s="220"/>
      <c r="E15" s="207"/>
      <c r="F15" s="207"/>
    </row>
    <row r="16" spans="1:6" ht="15.75" x14ac:dyDescent="0.25">
      <c r="A16" s="220" t="s">
        <v>751</v>
      </c>
      <c r="B16" s="214">
        <f>'S6-Allocation'!J421</f>
        <v>2384549.9336971585</v>
      </c>
      <c r="C16" s="222">
        <f>'[1]Cleaned Summary'!$G$13</f>
        <v>0.19985592743272945</v>
      </c>
      <c r="D16" s="220"/>
      <c r="E16" s="213">
        <f>'Class ROR Summary'!E17</f>
        <v>4.8364635223218357E-2</v>
      </c>
      <c r="F16" s="213">
        <f>'S6-Allocation'!J431</f>
        <v>0.11375125248137595</v>
      </c>
    </row>
    <row r="17" spans="1:6" ht="15.75" x14ac:dyDescent="0.25">
      <c r="A17" s="220"/>
      <c r="B17" s="214"/>
      <c r="C17" s="222"/>
      <c r="D17" s="220"/>
      <c r="E17" s="207"/>
      <c r="F17" s="207"/>
    </row>
    <row r="18" spans="1:6" ht="15.75" x14ac:dyDescent="0.25">
      <c r="A18" s="220" t="s">
        <v>710</v>
      </c>
      <c r="B18" s="214">
        <f>'S6-Allocation'!K421</f>
        <v>-24.059019113425165</v>
      </c>
      <c r="C18" s="222">
        <f>'[1]Cleaned Summary'!$G$14</f>
        <v>2.8831154123111052E-5</v>
      </c>
      <c r="D18" s="220"/>
      <c r="E18" s="213">
        <f>'Class ROR Summary'!E19</f>
        <v>0.54761162459244006</v>
      </c>
      <c r="F18" s="213">
        <f>'S6-Allocation'!K431</f>
        <v>0.54760149534548519</v>
      </c>
    </row>
    <row r="19" spans="1:6" ht="15.75" x14ac:dyDescent="0.25">
      <c r="A19" s="220"/>
      <c r="B19" s="214"/>
      <c r="C19" s="222"/>
      <c r="D19" s="220"/>
      <c r="E19" s="207"/>
      <c r="F19" s="207"/>
    </row>
    <row r="20" spans="1:6" ht="15.75" x14ac:dyDescent="0.25">
      <c r="A20" s="220" t="s">
        <v>887</v>
      </c>
      <c r="B20" s="214">
        <f>'S6-Allocation'!L421</f>
        <v>117710.52236366231</v>
      </c>
      <c r="C20" s="222">
        <f>'[1]Cleaned Summary'!$G$15</f>
        <v>0.30293944624843655</v>
      </c>
      <c r="D20" s="220"/>
      <c r="E20" s="213">
        <f>'Class ROR Summary'!E21</f>
        <v>-0.15806184686489833</v>
      </c>
      <c r="F20" s="213">
        <f>'S6-Allocation'!L431</f>
        <v>-0.1236034005768385</v>
      </c>
    </row>
    <row r="21" spans="1:6" ht="15.75" x14ac:dyDescent="0.25">
      <c r="A21" s="220"/>
      <c r="B21" s="214"/>
      <c r="C21" s="222"/>
      <c r="D21" s="220"/>
      <c r="E21" s="207"/>
      <c r="F21" s="207"/>
    </row>
    <row r="22" spans="1:6" ht="20.25" customHeight="1" x14ac:dyDescent="0.25">
      <c r="A22" s="220" t="s">
        <v>888</v>
      </c>
      <c r="B22" s="214">
        <f>'S6-Allocation'!M421</f>
        <v>413651.88530431641</v>
      </c>
      <c r="C22" s="222">
        <f>'[1]Cleaned Summary'!$G$16</f>
        <v>0.3032554847841466</v>
      </c>
      <c r="D22" s="220"/>
      <c r="E22" s="213">
        <f>'Class ROR Summary'!E23</f>
        <v>-3.8875181998951909E-2</v>
      </c>
      <c r="F22" s="213">
        <f>'S6-Allocation'!M431</f>
        <v>-4.1634322208396867E-3</v>
      </c>
    </row>
    <row r="23" spans="1:6" ht="15" x14ac:dyDescent="0.2">
      <c r="A23" s="207"/>
      <c r="B23" s="214"/>
      <c r="C23" s="207"/>
      <c r="D23" s="207"/>
      <c r="E23" s="207"/>
      <c r="F23" s="207"/>
    </row>
    <row r="24" spans="1:6" ht="16.5" thickBot="1" x14ac:dyDescent="0.3">
      <c r="A24" s="215" t="s">
        <v>872</v>
      </c>
      <c r="B24" s="216">
        <f>SUM(B10:B22)</f>
        <v>9135169.5464283898</v>
      </c>
      <c r="C24" s="223">
        <f>'[1]Cleaned Summary'!$G$17</f>
        <v>0.19216131241233972</v>
      </c>
      <c r="D24" s="218"/>
      <c r="E24" s="217">
        <f>'Class ROR Summary'!E25</f>
        <v>2.4238202158773366E-2</v>
      </c>
      <c r="F24" s="217">
        <f>'S6-Allocation'!F431</f>
        <v>7.4378219268334198E-2</v>
      </c>
    </row>
    <row r="25" spans="1:6" x14ac:dyDescent="0.2">
      <c r="A25" s="219"/>
      <c r="B25" s="219"/>
      <c r="C25" s="219"/>
      <c r="D25" s="219"/>
      <c r="E25" s="219"/>
      <c r="F25" s="219"/>
    </row>
    <row r="26" spans="1:6" x14ac:dyDescent="0.2">
      <c r="A26" s="219"/>
      <c r="B26" s="219"/>
      <c r="C26" s="219"/>
      <c r="D26" s="219"/>
      <c r="E26" s="219"/>
      <c r="F26" s="219"/>
    </row>
    <row r="27" spans="1:6" ht="15" x14ac:dyDescent="0.2">
      <c r="A27" s="207" t="s">
        <v>889</v>
      </c>
      <c r="B27" s="219"/>
      <c r="C27" s="219"/>
      <c r="D27" s="219"/>
      <c r="E27" s="219"/>
      <c r="F27" s="219"/>
    </row>
  </sheetData>
  <mergeCells count="1">
    <mergeCell ref="E6:F6"/>
  </mergeCells>
  <pageMargins left="0.7" right="0.7" top="0.75" bottom="0.75" header="0.3" footer="0.3"/>
  <pageSetup scale="82" orientation="portrait" r:id="rId1"/>
  <headerFooter>
    <oddHeader>&amp;R&amp;"Arial,Bold"&amp;16EXHIBIT B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5933265210834EA74734FDD2FA6C5F" ma:contentTypeVersion="12" ma:contentTypeDescription="Create a new document." ma:contentTypeScope="" ma:versionID="78041e5ec64f8e676c7aa7c9560c2d1f">
  <xsd:schema xmlns:xsd="http://www.w3.org/2001/XMLSchema" xmlns:xs="http://www.w3.org/2001/XMLSchema" xmlns:p="http://schemas.microsoft.com/office/2006/metadata/properties" xmlns:ns2="2b9e1b56-1bc3-4bb6-83f9-6df8fea7da23" xmlns:ns3="0a97646d-5e46-4532-99d2-95b688ae3204" targetNamespace="http://schemas.microsoft.com/office/2006/metadata/properties" ma:root="true" ma:fieldsID="9be589ad3e65044d44483e4dfd03f56e" ns2:_="" ns3:_="">
    <xsd:import namespace="2b9e1b56-1bc3-4bb6-83f9-6df8fea7da23"/>
    <xsd:import namespace="0a97646d-5e46-4532-99d2-95b688ae32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9e1b56-1bc3-4bb6-83f9-6df8fea7da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97646d-5e46-4532-99d2-95b688ae320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A428FB-E81E-45EC-9AEE-5595AE151B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9e1b56-1bc3-4bb6-83f9-6df8fea7da23"/>
    <ds:schemaRef ds:uri="0a97646d-5e46-4532-99d2-95b688ae32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DF5EC8-4DEE-4878-AAD7-C72181A0F6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ADC1D5-F3D1-4DA9-A536-1543935E15D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S5-Functional Assignment</vt:lpstr>
      <vt:lpstr>S6-Allocation</vt:lpstr>
      <vt:lpstr>Residntial Unit Cost</vt:lpstr>
      <vt:lpstr>Class ROR Summary</vt:lpstr>
      <vt:lpstr>Class ROR Pres vs Proposed</vt:lpstr>
      <vt:lpstr>'Class ROR Pres vs Proposed'!Print_Area</vt:lpstr>
      <vt:lpstr>'Class ROR Summary'!Print_Area</vt:lpstr>
      <vt:lpstr>'Residntial Unit Cost'!Print_Area</vt:lpstr>
      <vt:lpstr>'S5-Functional Assignment'!Print_Area</vt:lpstr>
      <vt:lpstr>'S6-Allocation'!Print_Area</vt:lpstr>
      <vt:lpstr>'S5-Functional Assignment'!Print_Titles</vt:lpstr>
      <vt:lpstr>'S6-Allocation'!Print_Titles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Seelye</dc:creator>
  <cp:lastModifiedBy>William Seelye</cp:lastModifiedBy>
  <cp:lastPrinted>2021-05-26T18:42:43Z</cp:lastPrinted>
  <dcterms:created xsi:type="dcterms:W3CDTF">1999-05-09T14:55:12Z</dcterms:created>
  <dcterms:modified xsi:type="dcterms:W3CDTF">2021-05-26T18:43:18Z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0x010100475933265210834EA74734FDD2FA6C5F</vt:lpwstr>
  </property>
</Properties>
</file>