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activeTab="2"/>
  </bookViews>
  <sheets>
    <sheet name="Tab 56 - Sched C-1 Summary" sheetId="25" r:id="rId1"/>
    <sheet name="Tab 57 - Sched D-1 Adj by Act" sheetId="24" r:id="rId2"/>
    <sheet name="Tab 57 - Sched D-2 Adjustments" sheetId="26" r:id="rId3"/>
    <sheet name="D-2.1" sheetId="27" r:id="rId4"/>
    <sheet name="D-2.2" sheetId="28" r:id="rId5"/>
    <sheet name="D-2.3" sheetId="29" r:id="rId6"/>
    <sheet name="D-2.4" sheetId="30" r:id="rId7"/>
    <sheet name="D-2.5" sheetId="31" r:id="rId8"/>
    <sheet name="D-2.6" sheetId="32" r:id="rId9"/>
    <sheet name="D-2.7" sheetId="33" r:id="rId10"/>
    <sheet name="D-2.8" sheetId="34" r:id="rId11"/>
    <sheet name="D-2.9" sheetId="7" r:id="rId12"/>
    <sheet name="Income Statement Summary" sheetId="1" r:id="rId13"/>
    <sheet name="Income Statement Detail" sheetId="14" r:id="rId14"/>
    <sheet name="PreTax Net Income" sheetId="4" r:id="rId15"/>
    <sheet name="Op Revenue" sheetId="21" r:id="rId16"/>
    <sheet name="Prime Group Revenue Calc" sheetId="23" r:id="rId17"/>
    <sheet name="Gas Cost" sheetId="22" r:id="rId18"/>
    <sheet name="Lobbying" sheetId="6" r:id="rId19"/>
    <sheet name="Property Tax" sheetId="19" r:id="rId20"/>
    <sheet name="Payroll Base and Adjustment " sheetId="11" r:id="rId21"/>
    <sheet name="Payroll Taxes" sheetId="12" r:id="rId22"/>
    <sheet name="Medical and Dental" sheetId="15" r:id="rId23"/>
    <sheet name="401k estimate" sheetId="18" r:id="rId24"/>
    <sheet name="Pensions" sheetId="17"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A" localSheetId="0">'[1]TRANSPORTS-revised'!#REF!</definedName>
    <definedName name="\A" localSheetId="1">'[1]TRANSPORTS-revised'!#REF!</definedName>
    <definedName name="\A">'[1]TRANSPORTS-revised'!#REF!</definedName>
    <definedName name="\C" localSheetId="0">#REF!</definedName>
    <definedName name="\C" localSheetId="1">#REF!</definedName>
    <definedName name="\C">#REF!</definedName>
    <definedName name="\f" localSheetId="0">'[2]E-2'!#REF!</definedName>
    <definedName name="\f" localSheetId="1">'[2]E-2'!#REF!</definedName>
    <definedName name="\f">'[2]E-2'!#REF!</definedName>
    <definedName name="\p" localSheetId="0">#REF!</definedName>
    <definedName name="\p" localSheetId="1">#REF!</definedName>
    <definedName name="\p">#REF!</definedName>
    <definedName name="\s" localSheetId="0">'[2]E-2'!#REF!</definedName>
    <definedName name="\s" localSheetId="1">'[2]E-2'!#REF!</definedName>
    <definedName name="\s">'[2]E-2'!#REF!</definedName>
    <definedName name="\t" localSheetId="0">#REF!</definedName>
    <definedName name="\t" localSheetId="1">#REF!</definedName>
    <definedName name="\t">#REF!</definedName>
    <definedName name="__123Graph_A">[3]DSAR!$G$6:$G$32</definedName>
    <definedName name="__123Graph_ACCMS">[3]DSAR!$J$6:$J$32</definedName>
    <definedName name="__123Graph_ACCSP">[3]DSAR!$K$6:$K$32</definedName>
    <definedName name="__123Graph_ACG">[3]DSAR!$I$6:$I$32</definedName>
    <definedName name="__123Graph_ACM">[3]DSAR!$D$6:$D$32</definedName>
    <definedName name="__123Graph_ACMS">[3]DSAR!$H$6:$H$32</definedName>
    <definedName name="__123Graph_ACSP">[3]DSAR!$G$6:$G$32</definedName>
    <definedName name="__123Graph_AHG">[3]DSAR!$B$6:$B$32</definedName>
    <definedName name="__123Graph_AHMS">[3]DSAR!$C$6:$C$32</definedName>
    <definedName name="__123Graph_AILL">[3]DSAR!$AL$6:$AL$23</definedName>
    <definedName name="__123Graph_AIOWA">[3]DSAR!$W$6:$W$31</definedName>
    <definedName name="__123Graph_AKEOTA">[3]DSAR!$F$6:$F$32</definedName>
    <definedName name="__123Graph_ALOUD">[3]DSAR!$E$6:$E$32</definedName>
    <definedName name="__123Graph_ANL">[3]DSAR!$M$6:$M$32</definedName>
    <definedName name="__123Graph_ASAY">[3]DSAR!$L$6:$L$32</definedName>
    <definedName name="__123Graph_ATOTSYS">[3]DSAR!$T$6:$T$23</definedName>
    <definedName name="__123Graph_B">[3]DSAR!$BK$6:$BK$32</definedName>
    <definedName name="__123Graph_BCCMS">[3]DSAR!$BM$6:$BM$32</definedName>
    <definedName name="__123Graph_BCCSP">[3]DSAR!$BN$6:$BN$32</definedName>
    <definedName name="__123Graph_BCG">[3]DSAR!$BO$6:$BO$32</definedName>
    <definedName name="__123Graph_BCM">[3]DSAR!$BQ$6:$BQ$32</definedName>
    <definedName name="__123Graph_BCMS">[3]DSAR!$BL$6:$BL$32</definedName>
    <definedName name="__123Graph_BCSP">[3]DSAR!$BK$6:$BK$32</definedName>
    <definedName name="__123Graph_BHG">[3]DSAR!$BS$6:$BS$32</definedName>
    <definedName name="__123Graph_BHMS">[3]DSAR!$BR$6:$BR$32</definedName>
    <definedName name="__123Graph_BILL">[3]DSAR!$AM$6:$AM$32</definedName>
    <definedName name="__123Graph_BIOWA">[3]DSAR!$X$6:$X$32</definedName>
    <definedName name="__123Graph_BKEOTA">[3]DSAR!$BJ$6:$BJ$32</definedName>
    <definedName name="__123Graph_BLOUD">[3]DSAR!$BP$6:$BP$32</definedName>
    <definedName name="__123Graph_BNL">[3]DSAR!$AA$6:$AA$32</definedName>
    <definedName name="__123Graph_BSAY">[3]DSAR!$AF$6:$AF$32</definedName>
    <definedName name="__123Graph_BTOTSYS">[3]DSAR!$U$6:$U$32</definedName>
    <definedName name="__123Graph_C">[3]DSAR!$AW$6:$AW$23</definedName>
    <definedName name="__123Graph_CCCMS">[3]DSAR!$AY$6:$AY$29</definedName>
    <definedName name="__123Graph_CCCSP">[3]DSAR!$AZ$6:$AZ$29</definedName>
    <definedName name="__123Graph_CCG">[3]DSAR!$BA$6:$BA$29</definedName>
    <definedName name="__123Graph_CCM">[3]DSAR!$BC$6:$BC$31</definedName>
    <definedName name="__123Graph_CCMS">[3]DSAR!$AX$6:$AX$31</definedName>
    <definedName name="__123Graph_CCSP">[3]DSAR!$AW$6:$AW$31</definedName>
    <definedName name="__123Graph_CHG">[3]DSAR!$BE$6:$BE$29</definedName>
    <definedName name="__123Graph_CHMS">[3]DSAR!$BD$6:$BD$29</definedName>
    <definedName name="__123Graph_CILL">[3]DSAR!$AN$6:$AN$23</definedName>
    <definedName name="__123Graph_CIOWA">[3]DSAR!$Y$6:$Y$31</definedName>
    <definedName name="__123Graph_CKEOTA">[3]DSAR!$AV$6:$AV$31</definedName>
    <definedName name="__123Graph_CLOUD">[3]DSAR!$BB$6:$BB$29</definedName>
    <definedName name="__123Graph_CNL">[3]DSAR!$AB$6:$AB$30</definedName>
    <definedName name="__123Graph_CSAY">[3]DSAR!$AG$6:$AG$30</definedName>
    <definedName name="__123Graph_CTOTSYS">[3]DSAR!$V$6:$V$23</definedName>
    <definedName name="__123Graph_X">[3]DSAR!$A$6:$A$32</definedName>
    <definedName name="__123Graph_XCCMS">[3]DSAR!$A$6:$A$32</definedName>
    <definedName name="__123Graph_XCCSP">[3]DSAR!$A$6:$A$32</definedName>
    <definedName name="__123Graph_XCG">[3]DSAR!$A$6:$A$32</definedName>
    <definedName name="__123Graph_XCM">[3]DSAR!$A$6:$A$32</definedName>
    <definedName name="__123Graph_XCMS">[3]DSAR!$A$6:$A$32</definedName>
    <definedName name="__123Graph_XCSP">[3]DSAR!$A$6:$A$32</definedName>
    <definedName name="__123Graph_XHG">[3]DSAR!$A$6:$A$32</definedName>
    <definedName name="__123Graph_XHMS">[3]DSAR!$A$6:$A$32</definedName>
    <definedName name="__123Graph_XILL">[3]DSAR!$A$6:$A$32</definedName>
    <definedName name="__123Graph_XIOWA">[3]DSAR!$A$6:$A$32</definedName>
    <definedName name="__123Graph_XKEOTA">[3]DSAR!$A$6:$A$32</definedName>
    <definedName name="__123Graph_XLOUD">[3]DSAR!$A$6:$A$32</definedName>
    <definedName name="__123Graph_XNL">[3]DSAR!$A$6:$A$32</definedName>
    <definedName name="__123Graph_XSAY">[3]DSAR!$A$6:$A$32</definedName>
    <definedName name="__123Graph_XTOTSYS">[3]DSAR!$A$6:$A$32</definedName>
    <definedName name="__ADJ24" localSheetId="0">#REF!</definedName>
    <definedName name="__ADJ24" localSheetId="1">#REF!</definedName>
    <definedName name="__ADJ24">#REF!</definedName>
    <definedName name="__ADJ25" localSheetId="0">#REF!</definedName>
    <definedName name="__ADJ25" localSheetId="1">#REF!</definedName>
    <definedName name="__ADJ25">#REF!</definedName>
    <definedName name="__adj4" localSheetId="0">#REF!</definedName>
    <definedName name="__adj4" localSheetId="1">#REF!</definedName>
    <definedName name="__adj4">#REF!</definedName>
    <definedName name="__ADJ44" localSheetId="0">#REF!</definedName>
    <definedName name="__ADJ44" localSheetId="1">#REF!</definedName>
    <definedName name="__ADJ44">#REF!</definedName>
    <definedName name="__ADJ48" localSheetId="0">#REF!</definedName>
    <definedName name="__ADJ48" localSheetId="1">#REF!</definedName>
    <definedName name="__ADJ48">#REF!</definedName>
    <definedName name="__ADJ49" localSheetId="0">#REF!</definedName>
    <definedName name="__ADJ49" localSheetId="1">#REF!</definedName>
    <definedName name="__ADJ49">#REF!</definedName>
    <definedName name="__ADJ51" localSheetId="0">#REF!</definedName>
    <definedName name="__ADJ51" localSheetId="1">#REF!</definedName>
    <definedName name="__ADJ51">#REF!</definedName>
    <definedName name="__EMP11" localSheetId="0">#REF!</definedName>
    <definedName name="__EMP11" localSheetId="1">#REF!</definedName>
    <definedName name="__EMP11">#REF!</definedName>
    <definedName name="__EMP12" localSheetId="0">#REF!</definedName>
    <definedName name="__EMP12" localSheetId="1">#REF!</definedName>
    <definedName name="__EMP12">#REF!</definedName>
    <definedName name="__EMP14" localSheetId="0">#REF!</definedName>
    <definedName name="__EMP14" localSheetId="1">#REF!</definedName>
    <definedName name="__EMP14">#REF!</definedName>
    <definedName name="__EMP15" localSheetId="0">#REF!</definedName>
    <definedName name="__EMP15" localSheetId="1">#REF!</definedName>
    <definedName name="__EMP15">#REF!</definedName>
    <definedName name="__EMP16" localSheetId="0">#REF!</definedName>
    <definedName name="__EMP16" localSheetId="1">#REF!</definedName>
    <definedName name="__EMP16">#REF!</definedName>
    <definedName name="__EMP17" localSheetId="0">#REF!</definedName>
    <definedName name="__EMP17" localSheetId="1">#REF!</definedName>
    <definedName name="__EMP17">#REF!</definedName>
    <definedName name="__EMP18" localSheetId="0">#REF!</definedName>
    <definedName name="__EMP18" localSheetId="1">#REF!</definedName>
    <definedName name="__EMP18">#REF!</definedName>
    <definedName name="__EMP20" localSheetId="0">#REF!</definedName>
    <definedName name="__EMP20" localSheetId="1">#REF!</definedName>
    <definedName name="__EMP20">#REF!</definedName>
    <definedName name="__EMP22" localSheetId="0">#REF!</definedName>
    <definedName name="__EMP22" localSheetId="1">#REF!</definedName>
    <definedName name="__EMP22">#REF!</definedName>
    <definedName name="__EMP32" localSheetId="0">#REF!</definedName>
    <definedName name="__EMP32" localSheetId="1">#REF!</definedName>
    <definedName name="__EMP32">#REF!</definedName>
    <definedName name="__EMP34" localSheetId="0">#REF!</definedName>
    <definedName name="__EMP34" localSheetId="1">#REF!</definedName>
    <definedName name="__EMP34">#REF!</definedName>
    <definedName name="__EMP35" localSheetId="0">#REF!</definedName>
    <definedName name="__EMP35" localSheetId="1">#REF!</definedName>
    <definedName name="__EMP35">#REF!</definedName>
    <definedName name="__EMP37" localSheetId="0">#REF!</definedName>
    <definedName name="__EMP37" localSheetId="1">#REF!</definedName>
    <definedName name="__EMP37">#REF!</definedName>
    <definedName name="__EMP38" localSheetId="0">#REF!</definedName>
    <definedName name="__EMP38" localSheetId="1">#REF!</definedName>
    <definedName name="__EMP38">#REF!</definedName>
    <definedName name="__EMP43" localSheetId="0">#REF!</definedName>
    <definedName name="__EMP43" localSheetId="1">#REF!</definedName>
    <definedName name="__EMP43">#REF!</definedName>
    <definedName name="__EMP48" localSheetId="0">#REF!</definedName>
    <definedName name="__EMP48" localSheetId="1">#REF!</definedName>
    <definedName name="__EMP48">#REF!</definedName>
    <definedName name="__EMP51" localSheetId="0">#REF!</definedName>
    <definedName name="__EMP51" localSheetId="1">#REF!</definedName>
    <definedName name="__EMP51">#REF!</definedName>
    <definedName name="__EMP52" localSheetId="0">#REF!</definedName>
    <definedName name="__EMP52" localSheetId="1">#REF!</definedName>
    <definedName name="__EMP52">#REF!</definedName>
    <definedName name="__EMP53" localSheetId="0">#REF!</definedName>
    <definedName name="__EMP53" localSheetId="1">#REF!</definedName>
    <definedName name="__EMP53">#REF!</definedName>
    <definedName name="__FXD0111" localSheetId="0">#REF!</definedName>
    <definedName name="__FXD0111" localSheetId="1">#REF!</definedName>
    <definedName name="__FXD0111">#REF!</definedName>
    <definedName name="__FXD0151" localSheetId="0">#REF!</definedName>
    <definedName name="__FXD0151" localSheetId="1">#REF!</definedName>
    <definedName name="__FXD0151">#REF!</definedName>
    <definedName name="__FXD0212" localSheetId="0">#REF!</definedName>
    <definedName name="__FXD0212" localSheetId="1">#REF!</definedName>
    <definedName name="__FXD0212">#REF!</definedName>
    <definedName name="__FXD0214" localSheetId="0">#REF!</definedName>
    <definedName name="__FXD0214" localSheetId="1">#REF!</definedName>
    <definedName name="__FXD0214">#REF!</definedName>
    <definedName name="__FXD0234" localSheetId="0">#REF!</definedName>
    <definedName name="__FXD0234" localSheetId="1">#REF!</definedName>
    <definedName name="__FXD0234">#REF!</definedName>
    <definedName name="__FXD0235" localSheetId="0">#REF!</definedName>
    <definedName name="__FXD0235" localSheetId="1">#REF!</definedName>
    <definedName name="__FXD0235">#REF!</definedName>
    <definedName name="__FXD0237" localSheetId="0">#REF!</definedName>
    <definedName name="__FXD0237" localSheetId="1">#REF!</definedName>
    <definedName name="__FXD0237">#REF!</definedName>
    <definedName name="__FXD0238" localSheetId="0">#REF!</definedName>
    <definedName name="__FXD0238" localSheetId="1">#REF!</definedName>
    <definedName name="__FXD0238">#REF!</definedName>
    <definedName name="__FXD0251" localSheetId="0">#REF!</definedName>
    <definedName name="__FXD0251" localSheetId="1">#REF!</definedName>
    <definedName name="__FXD0251">#REF!</definedName>
    <definedName name="__FXD0612" localSheetId="0">#REF!</definedName>
    <definedName name="__FXD0612" localSheetId="1">#REF!</definedName>
    <definedName name="__FXD0612">#REF!</definedName>
    <definedName name="__FXD0614" localSheetId="0">#REF!</definedName>
    <definedName name="__FXD0614" localSheetId="1">#REF!</definedName>
    <definedName name="__FXD0614">#REF!</definedName>
    <definedName name="__FXD0615" localSheetId="0">#REF!</definedName>
    <definedName name="__FXD0615" localSheetId="1">#REF!</definedName>
    <definedName name="__FXD0615">#REF!</definedName>
    <definedName name="__FXD0616" localSheetId="0">#REF!</definedName>
    <definedName name="__FXD0616" localSheetId="1">#REF!</definedName>
    <definedName name="__FXD0616">#REF!</definedName>
    <definedName name="__FXD0617" localSheetId="0">#REF!</definedName>
    <definedName name="__FXD0617" localSheetId="1">#REF!</definedName>
    <definedName name="__FXD0617">#REF!</definedName>
    <definedName name="__FXD0618" localSheetId="0">#REF!</definedName>
    <definedName name="__FXD0618" localSheetId="1">#REF!</definedName>
    <definedName name="__FXD0618">#REF!</definedName>
    <definedName name="__FXD0632" localSheetId="0">#REF!</definedName>
    <definedName name="__FXD0632" localSheetId="1">#REF!</definedName>
    <definedName name="__FXD0632">#REF!</definedName>
    <definedName name="__FXD0634" localSheetId="0">#REF!</definedName>
    <definedName name="__FXD0634" localSheetId="1">#REF!</definedName>
    <definedName name="__FXD0634">#REF!</definedName>
    <definedName name="__FXD0635" localSheetId="0">#REF!</definedName>
    <definedName name="__FXD0635" localSheetId="1">#REF!</definedName>
    <definedName name="__FXD0635">#REF!</definedName>
    <definedName name="__FXD0637" localSheetId="0">#REF!</definedName>
    <definedName name="__FXD0637" localSheetId="1">#REF!</definedName>
    <definedName name="__FXD0637">#REF!</definedName>
    <definedName name="__FXD0638" localSheetId="0">#REF!</definedName>
    <definedName name="__FXD0638" localSheetId="1">#REF!</definedName>
    <definedName name="__FXD0638">#REF!</definedName>
    <definedName name="__FXD0643" localSheetId="0">#REF!</definedName>
    <definedName name="__FXD0643" localSheetId="1">#REF!</definedName>
    <definedName name="__FXD0643">#REF!</definedName>
    <definedName name="__FXD0651" localSheetId="0">#REF!</definedName>
    <definedName name="__FXD0651" localSheetId="1">#REF!</definedName>
    <definedName name="__FXD0651">#REF!</definedName>
    <definedName name="__FXD0653" localSheetId="0">#REF!</definedName>
    <definedName name="__FXD0653" localSheetId="1">#REF!</definedName>
    <definedName name="__FXD0653">#REF!</definedName>
    <definedName name="__FXD0814" localSheetId="0">#REF!</definedName>
    <definedName name="__FXD0814" localSheetId="1">#REF!</definedName>
    <definedName name="__FXD0814">#REF!</definedName>
    <definedName name="__FXD0832" localSheetId="0">#REF!</definedName>
    <definedName name="__FXD0832" localSheetId="1">#REF!</definedName>
    <definedName name="__FXD0832">#REF!</definedName>
    <definedName name="__FXD0834" localSheetId="0">#REF!</definedName>
    <definedName name="__FXD0834" localSheetId="1">#REF!</definedName>
    <definedName name="__FXD0834">#REF!</definedName>
    <definedName name="__FXD0835" localSheetId="0">#REF!</definedName>
    <definedName name="__FXD0835" localSheetId="1">#REF!</definedName>
    <definedName name="__FXD0835">#REF!</definedName>
    <definedName name="__FXD0837" localSheetId="0">#REF!</definedName>
    <definedName name="__FXD0837" localSheetId="1">#REF!</definedName>
    <definedName name="__FXD0837">#REF!</definedName>
    <definedName name="__FXD0838" localSheetId="0">#REF!</definedName>
    <definedName name="__FXD0838" localSheetId="1">#REF!</definedName>
    <definedName name="__FXD0838">#REF!</definedName>
    <definedName name="__FXD0851" localSheetId="0">#REF!</definedName>
    <definedName name="__FXD0851" localSheetId="1">#REF!</definedName>
    <definedName name="__FXD0851">#REF!</definedName>
    <definedName name="__FXD0932" localSheetId="0">#REF!</definedName>
    <definedName name="__FXD0932" localSheetId="1">#REF!</definedName>
    <definedName name="__FXD0932">#REF!</definedName>
    <definedName name="__FXD0934" localSheetId="0">#REF!</definedName>
    <definedName name="__FXD0934" localSheetId="1">#REF!</definedName>
    <definedName name="__FXD0934">#REF!</definedName>
    <definedName name="__FXD0935" localSheetId="0">#REF!</definedName>
    <definedName name="__FXD0935" localSheetId="1">#REF!</definedName>
    <definedName name="__FXD0935">#REF!</definedName>
    <definedName name="__FXD0937" localSheetId="0">#REF!</definedName>
    <definedName name="__FXD0937" localSheetId="1">#REF!</definedName>
    <definedName name="__FXD0937">#REF!</definedName>
    <definedName name="__FXD0938" localSheetId="0">#REF!</definedName>
    <definedName name="__FXD0938" localSheetId="1">#REF!</definedName>
    <definedName name="__FXD0938">#REF!</definedName>
    <definedName name="__FXD0951" localSheetId="0">#REF!</definedName>
    <definedName name="__FXD0951" localSheetId="1">#REF!</definedName>
    <definedName name="__FXD0951">#REF!</definedName>
    <definedName name="__FXD7032" localSheetId="0">#REF!</definedName>
    <definedName name="__FXD7032" localSheetId="1">#REF!</definedName>
    <definedName name="__FXD7032">#REF!</definedName>
    <definedName name="__FXD7034" localSheetId="0">#REF!</definedName>
    <definedName name="__FXD7034" localSheetId="1">#REF!</definedName>
    <definedName name="__FXD7034">#REF!</definedName>
    <definedName name="__FXD7035" localSheetId="0">#REF!</definedName>
    <definedName name="__FXD7035" localSheetId="1">#REF!</definedName>
    <definedName name="__FXD7035">#REF!</definedName>
    <definedName name="__FXD7037" localSheetId="0">#REF!</definedName>
    <definedName name="__FXD7037" localSheetId="1">#REF!</definedName>
    <definedName name="__FXD7037">#REF!</definedName>
    <definedName name="__FXD7038" localSheetId="0">#REF!</definedName>
    <definedName name="__FXD7038" localSheetId="1">#REF!</definedName>
    <definedName name="__FXD7038">#REF!</definedName>
    <definedName name="__FXD8614" localSheetId="0">#REF!</definedName>
    <definedName name="__FXD8614" localSheetId="1">#REF!</definedName>
    <definedName name="__FXD8614">#REF!</definedName>
    <definedName name="__FXD8615" localSheetId="0">#REF!</definedName>
    <definedName name="__FXD8615" localSheetId="1">#REF!</definedName>
    <definedName name="__FXD8615">#REF!</definedName>
    <definedName name="__FXD8616" localSheetId="0">#REF!</definedName>
    <definedName name="__FXD8616" localSheetId="1">#REF!</definedName>
    <definedName name="__FXD8616">#REF!</definedName>
    <definedName name="__FXD8617" localSheetId="0">#REF!</definedName>
    <definedName name="__FXD8617" localSheetId="1">#REF!</definedName>
    <definedName name="__FXD8617">#REF!</definedName>
    <definedName name="__FXD8618" localSheetId="0">#REF!</definedName>
    <definedName name="__FXD8618" localSheetId="1">#REF!</definedName>
    <definedName name="__FXD8618">#REF!</definedName>
    <definedName name="__FXD8632" localSheetId="0">#REF!</definedName>
    <definedName name="__FXD8632" localSheetId="1">#REF!</definedName>
    <definedName name="__FXD8632">#REF!</definedName>
    <definedName name="__FXD8634" localSheetId="0">#REF!</definedName>
    <definedName name="__FXD8634" localSheetId="1">#REF!</definedName>
    <definedName name="__FXD8634">#REF!</definedName>
    <definedName name="__FXD8635" localSheetId="0">#REF!</definedName>
    <definedName name="__FXD8635" localSheetId="1">#REF!</definedName>
    <definedName name="__FXD8635">#REF!</definedName>
    <definedName name="__FXD8637" localSheetId="0">#REF!</definedName>
    <definedName name="__FXD8637" localSheetId="1">#REF!</definedName>
    <definedName name="__FXD8637">#REF!</definedName>
    <definedName name="__FXD8638" localSheetId="0">#REF!</definedName>
    <definedName name="__FXD8638" localSheetId="1">#REF!</definedName>
    <definedName name="__FXD8638">#REF!</definedName>
    <definedName name="__FXD8651" localSheetId="0">#REF!</definedName>
    <definedName name="__FXD8651" localSheetId="1">#REF!</definedName>
    <definedName name="__FXD8651">#REF!</definedName>
    <definedName name="__SCH10" localSheetId="0">'[4]Rev Def Sum'!#REF!</definedName>
    <definedName name="__SCH10" localSheetId="1">'[4]Rev Def Sum'!#REF!</definedName>
    <definedName name="__SCH10">'[4]Rev Def Sum'!#REF!</definedName>
    <definedName name="__sch17" localSheetId="0">#REF!</definedName>
    <definedName name="__sch17" localSheetId="1">#REF!</definedName>
    <definedName name="__sch17">#REF!</definedName>
    <definedName name="__SCH33">'[5]SCHEDULE 33 A REV.'!$A$1:$H$67</definedName>
    <definedName name="__SCH6">#N/A</definedName>
    <definedName name="__SUM0111" localSheetId="0">#REF!</definedName>
    <definedName name="__SUM0111" localSheetId="1">#REF!</definedName>
    <definedName name="__SUM0111">#REF!</definedName>
    <definedName name="__SUM0113" localSheetId="0">#REF!</definedName>
    <definedName name="__SUM0113" localSheetId="1">#REF!</definedName>
    <definedName name="__SUM0113">#REF!</definedName>
    <definedName name="__SUM0210" localSheetId="0">#REF!</definedName>
    <definedName name="__SUM0210" localSheetId="1">#REF!</definedName>
    <definedName name="__SUM0210">#REF!</definedName>
    <definedName name="__SUM0213" localSheetId="0">#REF!</definedName>
    <definedName name="__SUM0213" localSheetId="1">#REF!</definedName>
    <definedName name="__SUM0213">#REF!</definedName>
    <definedName name="__SUM0401" localSheetId="0">#REF!</definedName>
    <definedName name="__SUM0401" localSheetId="1">#REF!</definedName>
    <definedName name="__SUM0401">#REF!</definedName>
    <definedName name="__SUM0402" localSheetId="0">#REF!</definedName>
    <definedName name="__SUM0402" localSheetId="1">#REF!</definedName>
    <definedName name="__SUM0402">#REF!</definedName>
    <definedName name="__SUM0408" localSheetId="0">#REF!</definedName>
    <definedName name="__SUM0408" localSheetId="1">#REF!</definedName>
    <definedName name="__SUM0408">#REF!</definedName>
    <definedName name="__SUM0409" localSheetId="0">#REF!</definedName>
    <definedName name="__SUM0409" localSheetId="1">#REF!</definedName>
    <definedName name="__SUM0409">#REF!</definedName>
    <definedName name="__SUM0411" localSheetId="0">#REF!</definedName>
    <definedName name="__SUM0411" localSheetId="1">#REF!</definedName>
    <definedName name="__SUM0411">#REF!</definedName>
    <definedName name="__SUM0501" localSheetId="0">#REF!</definedName>
    <definedName name="__SUM0501" localSheetId="1">#REF!</definedName>
    <definedName name="__SUM0501">#REF!</definedName>
    <definedName name="__SUM0502" localSheetId="0">#REF!</definedName>
    <definedName name="__SUM0502" localSheetId="1">#REF!</definedName>
    <definedName name="__SUM0502">#REF!</definedName>
    <definedName name="__SUM0508" localSheetId="0">#REF!</definedName>
    <definedName name="__SUM0508" localSheetId="1">#REF!</definedName>
    <definedName name="__SUM0508">#REF!</definedName>
    <definedName name="__SUM0509" localSheetId="0">#REF!</definedName>
    <definedName name="__SUM0509" localSheetId="1">#REF!</definedName>
    <definedName name="__SUM0509">#REF!</definedName>
    <definedName name="__SUM0510" localSheetId="0">#REF!</definedName>
    <definedName name="__SUM0510" localSheetId="1">#REF!</definedName>
    <definedName name="__SUM0510">#REF!</definedName>
    <definedName name="__SUM0511" localSheetId="0">#REF!</definedName>
    <definedName name="__SUM0511" localSheetId="1">#REF!</definedName>
    <definedName name="__SUM0511">#REF!</definedName>
    <definedName name="__SUM0613" localSheetId="0">#REF!</definedName>
    <definedName name="__SUM0613" localSheetId="1">#REF!</definedName>
    <definedName name="__SUM0613">#REF!</definedName>
    <definedName name="__SUM0701" localSheetId="0">#REF!</definedName>
    <definedName name="__SUM0701" localSheetId="1">#REF!</definedName>
    <definedName name="__SUM0701">#REF!</definedName>
    <definedName name="__SUM0702" localSheetId="0">#REF!</definedName>
    <definedName name="__SUM0702" localSheetId="1">#REF!</definedName>
    <definedName name="__SUM0702">#REF!</definedName>
    <definedName name="__SUM0708" localSheetId="0">#REF!</definedName>
    <definedName name="__SUM0708" localSheetId="1">#REF!</definedName>
    <definedName name="__SUM0708">#REF!</definedName>
    <definedName name="__SUM0709" localSheetId="0">#REF!</definedName>
    <definedName name="__SUM0709" localSheetId="1">#REF!</definedName>
    <definedName name="__SUM0709">#REF!</definedName>
    <definedName name="__SUM0813" localSheetId="0">#REF!</definedName>
    <definedName name="__SUM0813" localSheetId="1">#REF!</definedName>
    <definedName name="__SUM0813">#REF!</definedName>
    <definedName name="__SUM0901" localSheetId="0">#REF!</definedName>
    <definedName name="__SUM0901" localSheetId="1">#REF!</definedName>
    <definedName name="__SUM0901">#REF!</definedName>
    <definedName name="__SUM0902" localSheetId="0">#REF!</definedName>
    <definedName name="__SUM0902" localSheetId="1">#REF!</definedName>
    <definedName name="__SUM0902">#REF!</definedName>
    <definedName name="__SUM0908" localSheetId="0">#REF!</definedName>
    <definedName name="__SUM0908" localSheetId="1">#REF!</definedName>
    <definedName name="__SUM0908">#REF!</definedName>
    <definedName name="__SUM0911" localSheetId="0">#REF!</definedName>
    <definedName name="__SUM0911" localSheetId="1">#REF!</definedName>
    <definedName name="__SUM0911">#REF!</definedName>
    <definedName name="__SUM0913" localSheetId="0">#REF!</definedName>
    <definedName name="__SUM0913" localSheetId="1">#REF!</definedName>
    <definedName name="__SUM0913">#REF!</definedName>
    <definedName name="__SUM5701" localSheetId="0">#REF!</definedName>
    <definedName name="__SUM5701" localSheetId="1">#REF!</definedName>
    <definedName name="__SUM5701">#REF!</definedName>
    <definedName name="__SUM5702" localSheetId="0">#REF!</definedName>
    <definedName name="__SUM5702" localSheetId="1">#REF!</definedName>
    <definedName name="__SUM5702">#REF!</definedName>
    <definedName name="__SUM5708" localSheetId="0">#REF!</definedName>
    <definedName name="__SUM5708" localSheetId="1">#REF!</definedName>
    <definedName name="__SUM5708">#REF!</definedName>
    <definedName name="__SUM5709" localSheetId="0">#REF!</definedName>
    <definedName name="__SUM5709" localSheetId="1">#REF!</definedName>
    <definedName name="__SUM5709">#REF!</definedName>
    <definedName name="__SUM5711" localSheetId="0">#REF!</definedName>
    <definedName name="__SUM5711" localSheetId="1">#REF!</definedName>
    <definedName name="__SUM5711">#REF!</definedName>
    <definedName name="__SUM5801" localSheetId="0">#REF!</definedName>
    <definedName name="__SUM5801" localSheetId="1">#REF!</definedName>
    <definedName name="__SUM5801">#REF!</definedName>
    <definedName name="__SUM5802" localSheetId="0">#REF!</definedName>
    <definedName name="__SUM5802" localSheetId="1">#REF!</definedName>
    <definedName name="__SUM5802">#REF!</definedName>
    <definedName name="__SUM5811" localSheetId="0">#REF!</definedName>
    <definedName name="__SUM5811" localSheetId="1">#REF!</definedName>
    <definedName name="__SUM5811">#REF!</definedName>
    <definedName name="__SUM6001" localSheetId="0">#REF!</definedName>
    <definedName name="__SUM6001" localSheetId="1">#REF!</definedName>
    <definedName name="__SUM6001">#REF!</definedName>
    <definedName name="__SUM6002" localSheetId="0">#REF!</definedName>
    <definedName name="__SUM6002" localSheetId="1">#REF!</definedName>
    <definedName name="__SUM6002">#REF!</definedName>
    <definedName name="__SUM6008" localSheetId="0">#REF!</definedName>
    <definedName name="__SUM6008" localSheetId="1">#REF!</definedName>
    <definedName name="__SUM6008">#REF!</definedName>
    <definedName name="__sum6009" localSheetId="0">#REF!</definedName>
    <definedName name="__sum6009" localSheetId="1">#REF!</definedName>
    <definedName name="__sum6009">#REF!</definedName>
    <definedName name="__SUM6011" localSheetId="0">#REF!</definedName>
    <definedName name="__SUM6011" localSheetId="1">#REF!</definedName>
    <definedName name="__SUM6011">#REF!</definedName>
    <definedName name="__SUM6101" localSheetId="0">#REF!</definedName>
    <definedName name="__SUM6101" localSheetId="1">#REF!</definedName>
    <definedName name="__SUM6101">#REF!</definedName>
    <definedName name="__SUM6102" localSheetId="0">#REF!</definedName>
    <definedName name="__SUM6102" localSheetId="1">#REF!</definedName>
    <definedName name="__SUM6102">#REF!</definedName>
    <definedName name="__SUM6108" localSheetId="0">#REF!</definedName>
    <definedName name="__SUM6108" localSheetId="1">#REF!</definedName>
    <definedName name="__SUM6108">#REF!</definedName>
    <definedName name="__SUM6109" localSheetId="0">#REF!</definedName>
    <definedName name="__SUM6109" localSheetId="1">#REF!</definedName>
    <definedName name="__SUM6109">#REF!</definedName>
    <definedName name="__SUM6111" localSheetId="0">#REF!</definedName>
    <definedName name="__SUM6111" localSheetId="1">#REF!</definedName>
    <definedName name="__SUM6111">#REF!</definedName>
    <definedName name="__SUM6201" localSheetId="0">#REF!</definedName>
    <definedName name="__SUM6201" localSheetId="1">#REF!</definedName>
    <definedName name="__SUM6201">#REF!</definedName>
    <definedName name="__SUM6202" localSheetId="0">#REF!</definedName>
    <definedName name="__SUM6202" localSheetId="1">#REF!</definedName>
    <definedName name="__SUM6202">#REF!</definedName>
    <definedName name="__SUM6301" localSheetId="0">#REF!</definedName>
    <definedName name="__SUM6301" localSheetId="1">#REF!</definedName>
    <definedName name="__SUM6301">#REF!</definedName>
    <definedName name="__SUM6302" localSheetId="0">#REF!</definedName>
    <definedName name="__SUM6302" localSheetId="1">#REF!</definedName>
    <definedName name="__SUM6302">#REF!</definedName>
    <definedName name="__SUM6308" localSheetId="0">#REF!</definedName>
    <definedName name="__SUM6308" localSheetId="1">#REF!</definedName>
    <definedName name="__SUM6308">#REF!</definedName>
    <definedName name="__SUM6309" localSheetId="0">#REF!</definedName>
    <definedName name="__SUM6309" localSheetId="1">#REF!</definedName>
    <definedName name="__SUM6309">#REF!</definedName>
    <definedName name="__SUM6311" localSheetId="0">#REF!</definedName>
    <definedName name="__SUM6311" localSheetId="1">#REF!</definedName>
    <definedName name="__SUM6311">#REF!</definedName>
    <definedName name="__SUM6401" localSheetId="0">#REF!</definedName>
    <definedName name="__SUM6401" localSheetId="1">#REF!</definedName>
    <definedName name="__SUM6401">#REF!</definedName>
    <definedName name="__SUM6402" localSheetId="0">#REF!</definedName>
    <definedName name="__SUM6402" localSheetId="1">#REF!</definedName>
    <definedName name="__SUM6402">#REF!</definedName>
    <definedName name="__SUM6408" localSheetId="0">#REF!</definedName>
    <definedName name="__SUM6408" localSheetId="1">#REF!</definedName>
    <definedName name="__SUM6408">#REF!</definedName>
    <definedName name="__SUM6409" localSheetId="0">#REF!</definedName>
    <definedName name="__SUM6409" localSheetId="1">#REF!</definedName>
    <definedName name="__SUM6409">#REF!</definedName>
    <definedName name="__SUM6411" localSheetId="0">#REF!</definedName>
    <definedName name="__SUM6411" localSheetId="1">#REF!</definedName>
    <definedName name="__SUM6411">#REF!</definedName>
    <definedName name="__SUM6413" localSheetId="0">#REF!</definedName>
    <definedName name="__SUM6413" localSheetId="1">#REF!</definedName>
    <definedName name="__SUM6413">#REF!</definedName>
    <definedName name="__SUM6501" localSheetId="0">#REF!</definedName>
    <definedName name="__SUM6501" localSheetId="1">#REF!</definedName>
    <definedName name="__SUM6501">#REF!</definedName>
    <definedName name="__SUM6502" localSheetId="0">#REF!</definedName>
    <definedName name="__SUM6502" localSheetId="1">#REF!</definedName>
    <definedName name="__SUM6502">#REF!</definedName>
    <definedName name="__SUM6508" localSheetId="0">#REF!</definedName>
    <definedName name="__SUM6508" localSheetId="1">#REF!</definedName>
    <definedName name="__SUM6508">#REF!</definedName>
    <definedName name="__SUM6509" localSheetId="0">#REF!</definedName>
    <definedName name="__SUM6509" localSheetId="1">#REF!</definedName>
    <definedName name="__SUM6509">#REF!</definedName>
    <definedName name="__SUM6510" localSheetId="0">#REF!</definedName>
    <definedName name="__SUM6510" localSheetId="1">#REF!</definedName>
    <definedName name="__SUM6510">#REF!</definedName>
    <definedName name="__SUM6511" localSheetId="0">#REF!</definedName>
    <definedName name="__SUM6511" localSheetId="1">#REF!</definedName>
    <definedName name="__SUM6511">#REF!</definedName>
    <definedName name="__SUM6601" localSheetId="0">#REF!</definedName>
    <definedName name="__SUM6601" localSheetId="1">#REF!</definedName>
    <definedName name="__SUM6601">#REF!</definedName>
    <definedName name="__SUM6602" localSheetId="0">#REF!</definedName>
    <definedName name="__SUM6602" localSheetId="1">#REF!</definedName>
    <definedName name="__SUM6602">#REF!</definedName>
    <definedName name="__SUM6608" localSheetId="0">#REF!</definedName>
    <definedName name="__SUM6608" localSheetId="1">#REF!</definedName>
    <definedName name="__SUM6608">#REF!</definedName>
    <definedName name="__SUM6609" localSheetId="0">#REF!</definedName>
    <definedName name="__SUM6609" localSheetId="1">#REF!</definedName>
    <definedName name="__SUM6609">#REF!</definedName>
    <definedName name="__SUM6611" localSheetId="0">#REF!</definedName>
    <definedName name="__SUM6611" localSheetId="1">#REF!</definedName>
    <definedName name="__SUM6611">#REF!</definedName>
    <definedName name="__SUM6701" localSheetId="0">#REF!</definedName>
    <definedName name="__SUM6701" localSheetId="1">#REF!</definedName>
    <definedName name="__SUM6701">#REF!</definedName>
    <definedName name="__SUM6702" localSheetId="0">#REF!</definedName>
    <definedName name="__SUM6702" localSheetId="1">#REF!</definedName>
    <definedName name="__SUM6702">#REF!</definedName>
    <definedName name="__SUM6708" localSheetId="0">#REF!</definedName>
    <definedName name="__SUM6708" localSheetId="1">#REF!</definedName>
    <definedName name="__SUM6708">#REF!</definedName>
    <definedName name="__SUM6709" localSheetId="0">#REF!</definedName>
    <definedName name="__SUM6709" localSheetId="1">#REF!</definedName>
    <definedName name="__SUM6709">#REF!</definedName>
    <definedName name="__SUM6710" localSheetId="0">#REF!</definedName>
    <definedName name="__SUM6710" localSheetId="1">#REF!</definedName>
    <definedName name="__SUM6710">#REF!</definedName>
    <definedName name="__SUM6711" localSheetId="0">#REF!</definedName>
    <definedName name="__SUM6711" localSheetId="1">#REF!</definedName>
    <definedName name="__SUM6711">#REF!</definedName>
    <definedName name="__SUM6718" localSheetId="0">#REF!</definedName>
    <definedName name="__SUM6718" localSheetId="1">#REF!</definedName>
    <definedName name="__SUM6718">#REF!</definedName>
    <definedName name="__SUM6801" localSheetId="0">#REF!</definedName>
    <definedName name="__SUM6801" localSheetId="1">#REF!</definedName>
    <definedName name="__SUM6801">#REF!</definedName>
    <definedName name="__SUM6802" localSheetId="0">#REF!</definedName>
    <definedName name="__SUM6802" localSheetId="1">#REF!</definedName>
    <definedName name="__SUM6802">#REF!</definedName>
    <definedName name="__SUM7013" localSheetId="0">#REF!</definedName>
    <definedName name="__SUM7013" localSheetId="1">#REF!</definedName>
    <definedName name="__SUM7013">#REF!</definedName>
    <definedName name="__SUM7201" localSheetId="0">#REF!</definedName>
    <definedName name="__SUM7201" localSheetId="1">#REF!</definedName>
    <definedName name="__SUM7201">#REF!</definedName>
    <definedName name="__SUM7202" localSheetId="0">#REF!</definedName>
    <definedName name="__SUM7202" localSheetId="1">#REF!</definedName>
    <definedName name="__SUM7202">#REF!</definedName>
    <definedName name="__SUM7208" localSheetId="0">#REF!</definedName>
    <definedName name="__SUM7208" localSheetId="1">#REF!</definedName>
    <definedName name="__SUM7208">#REF!</definedName>
    <definedName name="__SUM7209" localSheetId="0">#REF!</definedName>
    <definedName name="__SUM7209" localSheetId="1">#REF!</definedName>
    <definedName name="__SUM7209">#REF!</definedName>
    <definedName name="__SUM7210" localSheetId="0">#REF!</definedName>
    <definedName name="__SUM7210" localSheetId="1">#REF!</definedName>
    <definedName name="__SUM7210">#REF!</definedName>
    <definedName name="__SUM7211" localSheetId="0">#REF!</definedName>
    <definedName name="__SUM7211" localSheetId="1">#REF!</definedName>
    <definedName name="__SUM7211">#REF!</definedName>
    <definedName name="__SUM7301" localSheetId="0">#REF!</definedName>
    <definedName name="__SUM7301" localSheetId="1">#REF!</definedName>
    <definedName name="__SUM7301">#REF!</definedName>
    <definedName name="__SUM7302" localSheetId="0">#REF!</definedName>
    <definedName name="__SUM7302" localSheetId="1">#REF!</definedName>
    <definedName name="__SUM7302">#REF!</definedName>
    <definedName name="__SUM7308" localSheetId="0">#REF!</definedName>
    <definedName name="__SUM7308" localSheetId="1">#REF!</definedName>
    <definedName name="__SUM7308">#REF!</definedName>
    <definedName name="__SUM7309" localSheetId="0">#REF!</definedName>
    <definedName name="__SUM7309" localSheetId="1">#REF!</definedName>
    <definedName name="__SUM7309">#REF!</definedName>
    <definedName name="__SUM7311" localSheetId="0">#REF!</definedName>
    <definedName name="__SUM7311" localSheetId="1">#REF!</definedName>
    <definedName name="__SUM7311">#REF!</definedName>
    <definedName name="__SUM7401" localSheetId="0">#REF!</definedName>
    <definedName name="__SUM7401" localSheetId="1">#REF!</definedName>
    <definedName name="__SUM7401">#REF!</definedName>
    <definedName name="__SUM7402" localSheetId="0">#REF!</definedName>
    <definedName name="__SUM7402" localSheetId="1">#REF!</definedName>
    <definedName name="__SUM7402">#REF!</definedName>
    <definedName name="__SUM7408" localSheetId="0">#REF!</definedName>
    <definedName name="__SUM7408" localSheetId="1">#REF!</definedName>
    <definedName name="__SUM7408">#REF!</definedName>
    <definedName name="__SUM7409" localSheetId="0">#REF!</definedName>
    <definedName name="__SUM7409" localSheetId="1">#REF!</definedName>
    <definedName name="__SUM7409">#REF!</definedName>
    <definedName name="__SUM7411" localSheetId="0">#REF!</definedName>
    <definedName name="__SUM7411" localSheetId="1">#REF!</definedName>
    <definedName name="__SUM7411">#REF!</definedName>
    <definedName name="__SUM7501" localSheetId="0">#REF!</definedName>
    <definedName name="__SUM7501" localSheetId="1">#REF!</definedName>
    <definedName name="__SUM7501">#REF!</definedName>
    <definedName name="__SUM7502" localSheetId="0">#REF!</definedName>
    <definedName name="__SUM7502" localSheetId="1">#REF!</definedName>
    <definedName name="__SUM7502">#REF!</definedName>
    <definedName name="__SUM7508" localSheetId="0">#REF!</definedName>
    <definedName name="__SUM7508" localSheetId="1">#REF!</definedName>
    <definedName name="__SUM7508">#REF!</definedName>
    <definedName name="__SUM7509" localSheetId="0">#REF!</definedName>
    <definedName name="__SUM7509" localSheetId="1">#REF!</definedName>
    <definedName name="__SUM7509">#REF!</definedName>
    <definedName name="__SUM7511" localSheetId="0">#REF!</definedName>
    <definedName name="__SUM7511" localSheetId="1">#REF!</definedName>
    <definedName name="__SUM7511">#REF!</definedName>
    <definedName name="__SUM7811" localSheetId="0">#REF!</definedName>
    <definedName name="__SUM7811" localSheetId="1">#REF!</definedName>
    <definedName name="__SUM7811">#REF!</definedName>
    <definedName name="__SUM7920" localSheetId="0">#REF!</definedName>
    <definedName name="__SUM7920" localSheetId="1">#REF!</definedName>
    <definedName name="__SUM7920">#REF!</definedName>
    <definedName name="__SUM8001" localSheetId="0">#REF!</definedName>
    <definedName name="__SUM8001" localSheetId="1">#REF!</definedName>
    <definedName name="__SUM8001">#REF!</definedName>
    <definedName name="__SUM8002" localSheetId="0">#REF!</definedName>
    <definedName name="__SUM8002" localSheetId="1">#REF!</definedName>
    <definedName name="__SUM8002">#REF!</definedName>
    <definedName name="__SUM8008" localSheetId="0">#REF!</definedName>
    <definedName name="__SUM8008" localSheetId="1">#REF!</definedName>
    <definedName name="__SUM8008">#REF!</definedName>
    <definedName name="__SUM8009" localSheetId="0">#REF!</definedName>
    <definedName name="__SUM8009" localSheetId="1">#REF!</definedName>
    <definedName name="__SUM8009">#REF!</definedName>
    <definedName name="__SUM8011" localSheetId="0">#REF!</definedName>
    <definedName name="__SUM8011" localSheetId="1">#REF!</definedName>
    <definedName name="__SUM8011">#REF!</definedName>
    <definedName name="__SUM8301" localSheetId="0">#REF!</definedName>
    <definedName name="__SUM8301" localSheetId="1">#REF!</definedName>
    <definedName name="__SUM8301">#REF!</definedName>
    <definedName name="__SUM8302" localSheetId="0">#REF!</definedName>
    <definedName name="__SUM8302" localSheetId="1">#REF!</definedName>
    <definedName name="__SUM8302">#REF!</definedName>
    <definedName name="__SUM8308" localSheetId="0">#REF!</definedName>
    <definedName name="__SUM8308" localSheetId="1">#REF!</definedName>
    <definedName name="__SUM8308">#REF!</definedName>
    <definedName name="__SUM8309" localSheetId="0">#REF!</definedName>
    <definedName name="__SUM8309" localSheetId="1">#REF!</definedName>
    <definedName name="__SUM8309">#REF!</definedName>
    <definedName name="__SUM8311" localSheetId="0">#REF!</definedName>
    <definedName name="__SUM8311" localSheetId="1">#REF!</definedName>
    <definedName name="__SUM8311">#REF!</definedName>
    <definedName name="__SUM8401" localSheetId="0">#REF!</definedName>
    <definedName name="__SUM8401" localSheetId="1">#REF!</definedName>
    <definedName name="__SUM8401">#REF!</definedName>
    <definedName name="__SUM8402" localSheetId="0">#REF!</definedName>
    <definedName name="__SUM8402" localSheetId="1">#REF!</definedName>
    <definedName name="__SUM8402">#REF!</definedName>
    <definedName name="__SUM8408" localSheetId="0">#REF!</definedName>
    <definedName name="__SUM8408" localSheetId="1">#REF!</definedName>
    <definedName name="__SUM8408">#REF!</definedName>
    <definedName name="__SUM8409" localSheetId="0">#REF!</definedName>
    <definedName name="__SUM8409" localSheetId="1">#REF!</definedName>
    <definedName name="__SUM8409">#REF!</definedName>
    <definedName name="__SUM8411" localSheetId="0">#REF!</definedName>
    <definedName name="__SUM8411" localSheetId="1">#REF!</definedName>
    <definedName name="__SUM8411">#REF!</definedName>
    <definedName name="__SUM8511" localSheetId="0">#REF!</definedName>
    <definedName name="__SUM8511" localSheetId="1">#REF!</definedName>
    <definedName name="__SUM8511">#REF!</definedName>
    <definedName name="__SUM8613" localSheetId="0">#REF!</definedName>
    <definedName name="__SUM8613" localSheetId="1">#REF!</definedName>
    <definedName name="__SUM8613">#REF!</definedName>
    <definedName name="__SUM8701" localSheetId="0">#REF!</definedName>
    <definedName name="__SUM8701" localSheetId="1">#REF!</definedName>
    <definedName name="__SUM8701">#REF!</definedName>
    <definedName name="__SUM8702" localSheetId="0">#REF!</definedName>
    <definedName name="__SUM8702" localSheetId="1">#REF!</definedName>
    <definedName name="__SUM8702">#REF!</definedName>
    <definedName name="__SUM8708" localSheetId="0">#REF!</definedName>
    <definedName name="__SUM8708" localSheetId="1">#REF!</definedName>
    <definedName name="__SUM8708">#REF!</definedName>
    <definedName name="__SUM8709" localSheetId="0">#REF!</definedName>
    <definedName name="__SUM8709" localSheetId="1">#REF!</definedName>
    <definedName name="__SUM8709">#REF!</definedName>
    <definedName name="__SUM8710" localSheetId="0">#REF!</definedName>
    <definedName name="__SUM8710" localSheetId="1">#REF!</definedName>
    <definedName name="__SUM8710">#REF!</definedName>
    <definedName name="__SUM8711" localSheetId="0">#REF!</definedName>
    <definedName name="__SUM8711" localSheetId="1">#REF!</definedName>
    <definedName name="__SUM8711">#REF!</definedName>
    <definedName name="__SUM8713" localSheetId="0">#REF!</definedName>
    <definedName name="__SUM8713" localSheetId="1">#REF!</definedName>
    <definedName name="__SUM8713">#REF!</definedName>
    <definedName name="__SUM8714" localSheetId="0">#REF!</definedName>
    <definedName name="__SUM8714" localSheetId="1">#REF!</definedName>
    <definedName name="__SUM8714">#REF!</definedName>
    <definedName name="__SUM8715" localSheetId="0">#REF!</definedName>
    <definedName name="__SUM8715" localSheetId="1">#REF!</definedName>
    <definedName name="__SUM8715">#REF!</definedName>
    <definedName name="__SUM8716" localSheetId="0">#REF!</definedName>
    <definedName name="__SUM8716" localSheetId="1">#REF!</definedName>
    <definedName name="__SUM8716">#REF!</definedName>
    <definedName name="__SUM8717" localSheetId="0">#REF!</definedName>
    <definedName name="__SUM8717" localSheetId="1">#REF!</definedName>
    <definedName name="__SUM8717">#REF!</definedName>
    <definedName name="__SUM8719" localSheetId="0">#REF!</definedName>
    <definedName name="__SUM8719" localSheetId="1">#REF!</definedName>
    <definedName name="__SUM8719">#REF!</definedName>
    <definedName name="_1__123Graph_ACHART_1">[3]DSAR!$BY$6:$BY$32</definedName>
    <definedName name="_10__123Graph_XMKT_STOR">[3]DSAR!$A$6:$A$32</definedName>
    <definedName name="_10TAXPROP" localSheetId="0">#REF!</definedName>
    <definedName name="_10TAXPROP" localSheetId="1">#REF!</definedName>
    <definedName name="_10TAXPROP">#REF!</definedName>
    <definedName name="_11__123Graph_XX_ACTUAL">[3]DSAR!$A$6:$A$32</definedName>
    <definedName name="_11GROSSTAX" localSheetId="0">#REF!</definedName>
    <definedName name="_11GROSSTAX" localSheetId="1">#REF!</definedName>
    <definedName name="_11GROSSTAX">#REF!</definedName>
    <definedName name="_12FRANCTAX" localSheetId="0">#REF!</definedName>
    <definedName name="_12FRANCTAX" localSheetId="1">#REF!</definedName>
    <definedName name="_12FRANCTAX">#REF!</definedName>
    <definedName name="_13TAXFED" localSheetId="0">#REF!</definedName>
    <definedName name="_13TAXFED" localSheetId="1">#REF!</definedName>
    <definedName name="_13TAXFED">#REF!</definedName>
    <definedName name="_14DEBTINTEREST" localSheetId="0">#REF!</definedName>
    <definedName name="_14DEBTINTEREST" localSheetId="1">#REF!</definedName>
    <definedName name="_14DEBTINTEREST">#REF!</definedName>
    <definedName name="_1QTR" localSheetId="0">#REF!</definedName>
    <definedName name="_1QTR" localSheetId="1">#REF!</definedName>
    <definedName name="_1QTR">#REF!</definedName>
    <definedName name="_1QTR_PROPANE" localSheetId="0">#REF!</definedName>
    <definedName name="_1QTR_PROPANE" localSheetId="1">#REF!</definedName>
    <definedName name="_1QTR_PROPANE">#REF!</definedName>
    <definedName name="_2__123Graph_AMKT_STOR">[3]DSAR!$AR$6:$AR$23</definedName>
    <definedName name="_2_SUMMARY" localSheetId="0">#REF!</definedName>
    <definedName name="_2_SUMMARY" localSheetId="1">#REF!</definedName>
    <definedName name="_2_SUMMARY">#REF!</definedName>
    <definedName name="_2_SUMMARY10" localSheetId="0">#REF!</definedName>
    <definedName name="_2_SUMMARY10" localSheetId="1">#REF!</definedName>
    <definedName name="_2_SUMMARY10">#REF!</definedName>
    <definedName name="_235" localSheetId="0">#REF!</definedName>
    <definedName name="_235" localSheetId="1">#REF!</definedName>
    <definedName name="_235">#REF!</definedName>
    <definedName name="_2QTR" localSheetId="0">#REF!</definedName>
    <definedName name="_2QTR" localSheetId="1">#REF!</definedName>
    <definedName name="_2QTR">#REF!</definedName>
    <definedName name="_2QTR_PROPANE" localSheetId="0">#REF!</definedName>
    <definedName name="_2QTR_PROPANE" localSheetId="1">#REF!</definedName>
    <definedName name="_2QTR_PROPANE">#REF!</definedName>
    <definedName name="_3__123Graph_AX_ACTUAL">[3]DSAR!$P$6:$P$32</definedName>
    <definedName name="_3_REV_LAG" localSheetId="0">#REF!</definedName>
    <definedName name="_3_REV_LAG" localSheetId="1">#REF!</definedName>
    <definedName name="_3_REV_LAG">#REF!</definedName>
    <definedName name="_3A_COLLECTIONS" localSheetId="0">#REF!</definedName>
    <definedName name="_3A_COLLECTIONS" localSheetId="1">#REF!</definedName>
    <definedName name="_3A_COLLECTIONS">#REF!</definedName>
    <definedName name="_3B_ACC_REC" localSheetId="0">#REF!</definedName>
    <definedName name="_3B_ACC_REC" localSheetId="1">#REF!</definedName>
    <definedName name="_3B_ACC_REC">#REF!</definedName>
    <definedName name="_3C_ADJ_REV" localSheetId="0">#REF!</definedName>
    <definedName name="_3C_ADJ_REV" localSheetId="1">#REF!</definedName>
    <definedName name="_3C_ADJ_REV">#REF!</definedName>
    <definedName name="_3QTR" localSheetId="0">#REF!</definedName>
    <definedName name="_3QTR" localSheetId="1">#REF!</definedName>
    <definedName name="_3QTR">#REF!</definedName>
    <definedName name="_3QTR_PROPANE" localSheetId="0">#REF!</definedName>
    <definedName name="_3QTR_PROPANE" localSheetId="1">#REF!</definedName>
    <definedName name="_3QTR_PROPANE">#REF!</definedName>
    <definedName name="_4__123Graph_BCHART_1">[3]DSAR!$CB$6:$CB$9</definedName>
    <definedName name="_4GASPURCHASES" localSheetId="0">#REF!</definedName>
    <definedName name="_4GASPURCHASES" localSheetId="1">#REF!</definedName>
    <definedName name="_4GASPURCHASES">#REF!</definedName>
    <definedName name="_4QTR" localSheetId="0">#REF!</definedName>
    <definedName name="_4QTR" localSheetId="1">#REF!</definedName>
    <definedName name="_4QTR">#REF!</definedName>
    <definedName name="_4QTR_PROPANE" localSheetId="0">#REF!</definedName>
    <definedName name="_4QTR_PROPANE" localSheetId="1">#REF!</definedName>
    <definedName name="_4QTR_PROPANE">#REF!</definedName>
    <definedName name="_5__123Graph_BMKT_STOR">[3]DSAR!$AS$6:$AS$32</definedName>
    <definedName name="_5A_NON_APP_GAS" localSheetId="0">#REF!</definedName>
    <definedName name="_5A_NON_APP_GAS" localSheetId="1">#REF!</definedName>
    <definedName name="_5A_NON_APP_GAS">#REF!</definedName>
    <definedName name="_5GP_TCO" localSheetId="0">#REF!</definedName>
    <definedName name="_5GP_TCO" localSheetId="1">#REF!</definedName>
    <definedName name="_5GP_TCO">#REF!</definedName>
    <definedName name="_5GP_TCOINPUT" localSheetId="0">#REF!</definedName>
    <definedName name="_5GP_TCOINPUT" localSheetId="1">#REF!</definedName>
    <definedName name="_5GP_TCOINPUT">#REF!</definedName>
    <definedName name="_6__123Graph_CCHART_1">[3]DSAR!$CD$6:$CD$32</definedName>
    <definedName name="_6_PAYROLL_COST" localSheetId="0">#REF!</definedName>
    <definedName name="_6_PAYROLL_COST" localSheetId="1">#REF!</definedName>
    <definedName name="_6_PAYROLL_COST">#REF!</definedName>
    <definedName name="_7__123Graph_CMKT_STOR">[3]DSAR!$AT$6:$AT$23</definedName>
    <definedName name="_7BENEFITS" localSheetId="0">#REF!</definedName>
    <definedName name="_7BENEFITS" localSheetId="1">#REF!</definedName>
    <definedName name="_7BENEFITS">#REF!</definedName>
    <definedName name="_8__123Graph_CX_ACTUAL">[3]DSAR!$S$6:$S$23</definedName>
    <definedName name="_8TAXPSC" localSheetId="0">#REF!</definedName>
    <definedName name="_8TAXPSC" localSheetId="1">#REF!</definedName>
    <definedName name="_8TAXPSC">#REF!</definedName>
    <definedName name="_9__123Graph_XCHART_1">[3]DSAR!$A$6:$A$32</definedName>
    <definedName name="_9_PAY_TAXES" localSheetId="0">#REF!</definedName>
    <definedName name="_9_PAY_TAXES" localSheetId="1">#REF!</definedName>
    <definedName name="_9_PAY_TAXES">#REF!</definedName>
    <definedName name="_ADJ24" localSheetId="0">#REF!</definedName>
    <definedName name="_ADJ24" localSheetId="1">#REF!</definedName>
    <definedName name="_ADJ24">#REF!</definedName>
    <definedName name="_ADJ25" localSheetId="0">#REF!</definedName>
    <definedName name="_ADJ25" localSheetId="1">#REF!</definedName>
    <definedName name="_ADJ25">#REF!</definedName>
    <definedName name="_adj4" localSheetId="0">#REF!</definedName>
    <definedName name="_adj4" localSheetId="1">#REF!</definedName>
    <definedName name="_adj4">#REF!</definedName>
    <definedName name="_ADJ44" localSheetId="0">#REF!</definedName>
    <definedName name="_ADJ44" localSheetId="1">#REF!</definedName>
    <definedName name="_ADJ44">#REF!</definedName>
    <definedName name="_ADJ48" localSheetId="0">#REF!</definedName>
    <definedName name="_ADJ48" localSheetId="1">#REF!</definedName>
    <definedName name="_ADJ48">#REF!</definedName>
    <definedName name="_ADJ49" localSheetId="0">#REF!</definedName>
    <definedName name="_ADJ49" localSheetId="1">#REF!</definedName>
    <definedName name="_ADJ49">#REF!</definedName>
    <definedName name="_ADJ51" localSheetId="0">#REF!</definedName>
    <definedName name="_ADJ51" localSheetId="1">#REF!</definedName>
    <definedName name="_ADJ51">#REF!</definedName>
    <definedName name="_Dist_Values" localSheetId="0" hidden="1">#REF!</definedName>
    <definedName name="_Dist_Values" localSheetId="1" hidden="1">#REF!</definedName>
    <definedName name="_Dist_Values" hidden="1">#REF!</definedName>
    <definedName name="_EMP11" localSheetId="0">#REF!</definedName>
    <definedName name="_EMP11" localSheetId="1">#REF!</definedName>
    <definedName name="_EMP11">#REF!</definedName>
    <definedName name="_EMP12" localSheetId="0">#REF!</definedName>
    <definedName name="_EMP12" localSheetId="1">#REF!</definedName>
    <definedName name="_EMP12">#REF!</definedName>
    <definedName name="_EMP14" localSheetId="0">#REF!</definedName>
    <definedName name="_EMP14" localSheetId="1">#REF!</definedName>
    <definedName name="_EMP14">#REF!</definedName>
    <definedName name="_EMP15" localSheetId="0">#REF!</definedName>
    <definedName name="_EMP15" localSheetId="1">#REF!</definedName>
    <definedName name="_EMP15">#REF!</definedName>
    <definedName name="_EMP16" localSheetId="0">#REF!</definedName>
    <definedName name="_EMP16" localSheetId="1">#REF!</definedName>
    <definedName name="_EMP16">#REF!</definedName>
    <definedName name="_EMP17" localSheetId="0">#REF!</definedName>
    <definedName name="_EMP17" localSheetId="1">#REF!</definedName>
    <definedName name="_EMP17">#REF!</definedName>
    <definedName name="_EMP18" localSheetId="0">#REF!</definedName>
    <definedName name="_EMP18" localSheetId="1">#REF!</definedName>
    <definedName name="_EMP18">#REF!</definedName>
    <definedName name="_EMP20" localSheetId="0">#REF!</definedName>
    <definedName name="_EMP20" localSheetId="1">#REF!</definedName>
    <definedName name="_EMP20">#REF!</definedName>
    <definedName name="_EMP22" localSheetId="0">#REF!</definedName>
    <definedName name="_EMP22" localSheetId="1">#REF!</definedName>
    <definedName name="_EMP22">#REF!</definedName>
    <definedName name="_EMP32" localSheetId="0">#REF!</definedName>
    <definedName name="_EMP32" localSheetId="1">#REF!</definedName>
    <definedName name="_EMP32">#REF!</definedName>
    <definedName name="_EMP34" localSheetId="0">#REF!</definedName>
    <definedName name="_EMP34" localSheetId="1">#REF!</definedName>
    <definedName name="_EMP34">#REF!</definedName>
    <definedName name="_EMP35" localSheetId="0">#REF!</definedName>
    <definedName name="_EMP35" localSheetId="1">#REF!</definedName>
    <definedName name="_EMP35">#REF!</definedName>
    <definedName name="_EMP37" localSheetId="0">#REF!</definedName>
    <definedName name="_EMP37" localSheetId="1">#REF!</definedName>
    <definedName name="_EMP37">#REF!</definedName>
    <definedName name="_EMP38" localSheetId="0">#REF!</definedName>
    <definedName name="_EMP38" localSheetId="1">#REF!</definedName>
    <definedName name="_EMP38">#REF!</definedName>
    <definedName name="_EMP43" localSheetId="0">#REF!</definedName>
    <definedName name="_EMP43" localSheetId="1">#REF!</definedName>
    <definedName name="_EMP43">#REF!</definedName>
    <definedName name="_EMP48" localSheetId="0">#REF!</definedName>
    <definedName name="_EMP48" localSheetId="1">#REF!</definedName>
    <definedName name="_EMP48">#REF!</definedName>
    <definedName name="_EMP51" localSheetId="0">#REF!</definedName>
    <definedName name="_EMP51" localSheetId="1">#REF!</definedName>
    <definedName name="_EMP51">#REF!</definedName>
    <definedName name="_EMP52" localSheetId="0">#REF!</definedName>
    <definedName name="_EMP52" localSheetId="1">#REF!</definedName>
    <definedName name="_EMP52">#REF!</definedName>
    <definedName name="_EMP53" localSheetId="0">#REF!</definedName>
    <definedName name="_EMP53" localSheetId="1">#REF!</definedName>
    <definedName name="_EMP53">#REF!</definedName>
    <definedName name="_Fill" localSheetId="0" hidden="1">#REF!</definedName>
    <definedName name="_Fill" localSheetId="1" hidden="1">#REF!</definedName>
    <definedName name="_Fill" hidden="1">#REF!</definedName>
    <definedName name="_FS_ESC_3_X_\TA" localSheetId="0">'[2]E-2'!#REF!</definedName>
    <definedName name="_FS_ESC_3_X_\TA" localSheetId="1">'[2]E-2'!#REF!</definedName>
    <definedName name="_FS_ESC_3_X_\TA">'[2]E-2'!#REF!</definedName>
    <definedName name="_FXD0111" localSheetId="0">#REF!</definedName>
    <definedName name="_FXD0111" localSheetId="1">#REF!</definedName>
    <definedName name="_FXD0111">#REF!</definedName>
    <definedName name="_FXD0151" localSheetId="0">#REF!</definedName>
    <definedName name="_FXD0151" localSheetId="1">#REF!</definedName>
    <definedName name="_FXD0151">#REF!</definedName>
    <definedName name="_FXD0212" localSheetId="0">#REF!</definedName>
    <definedName name="_FXD0212" localSheetId="1">#REF!</definedName>
    <definedName name="_FXD0212">#REF!</definedName>
    <definedName name="_FXD0214" localSheetId="0">#REF!</definedName>
    <definedName name="_FXD0214" localSheetId="1">#REF!</definedName>
    <definedName name="_FXD0214">#REF!</definedName>
    <definedName name="_FXD0234" localSheetId="0">#REF!</definedName>
    <definedName name="_FXD0234" localSheetId="1">#REF!</definedName>
    <definedName name="_FXD0234">#REF!</definedName>
    <definedName name="_FXD0235" localSheetId="0">#REF!</definedName>
    <definedName name="_FXD0235" localSheetId="1">#REF!</definedName>
    <definedName name="_FXD0235">#REF!</definedName>
    <definedName name="_FXD0237" localSheetId="0">#REF!</definedName>
    <definedName name="_FXD0237" localSheetId="1">#REF!</definedName>
    <definedName name="_FXD0237">#REF!</definedName>
    <definedName name="_FXD0238" localSheetId="0">#REF!</definedName>
    <definedName name="_FXD0238" localSheetId="1">#REF!</definedName>
    <definedName name="_FXD0238">#REF!</definedName>
    <definedName name="_FXD0251" localSheetId="0">#REF!</definedName>
    <definedName name="_FXD0251" localSheetId="1">#REF!</definedName>
    <definedName name="_FXD0251">#REF!</definedName>
    <definedName name="_FXD0612" localSheetId="0">#REF!</definedName>
    <definedName name="_FXD0612" localSheetId="1">#REF!</definedName>
    <definedName name="_FXD0612">#REF!</definedName>
    <definedName name="_FXD0614" localSheetId="0">#REF!</definedName>
    <definedName name="_FXD0614" localSheetId="1">#REF!</definedName>
    <definedName name="_FXD0614">#REF!</definedName>
    <definedName name="_FXD0615" localSheetId="0">#REF!</definedName>
    <definedName name="_FXD0615" localSheetId="1">#REF!</definedName>
    <definedName name="_FXD0615">#REF!</definedName>
    <definedName name="_FXD0616" localSheetId="0">#REF!</definedName>
    <definedName name="_FXD0616" localSheetId="1">#REF!</definedName>
    <definedName name="_FXD0616">#REF!</definedName>
    <definedName name="_FXD0617" localSheetId="0">#REF!</definedName>
    <definedName name="_FXD0617" localSheetId="1">#REF!</definedName>
    <definedName name="_FXD0617">#REF!</definedName>
    <definedName name="_FXD0618" localSheetId="0">#REF!</definedName>
    <definedName name="_FXD0618" localSheetId="1">#REF!</definedName>
    <definedName name="_FXD0618">#REF!</definedName>
    <definedName name="_FXD0632" localSheetId="0">#REF!</definedName>
    <definedName name="_FXD0632" localSheetId="1">#REF!</definedName>
    <definedName name="_FXD0632">#REF!</definedName>
    <definedName name="_FXD0634" localSheetId="0">#REF!</definedName>
    <definedName name="_FXD0634" localSheetId="1">#REF!</definedName>
    <definedName name="_FXD0634">#REF!</definedName>
    <definedName name="_FXD0635" localSheetId="0">#REF!</definedName>
    <definedName name="_FXD0635" localSheetId="1">#REF!</definedName>
    <definedName name="_FXD0635">#REF!</definedName>
    <definedName name="_FXD0637" localSheetId="0">#REF!</definedName>
    <definedName name="_FXD0637" localSheetId="1">#REF!</definedName>
    <definedName name="_FXD0637">#REF!</definedName>
    <definedName name="_FXD0638" localSheetId="0">#REF!</definedName>
    <definedName name="_FXD0638" localSheetId="1">#REF!</definedName>
    <definedName name="_FXD0638">#REF!</definedName>
    <definedName name="_FXD0643" localSheetId="0">#REF!</definedName>
    <definedName name="_FXD0643" localSheetId="1">#REF!</definedName>
    <definedName name="_FXD0643">#REF!</definedName>
    <definedName name="_FXD0651" localSheetId="0">#REF!</definedName>
    <definedName name="_FXD0651" localSheetId="1">#REF!</definedName>
    <definedName name="_FXD0651">#REF!</definedName>
    <definedName name="_FXD0653" localSheetId="0">#REF!</definedName>
    <definedName name="_FXD0653" localSheetId="1">#REF!</definedName>
    <definedName name="_FXD0653">#REF!</definedName>
    <definedName name="_FXD0814" localSheetId="0">#REF!</definedName>
    <definedName name="_FXD0814" localSheetId="1">#REF!</definedName>
    <definedName name="_FXD0814">#REF!</definedName>
    <definedName name="_FXD0832" localSheetId="0">#REF!</definedName>
    <definedName name="_FXD0832" localSheetId="1">#REF!</definedName>
    <definedName name="_FXD0832">#REF!</definedName>
    <definedName name="_FXD0834" localSheetId="0">#REF!</definedName>
    <definedName name="_FXD0834" localSheetId="1">#REF!</definedName>
    <definedName name="_FXD0834">#REF!</definedName>
    <definedName name="_FXD0835" localSheetId="0">#REF!</definedName>
    <definedName name="_FXD0835" localSheetId="1">#REF!</definedName>
    <definedName name="_FXD0835">#REF!</definedName>
    <definedName name="_FXD0837" localSheetId="0">#REF!</definedName>
    <definedName name="_FXD0837" localSheetId="1">#REF!</definedName>
    <definedName name="_FXD0837">#REF!</definedName>
    <definedName name="_FXD0838" localSheetId="0">#REF!</definedName>
    <definedName name="_FXD0838" localSheetId="1">#REF!</definedName>
    <definedName name="_FXD0838">#REF!</definedName>
    <definedName name="_FXD0851" localSheetId="0">#REF!</definedName>
    <definedName name="_FXD0851" localSheetId="1">#REF!</definedName>
    <definedName name="_FXD0851">#REF!</definedName>
    <definedName name="_FXD0932" localSheetId="0">#REF!</definedName>
    <definedName name="_FXD0932" localSheetId="1">#REF!</definedName>
    <definedName name="_FXD0932">#REF!</definedName>
    <definedName name="_FXD0934" localSheetId="0">#REF!</definedName>
    <definedName name="_FXD0934" localSheetId="1">#REF!</definedName>
    <definedName name="_FXD0934">#REF!</definedName>
    <definedName name="_FXD0935" localSheetId="0">#REF!</definedName>
    <definedName name="_FXD0935" localSheetId="1">#REF!</definedName>
    <definedName name="_FXD0935">#REF!</definedName>
    <definedName name="_FXD0937" localSheetId="0">#REF!</definedName>
    <definedName name="_FXD0937" localSheetId="1">#REF!</definedName>
    <definedName name="_FXD0937">#REF!</definedName>
    <definedName name="_FXD0938" localSheetId="0">#REF!</definedName>
    <definedName name="_FXD0938" localSheetId="1">#REF!</definedName>
    <definedName name="_FXD0938">#REF!</definedName>
    <definedName name="_FXD0951" localSheetId="0">#REF!</definedName>
    <definedName name="_FXD0951" localSheetId="1">#REF!</definedName>
    <definedName name="_FXD0951">#REF!</definedName>
    <definedName name="_FXD7032" localSheetId="0">#REF!</definedName>
    <definedName name="_FXD7032" localSheetId="1">#REF!</definedName>
    <definedName name="_FXD7032">#REF!</definedName>
    <definedName name="_FXD7034" localSheetId="0">#REF!</definedName>
    <definedName name="_FXD7034" localSheetId="1">#REF!</definedName>
    <definedName name="_FXD7034">#REF!</definedName>
    <definedName name="_FXD7035" localSheetId="0">#REF!</definedName>
    <definedName name="_FXD7035" localSheetId="1">#REF!</definedName>
    <definedName name="_FXD7035">#REF!</definedName>
    <definedName name="_FXD7037" localSheetId="0">#REF!</definedName>
    <definedName name="_FXD7037" localSheetId="1">#REF!</definedName>
    <definedName name="_FXD7037">#REF!</definedName>
    <definedName name="_FXD7038" localSheetId="0">#REF!</definedName>
    <definedName name="_FXD7038" localSheetId="1">#REF!</definedName>
    <definedName name="_FXD7038">#REF!</definedName>
    <definedName name="_FXD8614" localSheetId="0">#REF!</definedName>
    <definedName name="_FXD8614" localSheetId="1">#REF!</definedName>
    <definedName name="_FXD8614">#REF!</definedName>
    <definedName name="_FXD8615" localSheetId="0">#REF!</definedName>
    <definedName name="_FXD8615" localSheetId="1">#REF!</definedName>
    <definedName name="_FXD8615">#REF!</definedName>
    <definedName name="_FXD8616" localSheetId="0">#REF!</definedName>
    <definedName name="_FXD8616" localSheetId="1">#REF!</definedName>
    <definedName name="_FXD8616">#REF!</definedName>
    <definedName name="_FXD8617" localSheetId="0">#REF!</definedName>
    <definedName name="_FXD8617" localSheetId="1">#REF!</definedName>
    <definedName name="_FXD8617">#REF!</definedName>
    <definedName name="_FXD8618" localSheetId="0">#REF!</definedName>
    <definedName name="_FXD8618" localSheetId="1">#REF!</definedName>
    <definedName name="_FXD8618">#REF!</definedName>
    <definedName name="_FXD8632" localSheetId="0">#REF!</definedName>
    <definedName name="_FXD8632" localSheetId="1">#REF!</definedName>
    <definedName name="_FXD8632">#REF!</definedName>
    <definedName name="_FXD8634" localSheetId="0">#REF!</definedName>
    <definedName name="_FXD8634" localSheetId="1">#REF!</definedName>
    <definedName name="_FXD8634">#REF!</definedName>
    <definedName name="_FXD8635" localSheetId="0">#REF!</definedName>
    <definedName name="_FXD8635" localSheetId="1">#REF!</definedName>
    <definedName name="_FXD8635">#REF!</definedName>
    <definedName name="_FXD8637" localSheetId="0">#REF!</definedName>
    <definedName name="_FXD8637" localSheetId="1">#REF!</definedName>
    <definedName name="_FXD8637">#REF!</definedName>
    <definedName name="_FXD8638" localSheetId="0">#REF!</definedName>
    <definedName name="_FXD8638" localSheetId="1">#REF!</definedName>
    <definedName name="_FXD8638">#REF!</definedName>
    <definedName name="_FXD8651" localSheetId="0">#REF!</definedName>
    <definedName name="_FXD8651" localSheetId="1">#REF!</definedName>
    <definedName name="_FXD8651">#REF!</definedName>
    <definedName name="_HOME__APP1__LP" localSheetId="0">#REF!</definedName>
    <definedName name="_HOME__APP1__LP" localSheetId="1">#REF!</definedName>
    <definedName name="_HOME__APP1__LP">#REF!</definedName>
    <definedName name="_HOME__APP1__PC" localSheetId="0">'[2]E-2'!#REF!</definedName>
    <definedName name="_HOME__APP1__PC" localSheetId="1">'[2]E-2'!#REF!</definedName>
    <definedName name="_HOME__APP1__PC">'[2]E-2'!#REF!</definedName>
    <definedName name="_HOME__FS_ESC_3" localSheetId="0">'[2]E-2'!#REF!</definedName>
    <definedName name="_HOME__FS_ESC_3" localSheetId="1">'[2]E-2'!#REF!</definedName>
    <definedName name="_HOME__FS_ESC_3">'[2]E-2'!#REF!</definedName>
    <definedName name="_Order1" hidden="1">255</definedName>
    <definedName name="_Order2" hidden="1">255</definedName>
    <definedName name="_PRCRSA148..O17" localSheetId="0">'[2]E-2'!#REF!</definedName>
    <definedName name="_PRCRSA148..O17" localSheetId="1">'[2]E-2'!#REF!</definedName>
    <definedName name="_PRCRSA148..O17">'[2]E-2'!#REF!</definedName>
    <definedName name="_PRCRSAC1..AK46" localSheetId="0">#REF!</definedName>
    <definedName name="_PRCRSAC1..AK46" localSheetId="1">#REF!</definedName>
    <definedName name="_PRCRSAC1..AK46">#REF!</definedName>
    <definedName name="_PRCRSO1..Y60_G" localSheetId="0">#REF!</definedName>
    <definedName name="_PRCRSO1..Y60_G" localSheetId="1">#REF!</definedName>
    <definedName name="_PRCRSO1..Y60_G">#REF!</definedName>
    <definedName name="_PRCRSQ148..AE1" localSheetId="0">'[2]E-2'!#REF!</definedName>
    <definedName name="_PRCRSQ148..AE1" localSheetId="1">'[2]E-2'!#REF!</definedName>
    <definedName name="_PRCRSQ148..AE1">'[2]E-2'!#REF!</definedName>
    <definedName name="_Regression_Int" hidden="1">1</definedName>
    <definedName name="_SCH10" localSheetId="0">'[6]Rev Def Sum'!#REF!</definedName>
    <definedName name="_SCH10" localSheetId="1">'[6]Rev Def Sum'!#REF!</definedName>
    <definedName name="_SCH10">'[6]Rev Def Sum'!#REF!</definedName>
    <definedName name="_sch17" localSheetId="0">#REF!</definedName>
    <definedName name="_sch17" localSheetId="1">#REF!</definedName>
    <definedName name="_sch17">#REF!</definedName>
    <definedName name="_SCH33">'[7]SCHEDULE 33 A REV.'!$A$1:$H$67</definedName>
    <definedName name="_SCH6">#N/A</definedName>
    <definedName name="_Sort" localSheetId="0" hidden="1">#REF!</definedName>
    <definedName name="_Sort" localSheetId="1" hidden="1">#REF!</definedName>
    <definedName name="_Sort" hidden="1">#REF!</definedName>
    <definedName name="_SUM0111" localSheetId="0">#REF!</definedName>
    <definedName name="_SUM0111" localSheetId="1">#REF!</definedName>
    <definedName name="_SUM0111">#REF!</definedName>
    <definedName name="_SUM0113" localSheetId="0">#REF!</definedName>
    <definedName name="_SUM0113" localSheetId="1">#REF!</definedName>
    <definedName name="_SUM0113">#REF!</definedName>
    <definedName name="_SUM0210" localSheetId="0">#REF!</definedName>
    <definedName name="_SUM0210" localSheetId="1">#REF!</definedName>
    <definedName name="_SUM0210">#REF!</definedName>
    <definedName name="_SUM0213" localSheetId="0">#REF!</definedName>
    <definedName name="_SUM0213" localSheetId="1">#REF!</definedName>
    <definedName name="_SUM0213">#REF!</definedName>
    <definedName name="_SUM0401" localSheetId="0">#REF!</definedName>
    <definedName name="_SUM0401" localSheetId="1">#REF!</definedName>
    <definedName name="_SUM0401">#REF!</definedName>
    <definedName name="_SUM0402" localSheetId="0">#REF!</definedName>
    <definedName name="_SUM0402" localSheetId="1">#REF!</definedName>
    <definedName name="_SUM0402">#REF!</definedName>
    <definedName name="_SUM0408" localSheetId="0">#REF!</definedName>
    <definedName name="_SUM0408" localSheetId="1">#REF!</definedName>
    <definedName name="_SUM0408">#REF!</definedName>
    <definedName name="_SUM0409" localSheetId="0">#REF!</definedName>
    <definedName name="_SUM0409" localSheetId="1">#REF!</definedName>
    <definedName name="_SUM0409">#REF!</definedName>
    <definedName name="_SUM0411" localSheetId="0">#REF!</definedName>
    <definedName name="_SUM0411" localSheetId="1">#REF!</definedName>
    <definedName name="_SUM0411">#REF!</definedName>
    <definedName name="_SUM0501" localSheetId="0">#REF!</definedName>
    <definedName name="_SUM0501" localSheetId="1">#REF!</definedName>
    <definedName name="_SUM0501">#REF!</definedName>
    <definedName name="_SUM0502" localSheetId="0">#REF!</definedName>
    <definedName name="_SUM0502" localSheetId="1">#REF!</definedName>
    <definedName name="_SUM0502">#REF!</definedName>
    <definedName name="_SUM0508" localSheetId="0">#REF!</definedName>
    <definedName name="_SUM0508" localSheetId="1">#REF!</definedName>
    <definedName name="_SUM0508">#REF!</definedName>
    <definedName name="_SUM0509" localSheetId="0">#REF!</definedName>
    <definedName name="_SUM0509" localSheetId="1">#REF!</definedName>
    <definedName name="_SUM0509">#REF!</definedName>
    <definedName name="_SUM0510" localSheetId="0">#REF!</definedName>
    <definedName name="_SUM0510" localSheetId="1">#REF!</definedName>
    <definedName name="_SUM0510">#REF!</definedName>
    <definedName name="_SUM0511" localSheetId="0">#REF!</definedName>
    <definedName name="_SUM0511" localSheetId="1">#REF!</definedName>
    <definedName name="_SUM0511">#REF!</definedName>
    <definedName name="_SUM0613" localSheetId="0">#REF!</definedName>
    <definedName name="_SUM0613" localSheetId="1">#REF!</definedName>
    <definedName name="_SUM0613">#REF!</definedName>
    <definedName name="_SUM0701" localSheetId="0">#REF!</definedName>
    <definedName name="_SUM0701" localSheetId="1">#REF!</definedName>
    <definedName name="_SUM0701">#REF!</definedName>
    <definedName name="_SUM0702" localSheetId="0">#REF!</definedName>
    <definedName name="_SUM0702" localSheetId="1">#REF!</definedName>
    <definedName name="_SUM0702">#REF!</definedName>
    <definedName name="_SUM0708" localSheetId="0">#REF!</definedName>
    <definedName name="_SUM0708" localSheetId="1">#REF!</definedName>
    <definedName name="_SUM0708">#REF!</definedName>
    <definedName name="_SUM0709" localSheetId="0">#REF!</definedName>
    <definedName name="_SUM0709" localSheetId="1">#REF!</definedName>
    <definedName name="_SUM0709">#REF!</definedName>
    <definedName name="_SUM0813" localSheetId="0">#REF!</definedName>
    <definedName name="_SUM0813" localSheetId="1">#REF!</definedName>
    <definedName name="_SUM0813">#REF!</definedName>
    <definedName name="_SUM0901" localSheetId="0">#REF!</definedName>
    <definedName name="_SUM0901" localSheetId="1">#REF!</definedName>
    <definedName name="_SUM0901">#REF!</definedName>
    <definedName name="_SUM0902" localSheetId="0">#REF!</definedName>
    <definedName name="_SUM0902" localSheetId="1">#REF!</definedName>
    <definedName name="_SUM0902">#REF!</definedName>
    <definedName name="_SUM0908" localSheetId="0">#REF!</definedName>
    <definedName name="_SUM0908" localSheetId="1">#REF!</definedName>
    <definedName name="_SUM0908">#REF!</definedName>
    <definedName name="_SUM0911" localSheetId="0">#REF!</definedName>
    <definedName name="_SUM0911" localSheetId="1">#REF!</definedName>
    <definedName name="_SUM0911">#REF!</definedName>
    <definedName name="_SUM0913" localSheetId="0">#REF!</definedName>
    <definedName name="_SUM0913" localSheetId="1">#REF!</definedName>
    <definedName name="_SUM0913">#REF!</definedName>
    <definedName name="_SUM5701" localSheetId="0">#REF!</definedName>
    <definedName name="_SUM5701" localSheetId="1">#REF!</definedName>
    <definedName name="_SUM5701">#REF!</definedName>
    <definedName name="_SUM5702" localSheetId="0">#REF!</definedName>
    <definedName name="_SUM5702" localSheetId="1">#REF!</definedName>
    <definedName name="_SUM5702">#REF!</definedName>
    <definedName name="_SUM5708" localSheetId="0">#REF!</definedName>
    <definedName name="_SUM5708" localSheetId="1">#REF!</definedName>
    <definedName name="_SUM5708">#REF!</definedName>
    <definedName name="_SUM5709" localSheetId="0">#REF!</definedName>
    <definedName name="_SUM5709" localSheetId="1">#REF!</definedName>
    <definedName name="_SUM5709">#REF!</definedName>
    <definedName name="_SUM5711" localSheetId="0">#REF!</definedName>
    <definedName name="_SUM5711" localSheetId="1">#REF!</definedName>
    <definedName name="_SUM5711">#REF!</definedName>
    <definedName name="_SUM5801" localSheetId="0">#REF!</definedName>
    <definedName name="_SUM5801" localSheetId="1">#REF!</definedName>
    <definedName name="_SUM5801">#REF!</definedName>
    <definedName name="_SUM5802" localSheetId="0">#REF!</definedName>
    <definedName name="_SUM5802" localSheetId="1">#REF!</definedName>
    <definedName name="_SUM5802">#REF!</definedName>
    <definedName name="_SUM5811" localSheetId="0">#REF!</definedName>
    <definedName name="_SUM5811" localSheetId="1">#REF!</definedName>
    <definedName name="_SUM5811">#REF!</definedName>
    <definedName name="_SUM6001" localSheetId="0">#REF!</definedName>
    <definedName name="_SUM6001" localSheetId="1">#REF!</definedName>
    <definedName name="_SUM6001">#REF!</definedName>
    <definedName name="_SUM6002" localSheetId="0">#REF!</definedName>
    <definedName name="_SUM6002" localSheetId="1">#REF!</definedName>
    <definedName name="_SUM6002">#REF!</definedName>
    <definedName name="_SUM6008" localSheetId="0">#REF!</definedName>
    <definedName name="_SUM6008" localSheetId="1">#REF!</definedName>
    <definedName name="_SUM6008">#REF!</definedName>
    <definedName name="_sum6009" localSheetId="0">#REF!</definedName>
    <definedName name="_sum6009" localSheetId="1">#REF!</definedName>
    <definedName name="_sum6009">#REF!</definedName>
    <definedName name="_SUM6011" localSheetId="0">#REF!</definedName>
    <definedName name="_SUM6011" localSheetId="1">#REF!</definedName>
    <definedName name="_SUM6011">#REF!</definedName>
    <definedName name="_SUM6101" localSheetId="0">#REF!</definedName>
    <definedName name="_SUM6101" localSheetId="1">#REF!</definedName>
    <definedName name="_SUM6101">#REF!</definedName>
    <definedName name="_SUM6102" localSheetId="0">#REF!</definedName>
    <definedName name="_SUM6102" localSheetId="1">#REF!</definedName>
    <definedName name="_SUM6102">#REF!</definedName>
    <definedName name="_SUM6108" localSheetId="0">#REF!</definedName>
    <definedName name="_SUM6108" localSheetId="1">#REF!</definedName>
    <definedName name="_SUM6108">#REF!</definedName>
    <definedName name="_SUM6109" localSheetId="0">#REF!</definedName>
    <definedName name="_SUM6109" localSheetId="1">#REF!</definedName>
    <definedName name="_SUM6109">#REF!</definedName>
    <definedName name="_SUM6111" localSheetId="0">#REF!</definedName>
    <definedName name="_SUM6111" localSheetId="1">#REF!</definedName>
    <definedName name="_SUM6111">#REF!</definedName>
    <definedName name="_SUM6201" localSheetId="0">#REF!</definedName>
    <definedName name="_SUM6201" localSheetId="1">#REF!</definedName>
    <definedName name="_SUM6201">#REF!</definedName>
    <definedName name="_SUM6202" localSheetId="0">#REF!</definedName>
    <definedName name="_SUM6202" localSheetId="1">#REF!</definedName>
    <definedName name="_SUM6202">#REF!</definedName>
    <definedName name="_SUM6301" localSheetId="0">#REF!</definedName>
    <definedName name="_SUM6301" localSheetId="1">#REF!</definedName>
    <definedName name="_SUM6301">#REF!</definedName>
    <definedName name="_SUM6302" localSheetId="0">#REF!</definedName>
    <definedName name="_SUM6302" localSheetId="1">#REF!</definedName>
    <definedName name="_SUM6302">#REF!</definedName>
    <definedName name="_SUM6308" localSheetId="0">#REF!</definedName>
    <definedName name="_SUM6308" localSheetId="1">#REF!</definedName>
    <definedName name="_SUM6308">#REF!</definedName>
    <definedName name="_SUM6309" localSheetId="0">#REF!</definedName>
    <definedName name="_SUM6309" localSheetId="1">#REF!</definedName>
    <definedName name="_SUM6309">#REF!</definedName>
    <definedName name="_SUM6311" localSheetId="0">#REF!</definedName>
    <definedName name="_SUM6311" localSheetId="1">#REF!</definedName>
    <definedName name="_SUM6311">#REF!</definedName>
    <definedName name="_SUM6401" localSheetId="0">#REF!</definedName>
    <definedName name="_SUM6401" localSheetId="1">#REF!</definedName>
    <definedName name="_SUM6401">#REF!</definedName>
    <definedName name="_SUM6402" localSheetId="0">#REF!</definedName>
    <definedName name="_SUM6402" localSheetId="1">#REF!</definedName>
    <definedName name="_SUM6402">#REF!</definedName>
    <definedName name="_SUM6408" localSheetId="0">#REF!</definedName>
    <definedName name="_SUM6408" localSheetId="1">#REF!</definedName>
    <definedName name="_SUM6408">#REF!</definedName>
    <definedName name="_SUM6409" localSheetId="0">#REF!</definedName>
    <definedName name="_SUM6409" localSheetId="1">#REF!</definedName>
    <definedName name="_SUM6409">#REF!</definedName>
    <definedName name="_SUM6411" localSheetId="0">#REF!</definedName>
    <definedName name="_SUM6411" localSheetId="1">#REF!</definedName>
    <definedName name="_SUM6411">#REF!</definedName>
    <definedName name="_SUM6413" localSheetId="0">#REF!</definedName>
    <definedName name="_SUM6413" localSheetId="1">#REF!</definedName>
    <definedName name="_SUM6413">#REF!</definedName>
    <definedName name="_SUM6501" localSheetId="0">#REF!</definedName>
    <definedName name="_SUM6501" localSheetId="1">#REF!</definedName>
    <definedName name="_SUM6501">#REF!</definedName>
    <definedName name="_SUM6502" localSheetId="0">#REF!</definedName>
    <definedName name="_SUM6502" localSheetId="1">#REF!</definedName>
    <definedName name="_SUM6502">#REF!</definedName>
    <definedName name="_SUM6508" localSheetId="0">#REF!</definedName>
    <definedName name="_SUM6508" localSheetId="1">#REF!</definedName>
    <definedName name="_SUM6508">#REF!</definedName>
    <definedName name="_SUM6509" localSheetId="0">#REF!</definedName>
    <definedName name="_SUM6509" localSheetId="1">#REF!</definedName>
    <definedName name="_SUM6509">#REF!</definedName>
    <definedName name="_SUM6510" localSheetId="0">#REF!</definedName>
    <definedName name="_SUM6510" localSheetId="1">#REF!</definedName>
    <definedName name="_SUM6510">#REF!</definedName>
    <definedName name="_SUM6511" localSheetId="0">#REF!</definedName>
    <definedName name="_SUM6511" localSheetId="1">#REF!</definedName>
    <definedName name="_SUM6511">#REF!</definedName>
    <definedName name="_SUM6601" localSheetId="0">#REF!</definedName>
    <definedName name="_SUM6601" localSheetId="1">#REF!</definedName>
    <definedName name="_SUM6601">#REF!</definedName>
    <definedName name="_SUM6602" localSheetId="0">#REF!</definedName>
    <definedName name="_SUM6602" localSheetId="1">#REF!</definedName>
    <definedName name="_SUM6602">#REF!</definedName>
    <definedName name="_SUM6608" localSheetId="0">#REF!</definedName>
    <definedName name="_SUM6608" localSheetId="1">#REF!</definedName>
    <definedName name="_SUM6608">#REF!</definedName>
    <definedName name="_SUM6609" localSheetId="0">#REF!</definedName>
    <definedName name="_SUM6609" localSheetId="1">#REF!</definedName>
    <definedName name="_SUM6609">#REF!</definedName>
    <definedName name="_SUM6611" localSheetId="0">#REF!</definedName>
    <definedName name="_SUM6611" localSheetId="1">#REF!</definedName>
    <definedName name="_SUM6611">#REF!</definedName>
    <definedName name="_SUM6701" localSheetId="0">#REF!</definedName>
    <definedName name="_SUM6701" localSheetId="1">#REF!</definedName>
    <definedName name="_SUM6701">#REF!</definedName>
    <definedName name="_SUM6702" localSheetId="0">#REF!</definedName>
    <definedName name="_SUM6702" localSheetId="1">#REF!</definedName>
    <definedName name="_SUM6702">#REF!</definedName>
    <definedName name="_SUM6708" localSheetId="0">#REF!</definedName>
    <definedName name="_SUM6708" localSheetId="1">#REF!</definedName>
    <definedName name="_SUM6708">#REF!</definedName>
    <definedName name="_SUM6709" localSheetId="0">#REF!</definedName>
    <definedName name="_SUM6709" localSheetId="1">#REF!</definedName>
    <definedName name="_SUM6709">#REF!</definedName>
    <definedName name="_SUM6710" localSheetId="0">#REF!</definedName>
    <definedName name="_SUM6710" localSheetId="1">#REF!</definedName>
    <definedName name="_SUM6710">#REF!</definedName>
    <definedName name="_SUM6711" localSheetId="0">#REF!</definedName>
    <definedName name="_SUM6711" localSheetId="1">#REF!</definedName>
    <definedName name="_SUM6711">#REF!</definedName>
    <definedName name="_SUM6718" localSheetId="0">#REF!</definedName>
    <definedName name="_SUM6718" localSheetId="1">#REF!</definedName>
    <definedName name="_SUM6718">#REF!</definedName>
    <definedName name="_SUM6801" localSheetId="0">#REF!</definedName>
    <definedName name="_SUM6801" localSheetId="1">#REF!</definedName>
    <definedName name="_SUM6801">#REF!</definedName>
    <definedName name="_SUM6802" localSheetId="0">#REF!</definedName>
    <definedName name="_SUM6802" localSheetId="1">#REF!</definedName>
    <definedName name="_SUM6802">#REF!</definedName>
    <definedName name="_SUM7013" localSheetId="0">#REF!</definedName>
    <definedName name="_SUM7013" localSheetId="1">#REF!</definedName>
    <definedName name="_SUM7013">#REF!</definedName>
    <definedName name="_SUM7201" localSheetId="0">#REF!</definedName>
    <definedName name="_SUM7201" localSheetId="1">#REF!</definedName>
    <definedName name="_SUM7201">#REF!</definedName>
    <definedName name="_SUM7202" localSheetId="0">#REF!</definedName>
    <definedName name="_SUM7202" localSheetId="1">#REF!</definedName>
    <definedName name="_SUM7202">#REF!</definedName>
    <definedName name="_SUM7208" localSheetId="0">#REF!</definedName>
    <definedName name="_SUM7208" localSheetId="1">#REF!</definedName>
    <definedName name="_SUM7208">#REF!</definedName>
    <definedName name="_SUM7209" localSheetId="0">#REF!</definedName>
    <definedName name="_SUM7209" localSheetId="1">#REF!</definedName>
    <definedName name="_SUM7209">#REF!</definedName>
    <definedName name="_SUM7210" localSheetId="0">#REF!</definedName>
    <definedName name="_SUM7210" localSheetId="1">#REF!</definedName>
    <definedName name="_SUM7210">#REF!</definedName>
    <definedName name="_SUM7211" localSheetId="0">#REF!</definedName>
    <definedName name="_SUM7211" localSheetId="1">#REF!</definedName>
    <definedName name="_SUM7211">#REF!</definedName>
    <definedName name="_SUM7301" localSheetId="0">#REF!</definedName>
    <definedName name="_SUM7301" localSheetId="1">#REF!</definedName>
    <definedName name="_SUM7301">#REF!</definedName>
    <definedName name="_SUM7302" localSheetId="0">#REF!</definedName>
    <definedName name="_SUM7302" localSheetId="1">#REF!</definedName>
    <definedName name="_SUM7302">#REF!</definedName>
    <definedName name="_SUM7308" localSheetId="0">#REF!</definedName>
    <definedName name="_SUM7308" localSheetId="1">#REF!</definedName>
    <definedName name="_SUM7308">#REF!</definedName>
    <definedName name="_SUM7309" localSheetId="0">#REF!</definedName>
    <definedName name="_SUM7309" localSheetId="1">#REF!</definedName>
    <definedName name="_SUM7309">#REF!</definedName>
    <definedName name="_SUM7311" localSheetId="0">#REF!</definedName>
    <definedName name="_SUM7311" localSheetId="1">#REF!</definedName>
    <definedName name="_SUM7311">#REF!</definedName>
    <definedName name="_SUM7401" localSheetId="0">#REF!</definedName>
    <definedName name="_SUM7401" localSheetId="1">#REF!</definedName>
    <definedName name="_SUM7401">#REF!</definedName>
    <definedName name="_SUM7402" localSheetId="0">#REF!</definedName>
    <definedName name="_SUM7402" localSheetId="1">#REF!</definedName>
    <definedName name="_SUM7402">#REF!</definedName>
    <definedName name="_SUM7408" localSheetId="0">#REF!</definedName>
    <definedName name="_SUM7408" localSheetId="1">#REF!</definedName>
    <definedName name="_SUM7408">#REF!</definedName>
    <definedName name="_SUM7409" localSheetId="0">#REF!</definedName>
    <definedName name="_SUM7409" localSheetId="1">#REF!</definedName>
    <definedName name="_SUM7409">#REF!</definedName>
    <definedName name="_SUM7411" localSheetId="0">#REF!</definedName>
    <definedName name="_SUM7411" localSheetId="1">#REF!</definedName>
    <definedName name="_SUM7411">#REF!</definedName>
    <definedName name="_SUM7501" localSheetId="0">#REF!</definedName>
    <definedName name="_SUM7501" localSheetId="1">#REF!</definedName>
    <definedName name="_SUM7501">#REF!</definedName>
    <definedName name="_SUM7502" localSheetId="0">#REF!</definedName>
    <definedName name="_SUM7502" localSheetId="1">#REF!</definedName>
    <definedName name="_SUM7502">#REF!</definedName>
    <definedName name="_SUM7508" localSheetId="0">#REF!</definedName>
    <definedName name="_SUM7508" localSheetId="1">#REF!</definedName>
    <definedName name="_SUM7508">#REF!</definedName>
    <definedName name="_SUM7509" localSheetId="0">#REF!</definedName>
    <definedName name="_SUM7509" localSheetId="1">#REF!</definedName>
    <definedName name="_SUM7509">#REF!</definedName>
    <definedName name="_SUM7511" localSheetId="0">#REF!</definedName>
    <definedName name="_SUM7511" localSheetId="1">#REF!</definedName>
    <definedName name="_SUM7511">#REF!</definedName>
    <definedName name="_SUM7811" localSheetId="0">#REF!</definedName>
    <definedName name="_SUM7811" localSheetId="1">#REF!</definedName>
    <definedName name="_SUM7811">#REF!</definedName>
    <definedName name="_SUM7920" localSheetId="0">#REF!</definedName>
    <definedName name="_SUM7920" localSheetId="1">#REF!</definedName>
    <definedName name="_SUM7920">#REF!</definedName>
    <definedName name="_SUM8001" localSheetId="0">#REF!</definedName>
    <definedName name="_SUM8001" localSheetId="1">#REF!</definedName>
    <definedName name="_SUM8001">#REF!</definedName>
    <definedName name="_SUM8002" localSheetId="0">#REF!</definedName>
    <definedName name="_SUM8002" localSheetId="1">#REF!</definedName>
    <definedName name="_SUM8002">#REF!</definedName>
    <definedName name="_SUM8008" localSheetId="0">#REF!</definedName>
    <definedName name="_SUM8008" localSheetId="1">#REF!</definedName>
    <definedName name="_SUM8008">#REF!</definedName>
    <definedName name="_SUM8009" localSheetId="0">#REF!</definedName>
    <definedName name="_SUM8009" localSheetId="1">#REF!</definedName>
    <definedName name="_SUM8009">#REF!</definedName>
    <definedName name="_SUM8011" localSheetId="0">#REF!</definedName>
    <definedName name="_SUM8011" localSheetId="1">#REF!</definedName>
    <definedName name="_SUM8011">#REF!</definedName>
    <definedName name="_SUM8301" localSheetId="0">#REF!</definedName>
    <definedName name="_SUM8301" localSheetId="1">#REF!</definedName>
    <definedName name="_SUM8301">#REF!</definedName>
    <definedName name="_SUM8302" localSheetId="0">#REF!</definedName>
    <definedName name="_SUM8302" localSheetId="1">#REF!</definedName>
    <definedName name="_SUM8302">#REF!</definedName>
    <definedName name="_SUM8308" localSheetId="0">#REF!</definedName>
    <definedName name="_SUM8308" localSheetId="1">#REF!</definedName>
    <definedName name="_SUM8308">#REF!</definedName>
    <definedName name="_SUM8309" localSheetId="0">#REF!</definedName>
    <definedName name="_SUM8309" localSheetId="1">#REF!</definedName>
    <definedName name="_SUM8309">#REF!</definedName>
    <definedName name="_SUM8311" localSheetId="0">#REF!</definedName>
    <definedName name="_SUM8311" localSheetId="1">#REF!</definedName>
    <definedName name="_SUM8311">#REF!</definedName>
    <definedName name="_SUM8401" localSheetId="0">#REF!</definedName>
    <definedName name="_SUM8401" localSheetId="1">#REF!</definedName>
    <definedName name="_SUM8401">#REF!</definedName>
    <definedName name="_SUM8402" localSheetId="0">#REF!</definedName>
    <definedName name="_SUM8402" localSheetId="1">#REF!</definedName>
    <definedName name="_SUM8402">#REF!</definedName>
    <definedName name="_SUM8408" localSheetId="0">#REF!</definedName>
    <definedName name="_SUM8408" localSheetId="1">#REF!</definedName>
    <definedName name="_SUM8408">#REF!</definedName>
    <definedName name="_SUM8409" localSheetId="0">#REF!</definedName>
    <definedName name="_SUM8409" localSheetId="1">#REF!</definedName>
    <definedName name="_SUM8409">#REF!</definedName>
    <definedName name="_SUM8411" localSheetId="0">#REF!</definedName>
    <definedName name="_SUM8411" localSheetId="1">#REF!</definedName>
    <definedName name="_SUM8411">#REF!</definedName>
    <definedName name="_SUM8511" localSheetId="0">#REF!</definedName>
    <definedName name="_SUM8511" localSheetId="1">#REF!</definedName>
    <definedName name="_SUM8511">#REF!</definedName>
    <definedName name="_SUM8613" localSheetId="0">#REF!</definedName>
    <definedName name="_SUM8613" localSheetId="1">#REF!</definedName>
    <definedName name="_SUM8613">#REF!</definedName>
    <definedName name="_SUM8701" localSheetId="0">#REF!</definedName>
    <definedName name="_SUM8701" localSheetId="1">#REF!</definedName>
    <definedName name="_SUM8701">#REF!</definedName>
    <definedName name="_SUM8702" localSheetId="0">#REF!</definedName>
    <definedName name="_SUM8702" localSheetId="1">#REF!</definedName>
    <definedName name="_SUM8702">#REF!</definedName>
    <definedName name="_SUM8708" localSheetId="0">#REF!</definedName>
    <definedName name="_SUM8708" localSheetId="1">#REF!</definedName>
    <definedName name="_SUM8708">#REF!</definedName>
    <definedName name="_SUM8709" localSheetId="0">#REF!</definedName>
    <definedName name="_SUM8709" localSheetId="1">#REF!</definedName>
    <definedName name="_SUM8709">#REF!</definedName>
    <definedName name="_SUM8710" localSheetId="0">#REF!</definedName>
    <definedName name="_SUM8710" localSheetId="1">#REF!</definedName>
    <definedName name="_SUM8710">#REF!</definedName>
    <definedName name="_SUM8711" localSheetId="0">#REF!</definedName>
    <definedName name="_SUM8711" localSheetId="1">#REF!</definedName>
    <definedName name="_SUM8711">#REF!</definedName>
    <definedName name="_SUM8713" localSheetId="0">#REF!</definedName>
    <definedName name="_SUM8713" localSheetId="1">#REF!</definedName>
    <definedName name="_SUM8713">#REF!</definedName>
    <definedName name="_SUM8714" localSheetId="0">#REF!</definedName>
    <definedName name="_SUM8714" localSheetId="1">#REF!</definedName>
    <definedName name="_SUM8714">#REF!</definedName>
    <definedName name="_SUM8715" localSheetId="0">#REF!</definedName>
    <definedName name="_SUM8715" localSheetId="1">#REF!</definedName>
    <definedName name="_SUM8715">#REF!</definedName>
    <definedName name="_SUM8716" localSheetId="0">#REF!</definedName>
    <definedName name="_SUM8716" localSheetId="1">#REF!</definedName>
    <definedName name="_SUM8716">#REF!</definedName>
    <definedName name="_SUM8717" localSheetId="0">#REF!</definedName>
    <definedName name="_SUM8717" localSheetId="1">#REF!</definedName>
    <definedName name="_SUM8717">#REF!</definedName>
    <definedName name="_SUM8719" localSheetId="0">#REF!</definedName>
    <definedName name="_SUM8719" localSheetId="1">#REF!</definedName>
    <definedName name="_SUM8719">#REF!</definedName>
    <definedName name="a" hidden="1">{"'Server Configuration'!$A$1:$DB$281"}</definedName>
    <definedName name="a_1" hidden="1">{"'Server Configuration'!$A$1:$DB$281"}</definedName>
    <definedName name="A_R_CAPCOMP" localSheetId="0">#REF!</definedName>
    <definedName name="A_R_CAPCOMP" localSheetId="1">#REF!</definedName>
    <definedName name="A_R_CAPCOMP">#REF!</definedName>
    <definedName name="A_R_DAILY" localSheetId="0">#REF!</definedName>
    <definedName name="A_R_DAILY" localSheetId="1">#REF!</definedName>
    <definedName name="A_R_DAILY">#REF!</definedName>
    <definedName name="A_R_DAILYSUPPOR" localSheetId="0">#REF!</definedName>
    <definedName name="A_R_DAILYSUPPOR" localSheetId="1">#REF!</definedName>
    <definedName name="A_R_DAILYSUPPOR">#REF!</definedName>
    <definedName name="A_R_WKSHT1" localSheetId="0">#REF!</definedName>
    <definedName name="A_R_WKSHT1" localSheetId="1">#REF!</definedName>
    <definedName name="A_R_WKSHT1">#REF!</definedName>
    <definedName name="A_R_WKST2" localSheetId="0">#REF!</definedName>
    <definedName name="A_R_WKST2" localSheetId="1">#REF!</definedName>
    <definedName name="A_R_WKST2">#REF!</definedName>
    <definedName name="ACCT106" localSheetId="0">#REF!</definedName>
    <definedName name="ACCT106" localSheetId="1">#REF!</definedName>
    <definedName name="ACCT106">#REF!</definedName>
    <definedName name="ACCT495" localSheetId="0">#REF!</definedName>
    <definedName name="ACCT495" localSheetId="1">#REF!</definedName>
    <definedName name="ACCT495">#REF!</definedName>
    <definedName name="ACCT904" localSheetId="0">#REF!</definedName>
    <definedName name="ACCT904" localSheetId="1">#REF!</definedName>
    <definedName name="ACCT904">#REF!</definedName>
    <definedName name="acctXref" localSheetId="0">#REF!</definedName>
    <definedName name="acctXref" localSheetId="1">#REF!</definedName>
    <definedName name="acctXref">#REF!</definedName>
    <definedName name="Active">[8]Inputs!$B$4</definedName>
    <definedName name="ACTUAL_VOL" localSheetId="0">#REF!</definedName>
    <definedName name="ACTUAL_VOL" localSheetId="1">#REF!</definedName>
    <definedName name="ACTUAL_VOL">#REF!</definedName>
    <definedName name="AddPMA" localSheetId="0">#REF!</definedName>
    <definedName name="AddPMA" localSheetId="1">#REF!</definedName>
    <definedName name="AddPMA">#REF!</definedName>
    <definedName name="AddUSF" localSheetId="0">#REF!</definedName>
    <definedName name="AddUSF" localSheetId="1">#REF!</definedName>
    <definedName name="AddUSF">#REF!</definedName>
    <definedName name="adj1to3" localSheetId="0">#REF!</definedName>
    <definedName name="adj1to3" localSheetId="1">#REF!</definedName>
    <definedName name="adj1to3">#REF!</definedName>
    <definedName name="adj4a" localSheetId="0">#REF!</definedName>
    <definedName name="adj4a" localSheetId="1">#REF!</definedName>
    <definedName name="adj4a">#REF!</definedName>
    <definedName name="adj4b" localSheetId="0">#REF!</definedName>
    <definedName name="adj4b" localSheetId="1">#REF!</definedName>
    <definedName name="adj4b">#REF!</definedName>
    <definedName name="adj4c" localSheetId="0">#REF!</definedName>
    <definedName name="adj4c" localSheetId="1">#REF!</definedName>
    <definedName name="adj4c">#REF!</definedName>
    <definedName name="adj4d" localSheetId="0">#REF!</definedName>
    <definedName name="adj4d" localSheetId="1">#REF!</definedName>
    <definedName name="adj4d">#REF!</definedName>
    <definedName name="adj4e1" localSheetId="0">#REF!</definedName>
    <definedName name="adj4e1" localSheetId="1">#REF!</definedName>
    <definedName name="adj4e1">#REF!</definedName>
    <definedName name="adj4e3" localSheetId="0">#REF!</definedName>
    <definedName name="adj4e3" localSheetId="1">#REF!</definedName>
    <definedName name="adj4e3">#REF!</definedName>
    <definedName name="adj4f1" localSheetId="0">#REF!</definedName>
    <definedName name="adj4f1" localSheetId="1">#REF!</definedName>
    <definedName name="adj4f1">#REF!</definedName>
    <definedName name="adj4f2" localSheetId="0">#REF!</definedName>
    <definedName name="adj4f2" localSheetId="1">#REF!</definedName>
    <definedName name="adj4f2">#REF!</definedName>
    <definedName name="adj4f3" localSheetId="0">#REF!</definedName>
    <definedName name="adj4f3" localSheetId="1">#REF!</definedName>
    <definedName name="adj4f3">#REF!</definedName>
    <definedName name="adj4g" localSheetId="0">#REF!</definedName>
    <definedName name="adj4g" localSheetId="1">#REF!</definedName>
    <definedName name="adj4g">#REF!</definedName>
    <definedName name="adj4h" localSheetId="0">#REF!</definedName>
    <definedName name="adj4h" localSheetId="1">#REF!</definedName>
    <definedName name="adj4h">#REF!</definedName>
    <definedName name="ADJ52_1of2" localSheetId="0">#REF!</definedName>
    <definedName name="ADJ52_1of2" localSheetId="1">#REF!</definedName>
    <definedName name="ADJ52_1of2">#REF!</definedName>
    <definedName name="ADJ52_2of2" localSheetId="0">#REF!</definedName>
    <definedName name="ADJ52_2of2" localSheetId="1">#REF!</definedName>
    <definedName name="ADJ52_2of2">#REF!</definedName>
    <definedName name="ADJMCF" localSheetId="0">#REF!</definedName>
    <definedName name="ADJMCF" localSheetId="1">#REF!</definedName>
    <definedName name="ADJMCF">#REF!</definedName>
    <definedName name="ADJMCF2" localSheetId="0">#REF!</definedName>
    <definedName name="ADJMCF2" localSheetId="1">#REF!</definedName>
    <definedName name="ADJMCF2">#REF!</definedName>
    <definedName name="adjno">[9]Sch1!$G$1</definedName>
    <definedName name="ADJSUM" localSheetId="0">#REF!</definedName>
    <definedName name="ADJSUM" localSheetId="1">#REF!</definedName>
    <definedName name="ADJSUM">#REF!</definedName>
    <definedName name="AGENCY_GASCOSTS" localSheetId="0">#REF!</definedName>
    <definedName name="AGENCY_GASCOSTS" localSheetId="1">#REF!</definedName>
    <definedName name="AGENCY_GASCOSTS">#REF!</definedName>
    <definedName name="AGENCY_HISTORY" localSheetId="0">#REF!</definedName>
    <definedName name="AGENCY_HISTORY" localSheetId="1">#REF!</definedName>
    <definedName name="AGENCY_HISTORY">#REF!</definedName>
    <definedName name="AGENCY_TRANSP" localSheetId="0">#REF!</definedName>
    <definedName name="AGENCY_TRANSP" localSheetId="1">#REF!</definedName>
    <definedName name="AGENCY_TRANSP">#REF!</definedName>
    <definedName name="ahahahahaha" hidden="1">{"'Server Configuration'!$A$1:$DB$281"}</definedName>
    <definedName name="ahahahahaha_1" hidden="1">{"'Server Configuration'!$A$1:$DB$281"}</definedName>
    <definedName name="ahahahahaha_2" hidden="1">{"'Server Configuration'!$A$1:$DB$281"}</definedName>
    <definedName name="Ainput2">'[10]L Graph (Data)'!$A$6:$DS$21</definedName>
    <definedName name="Ainputvol">'[11]L Graph (Data)'!$A$6:$DS$17</definedName>
    <definedName name="ali" hidden="1">{"'Server Configuration'!$A$1:$DB$281"}</definedName>
    <definedName name="AllData">OFFSET('[12]SLCs Due &amp; Recd'!$A$11,0,0,COUNTA('[12]SLCs Due &amp; Recd'!$B$1:$B$65536),COUNTA('[12]SLCs Due &amp; Recd'!$A$11:$IV$11))</definedName>
    <definedName name="ALLOC">[13]VLOOKUP!$A$2:$S$26</definedName>
    <definedName name="ALLPAGES" localSheetId="0">#REF!</definedName>
    <definedName name="ALLPAGES" localSheetId="1">#REF!</definedName>
    <definedName name="ALLPAGES">#REF!</definedName>
    <definedName name="ANGINC" localSheetId="0">#REF!</definedName>
    <definedName name="ANGINC" localSheetId="1">#REF!</definedName>
    <definedName name="ANGINC">#REF!</definedName>
    <definedName name="ANNPCT" localSheetId="0">#REF!</definedName>
    <definedName name="ANNPCT" localSheetId="1">#REF!</definedName>
    <definedName name="ANNPCT">#REF!</definedName>
    <definedName name="ANNPCTANG" localSheetId="0">#REF!</definedName>
    <definedName name="ANNPCTANG" localSheetId="1">#REF!</definedName>
    <definedName name="ANNPCTANG">#REF!</definedName>
    <definedName name="Application_Fees">[8]Inputs!$B$50</definedName>
    <definedName name="AR" localSheetId="0">#REF!</definedName>
    <definedName name="AR" localSheetId="1">#REF!</definedName>
    <definedName name="AR">#REF!</definedName>
    <definedName name="AUTO11" localSheetId="0">#REF!</definedName>
    <definedName name="AUTO11" localSheetId="1">#REF!</definedName>
    <definedName name="AUTO11">#REF!</definedName>
    <definedName name="AUTO12" localSheetId="0">#REF!</definedName>
    <definedName name="AUTO12" localSheetId="1">#REF!</definedName>
    <definedName name="AUTO12">#REF!</definedName>
    <definedName name="AUTO14" localSheetId="0">#REF!</definedName>
    <definedName name="AUTO14" localSheetId="1">#REF!</definedName>
    <definedName name="AUTO14">#REF!</definedName>
    <definedName name="AUTO15" localSheetId="0">#REF!</definedName>
    <definedName name="AUTO15" localSheetId="1">#REF!</definedName>
    <definedName name="AUTO15">#REF!</definedName>
    <definedName name="AUTO16" localSheetId="0">#REF!</definedName>
    <definedName name="AUTO16" localSheetId="1">#REF!</definedName>
    <definedName name="AUTO16">#REF!</definedName>
    <definedName name="AUTO17" localSheetId="0">#REF!</definedName>
    <definedName name="AUTO17" localSheetId="1">#REF!</definedName>
    <definedName name="AUTO17">#REF!</definedName>
    <definedName name="AUTO18" localSheetId="0">#REF!</definedName>
    <definedName name="AUTO18" localSheetId="1">#REF!</definedName>
    <definedName name="AUTO18">#REF!</definedName>
    <definedName name="AUTO20" localSheetId="0">#REF!</definedName>
    <definedName name="AUTO20" localSheetId="1">#REF!</definedName>
    <definedName name="AUTO20">#REF!</definedName>
    <definedName name="AUTO22" localSheetId="0">#REF!</definedName>
    <definedName name="AUTO22" localSheetId="1">#REF!</definedName>
    <definedName name="AUTO22">#REF!</definedName>
    <definedName name="AUTO32" localSheetId="0">#REF!</definedName>
    <definedName name="AUTO32" localSheetId="1">#REF!</definedName>
    <definedName name="AUTO32">#REF!</definedName>
    <definedName name="AUTO34" localSheetId="0">#REF!</definedName>
    <definedName name="AUTO34" localSheetId="1">#REF!</definedName>
    <definedName name="AUTO34">#REF!</definedName>
    <definedName name="AUTO35" localSheetId="0">#REF!</definedName>
    <definedName name="AUTO35" localSheetId="1">#REF!</definedName>
    <definedName name="AUTO35">#REF!</definedName>
    <definedName name="AUTO37" localSheetId="0">#REF!</definedName>
    <definedName name="AUTO37" localSheetId="1">#REF!</definedName>
    <definedName name="AUTO37">#REF!</definedName>
    <definedName name="AUTO38" localSheetId="0">#REF!</definedName>
    <definedName name="AUTO38" localSheetId="1">#REF!</definedName>
    <definedName name="AUTO38">#REF!</definedName>
    <definedName name="AUTO48" localSheetId="0">#REF!</definedName>
    <definedName name="AUTO48" localSheetId="1">#REF!</definedName>
    <definedName name="AUTO48">#REF!</definedName>
    <definedName name="AUTO51" localSheetId="0">#REF!</definedName>
    <definedName name="AUTO51" localSheetId="1">#REF!</definedName>
    <definedName name="AUTO51">#REF!</definedName>
    <definedName name="AUTO52" localSheetId="0">#REF!</definedName>
    <definedName name="AUTO52" localSheetId="1">#REF!</definedName>
    <definedName name="AUTO52">#REF!</definedName>
    <definedName name="AUTO53" localSheetId="0">#REF!</definedName>
    <definedName name="AUTO53" localSheetId="1">#REF!</definedName>
    <definedName name="AUTO53">#REF!</definedName>
    <definedName name="AVG_BANK_BAL">[14]EXH10!$A$1:$J$47</definedName>
    <definedName name="Avg_Mo_pmt">[8]Inputs!$B$7</definedName>
    <definedName name="AVGrate">'[15]AVG FXrates'!$B$4:$F$47</definedName>
    <definedName name="b" hidden="1">{"'Server Configuration'!$A$1:$DB$281"}</definedName>
    <definedName name="b_1" hidden="1">{"'Server Configuration'!$A$1:$DB$281"}</definedName>
    <definedName name="Bank" localSheetId="0">[16]Input!#REF!</definedName>
    <definedName name="Bank" localSheetId="1">[16]Input!#REF!</definedName>
    <definedName name="Bank">[16]Input!#REF!</definedName>
    <definedName name="base">'[17]Index A'!$C$16</definedName>
    <definedName name="Baseline" localSheetId="0">#REF!</definedName>
    <definedName name="Baseline" localSheetId="1">#REF!</definedName>
    <definedName name="Baseline">#REF!</definedName>
    <definedName name="bdate">'[18]Oper Rev&amp;Exp by Accts C2.1A'!$A$4</definedName>
    <definedName name="BENEFITS" localSheetId="0">#REF!</definedName>
    <definedName name="BENEFITS" localSheetId="1">#REF!</definedName>
    <definedName name="BENEFITS">#REF!</definedName>
    <definedName name="Binputrusum">'[10]L Graph (Data)'!$A$97:$DS$109</definedName>
    <definedName name="binputsum">'[11]L Graph (Data)'!$A$19:$DS$29</definedName>
    <definedName name="binputsumru">'[19]L Graph (Data)'!$A$91:$DS$105</definedName>
    <definedName name="binputvol">'[19]L Graph (Data)'!$A$21:$DS$34</definedName>
    <definedName name="blip" hidden="1">{"'Server Configuration'!$A$1:$DB$281"}</definedName>
    <definedName name="blip_1" hidden="1">{"'Server Configuration'!$A$1:$DB$281"}</definedName>
    <definedName name="blip_2" hidden="1">{"'Server Configuration'!$A$1:$DB$281"}</definedName>
    <definedName name="blort" localSheetId="0">#REF!</definedName>
    <definedName name="blort" localSheetId="1">#REF!</definedName>
    <definedName name="blort">#REF!</definedName>
    <definedName name="BMSGRADE">[20]Assumptions!$J$8:$J$21</definedName>
    <definedName name="BOB" localSheetId="0">#REF!</definedName>
    <definedName name="BOB" localSheetId="1">#REF!</definedName>
    <definedName name="BOB">#REF!</definedName>
    <definedName name="BTU">[21]Input!$B$11</definedName>
    <definedName name="ByTower" localSheetId="0">#REF!</definedName>
    <definedName name="ByTower" localSheetId="1">#REF!</definedName>
    <definedName name="ByTower">#REF!</definedName>
    <definedName name="CALDEN" localSheetId="0">#REF!</definedName>
    <definedName name="CALDEN" localSheetId="1">#REF!</definedName>
    <definedName name="CALDEN">#REF!</definedName>
    <definedName name="Cap_Structure" localSheetId="0">#REF!</definedName>
    <definedName name="Cap_Structure" localSheetId="1">#REF!</definedName>
    <definedName name="Cap_Structure">#REF!</definedName>
    <definedName name="case">'[17]B-1 p.1 Summary (Base)'!$A$2</definedName>
    <definedName name="CCCfeeadj">'[11]L Graph (Data)'!$A$410:$DS$457</definedName>
    <definedName name="CCCvoladj">'[11]L Graph (Data)'!$A$359:$DS$406</definedName>
    <definedName name="Central_Call_Handling_Charge">'[22]Router Configuration'!$S$1</definedName>
    <definedName name="CHART32" localSheetId="0">#REF!</definedName>
    <definedName name="CHART32" localSheetId="1">#REF!</definedName>
    <definedName name="CHART32">#REF!</definedName>
    <definedName name="CHART34" localSheetId="0">#REF!</definedName>
    <definedName name="CHART34" localSheetId="1">#REF!</definedName>
    <definedName name="CHART34">#REF!</definedName>
    <definedName name="CHART35" localSheetId="0">#REF!</definedName>
    <definedName name="CHART35" localSheetId="1">#REF!</definedName>
    <definedName name="CHART35">#REF!</definedName>
    <definedName name="CHART37" localSheetId="0">#REF!</definedName>
    <definedName name="CHART37" localSheetId="1">#REF!</definedName>
    <definedName name="CHART37">#REF!</definedName>
    <definedName name="CHART38" localSheetId="0">#REF!</definedName>
    <definedName name="CHART38" localSheetId="1">#REF!</definedName>
    <definedName name="CHART38">#REF!</definedName>
    <definedName name="CInputChg">'[10]L Graph (Data)'!$A$41:$IV$56</definedName>
    <definedName name="Cinputvol">'[19]L Graph (Data)'!$A$38:$DS$51</definedName>
    <definedName name="Clarification" localSheetId="0">#REF!</definedName>
    <definedName name="Clarification" localSheetId="1">#REF!</definedName>
    <definedName name="Clarification">#REF!</definedName>
    <definedName name="co">'[17]Index A'!$A$10</definedName>
    <definedName name="COLUMN1" localSheetId="0">#REF!</definedName>
    <definedName name="COLUMN1" localSheetId="1">#REF!</definedName>
    <definedName name="COLUMN1">#REF!</definedName>
    <definedName name="COLUMN2" localSheetId="0">#REF!</definedName>
    <definedName name="COLUMN2" localSheetId="1">#REF!</definedName>
    <definedName name="COLUMN2">#REF!</definedName>
    <definedName name="Commodity">[16]Input!$C$10</definedName>
    <definedName name="Companies" localSheetId="0">#REF!</definedName>
    <definedName name="Companies" localSheetId="1">#REF!</definedName>
    <definedName name="Companies">#REF!</definedName>
    <definedName name="company">'[18]Operating Income Summary C-1'!$A$1</definedName>
    <definedName name="CONAME">[16]B!$A$1</definedName>
    <definedName name="CONTENTS" localSheetId="0">#REF!</definedName>
    <definedName name="CONTENTS" localSheetId="1">#REF!</definedName>
    <definedName name="CONTENTS">#REF!</definedName>
    <definedName name="Criticality" localSheetId="0">#REF!</definedName>
    <definedName name="Criticality" localSheetId="1">#REF!</definedName>
    <definedName name="Criticality">#REF!</definedName>
    <definedName name="curr_cust_pmts">'[8]Payment Calculation'!$C$24</definedName>
    <definedName name="CUSTCHG" localSheetId="0">#REF!</definedName>
    <definedName name="CUSTCHG" localSheetId="1">#REF!</definedName>
    <definedName name="CUSTCHG">#REF!</definedName>
    <definedName name="CUSTCOM32" localSheetId="0">#REF!</definedName>
    <definedName name="CUSTCOM32" localSheetId="1">#REF!</definedName>
    <definedName name="CUSTCOM32">#REF!</definedName>
    <definedName name="CUSTCOM34" localSheetId="0">#REF!</definedName>
    <definedName name="CUSTCOM34" localSheetId="1">#REF!</definedName>
    <definedName name="CUSTCOM34">#REF!</definedName>
    <definedName name="CUSTCOM35" localSheetId="0">#REF!</definedName>
    <definedName name="CUSTCOM35" localSheetId="1">#REF!</definedName>
    <definedName name="CUSTCOM35">#REF!</definedName>
    <definedName name="CUSTCOM37" localSheetId="0">#REF!</definedName>
    <definedName name="CUSTCOM37" localSheetId="1">#REF!</definedName>
    <definedName name="CUSTCOM37">#REF!</definedName>
    <definedName name="CUSTCOM38" localSheetId="0">#REF!</definedName>
    <definedName name="CUSTCOM38" localSheetId="1">#REF!</definedName>
    <definedName name="CUSTCOM38">#REF!</definedName>
    <definedName name="CUSTGAS32" localSheetId="0">#REF!</definedName>
    <definedName name="CUSTGAS32" localSheetId="1">#REF!</definedName>
    <definedName name="CUSTGAS32">#REF!</definedName>
    <definedName name="CUSTGAS34" localSheetId="0">#REF!</definedName>
    <definedName name="CUSTGAS34" localSheetId="1">#REF!</definedName>
    <definedName name="CUSTGAS34">#REF!</definedName>
    <definedName name="CUSTGAS37" localSheetId="0">#REF!</definedName>
    <definedName name="CUSTGAS37" localSheetId="1">#REF!</definedName>
    <definedName name="CUSTGAS37">#REF!</definedName>
    <definedName name="CUSTHP32" localSheetId="0">#REF!</definedName>
    <definedName name="CUSTHP32" localSheetId="1">#REF!</definedName>
    <definedName name="CUSTHP32">#REF!</definedName>
    <definedName name="CUSTHP34" localSheetId="0">#REF!</definedName>
    <definedName name="CUSTHP34" localSheetId="1">#REF!</definedName>
    <definedName name="CUSTHP34">#REF!</definedName>
    <definedName name="CUSTHP35" localSheetId="0">#REF!</definedName>
    <definedName name="CUSTHP35" localSheetId="1">#REF!</definedName>
    <definedName name="CUSTHP35">#REF!</definedName>
    <definedName name="CUSTHP37" localSheetId="0">#REF!</definedName>
    <definedName name="CUSTHP37" localSheetId="1">#REF!</definedName>
    <definedName name="CUSTHP37">#REF!</definedName>
    <definedName name="CUSTHP38" localSheetId="0">#REF!</definedName>
    <definedName name="CUSTHP38" localSheetId="1">#REF!</definedName>
    <definedName name="CUSTHP38">#REF!</definedName>
    <definedName name="CUSTRES32" localSheetId="0">#REF!</definedName>
    <definedName name="CUSTRES32" localSheetId="1">#REF!</definedName>
    <definedName name="CUSTRES32">#REF!</definedName>
    <definedName name="CUSTRES34" localSheetId="0">#REF!</definedName>
    <definedName name="CUSTRES34" localSheetId="1">#REF!</definedName>
    <definedName name="CUSTRES34">#REF!</definedName>
    <definedName name="CUSTRES35" localSheetId="0">#REF!</definedName>
    <definedName name="CUSTRES35" localSheetId="1">#REF!</definedName>
    <definedName name="CUSTRES35">#REF!</definedName>
    <definedName name="CUSTRES37" localSheetId="0">#REF!</definedName>
    <definedName name="CUSTRES37" localSheetId="1">#REF!</definedName>
    <definedName name="CUSTRES37">#REF!</definedName>
    <definedName name="CUSTRES38" localSheetId="0">#REF!</definedName>
    <definedName name="CUSTRES38" localSheetId="1">#REF!</definedName>
    <definedName name="CUSTRES38">#REF!</definedName>
    <definedName name="CUSTRET16" localSheetId="0">#REF!</definedName>
    <definedName name="CUSTRET16" localSheetId="1">#REF!</definedName>
    <definedName name="CUSTRET16">#REF!</definedName>
    <definedName name="CUSTRET32" localSheetId="0">#REF!</definedName>
    <definedName name="CUSTRET32" localSheetId="1">#REF!</definedName>
    <definedName name="CUSTRET32">#REF!</definedName>
    <definedName name="CUSTRET34" localSheetId="0">#REF!</definedName>
    <definedName name="CUSTRET34" localSheetId="1">#REF!</definedName>
    <definedName name="CUSTRET34">#REF!</definedName>
    <definedName name="CUSTRET35" localSheetId="0">#REF!</definedName>
    <definedName name="CUSTRET35" localSheetId="1">#REF!</definedName>
    <definedName name="CUSTRET35">#REF!</definedName>
    <definedName name="CUSTRET37" localSheetId="0">#REF!</definedName>
    <definedName name="CUSTRET37" localSheetId="1">#REF!</definedName>
    <definedName name="CUSTRET37">#REF!</definedName>
    <definedName name="CUSTRET38" localSheetId="0">#REF!</definedName>
    <definedName name="CUSTRET38" localSheetId="1">#REF!</definedName>
    <definedName name="CUSTRET38">#REF!</definedName>
    <definedName name="CUSTRET43" localSheetId="0">#REF!</definedName>
    <definedName name="CUSTRET43" localSheetId="1">#REF!</definedName>
    <definedName name="CUSTRET43">#REF!</definedName>
    <definedName name="CUSTTRAN32" localSheetId="0">#REF!</definedName>
    <definedName name="CUSTTRAN32" localSheetId="1">#REF!</definedName>
    <definedName name="CUSTTRAN32">#REF!</definedName>
    <definedName name="CUSTTRAN34" localSheetId="0">#REF!</definedName>
    <definedName name="CUSTTRAN34" localSheetId="1">#REF!</definedName>
    <definedName name="CUSTTRAN34">#REF!</definedName>
    <definedName name="CUSTTRAN35" localSheetId="0">#REF!</definedName>
    <definedName name="CUSTTRAN35" localSheetId="1">#REF!</definedName>
    <definedName name="CUSTTRAN35">#REF!</definedName>
    <definedName name="CUSTTRAN37" localSheetId="0">#REF!</definedName>
    <definedName name="CUSTTRAN37" localSheetId="1">#REF!</definedName>
    <definedName name="CUSTTRAN37">#REF!</definedName>
    <definedName name="CUSTTRAN38" localSheetId="0">#REF!</definedName>
    <definedName name="CUSTTRAN38" localSheetId="1">#REF!</definedName>
    <definedName name="CUSTTRAN38">#REF!</definedName>
    <definedName name="CWC" localSheetId="0">'[6]Rev Def Sum'!#REF!</definedName>
    <definedName name="CWC" localSheetId="1">'[6]Rev Def Sum'!#REF!</definedName>
    <definedName name="CWC">'[6]Rev Def Sum'!#REF!</definedName>
    <definedName name="CWC_12_96" localSheetId="0">#REF!</definedName>
    <definedName name="CWC_12_96" localSheetId="1">#REF!</definedName>
    <definedName name="CWC_12_96">#REF!</definedName>
    <definedName name="CWC_12_97" localSheetId="0">#REF!</definedName>
    <definedName name="CWC_12_97" localSheetId="1">#REF!</definedName>
    <definedName name="CWC_12_97">#REF!</definedName>
    <definedName name="CWC_9_97" localSheetId="0">#REF!</definedName>
    <definedName name="CWC_9_97" localSheetId="1">#REF!</definedName>
    <definedName name="CWC_9_97">#REF!</definedName>
    <definedName name="D">{"'Server Configuration'!$A$1:$DB$281"}</definedName>
    <definedName name="D_1">{"'Server Configuration'!$A$1:$DB$281"}</definedName>
    <definedName name="D_2">{"'Server Configuration'!$A$1:$DB$281"}</definedName>
    <definedName name="da">{"'Server Configuration'!$A$1:$DB$281"}</definedName>
    <definedName name="da_1">{"'Server Configuration'!$A$1:$DB$281"}</definedName>
    <definedName name="dad" hidden="1">{"'Server Configuration'!$A$1:$DB$281"}</definedName>
    <definedName name="DATA2" localSheetId="0">#REF!</definedName>
    <definedName name="DATA2" localSheetId="1">#REF!</definedName>
    <definedName name="DATA2">#REF!</definedName>
    <definedName name="_xlnm.Database" localSheetId="0">#REF!</definedName>
    <definedName name="_xlnm.Database" localSheetId="1">#REF!</definedName>
    <definedName name="_xlnm.Database">#REF!</definedName>
    <definedName name="date">'[23]Operating Income Summary C-1'!$A$4</definedName>
    <definedName name="dateb">'[17]B-1 p.1 Summary (Base)'!$A$4</definedName>
    <definedName name="datef">'[17]B-1 p.2 Summary (Forecast)'!$A$4</definedName>
    <definedName name="DAVE" localSheetId="0">'[2]E-2'!#REF!</definedName>
    <definedName name="DAVE" localSheetId="1">'[2]E-2'!#REF!</definedName>
    <definedName name="DAVE">'[2]E-2'!#REF!</definedName>
    <definedName name="DC" localSheetId="0">[9]Sch2!#REF!</definedName>
    <definedName name="DC" localSheetId="1">[9]Sch2!#REF!</definedName>
    <definedName name="DC">[9]Sch2!#REF!</definedName>
    <definedName name="DEBT">[24]RORB!$B$2:$F$24</definedName>
    <definedName name="DEPPROD51" localSheetId="0">#REF!</definedName>
    <definedName name="DEPPROD51" localSheetId="1">#REF!</definedName>
    <definedName name="DEPPROD51">#REF!</definedName>
    <definedName name="DEPR" localSheetId="0">#REF!</definedName>
    <definedName name="DEPR" localSheetId="1">#REF!</definedName>
    <definedName name="DEPR">#REF!</definedName>
    <definedName name="DEPTOT11" localSheetId="0">#REF!</definedName>
    <definedName name="DEPTOT11" localSheetId="1">#REF!</definedName>
    <definedName name="DEPTOT11">#REF!</definedName>
    <definedName name="DEPTOT12" localSheetId="0">#REF!</definedName>
    <definedName name="DEPTOT12" localSheetId="1">#REF!</definedName>
    <definedName name="DEPTOT12">#REF!</definedName>
    <definedName name="DEPTOT14" localSheetId="0">#REF!</definedName>
    <definedName name="DEPTOT14" localSheetId="1">#REF!</definedName>
    <definedName name="DEPTOT14">#REF!</definedName>
    <definedName name="DEPTOT15" localSheetId="0">#REF!</definedName>
    <definedName name="DEPTOT15" localSheetId="1">#REF!</definedName>
    <definedName name="DEPTOT15">#REF!</definedName>
    <definedName name="DEPTOT16" localSheetId="0">#REF!</definedName>
    <definedName name="DEPTOT16" localSheetId="1">#REF!</definedName>
    <definedName name="DEPTOT16">#REF!</definedName>
    <definedName name="DEPTOT17" localSheetId="0">#REF!</definedName>
    <definedName name="DEPTOT17" localSheetId="1">#REF!</definedName>
    <definedName name="DEPTOT17">#REF!</definedName>
    <definedName name="DEPTOT18" localSheetId="0">#REF!</definedName>
    <definedName name="DEPTOT18" localSheetId="1">#REF!</definedName>
    <definedName name="DEPTOT18">#REF!</definedName>
    <definedName name="DEPTOT20" localSheetId="0">#REF!</definedName>
    <definedName name="DEPTOT20" localSheetId="1">#REF!</definedName>
    <definedName name="DEPTOT20">#REF!</definedName>
    <definedName name="DEPTOT22" localSheetId="0">#REF!</definedName>
    <definedName name="DEPTOT22" localSheetId="1">#REF!</definedName>
    <definedName name="DEPTOT22">#REF!</definedName>
    <definedName name="DEPTOT32" localSheetId="0">#REF!</definedName>
    <definedName name="DEPTOT32" localSheetId="1">#REF!</definedName>
    <definedName name="DEPTOT32">#REF!</definedName>
    <definedName name="DEPTOT34" localSheetId="0">#REF!</definedName>
    <definedName name="DEPTOT34" localSheetId="1">#REF!</definedName>
    <definedName name="DEPTOT34">#REF!</definedName>
    <definedName name="DEPTOT35" localSheetId="0">#REF!</definedName>
    <definedName name="DEPTOT35" localSheetId="1">#REF!</definedName>
    <definedName name="DEPTOT35">#REF!</definedName>
    <definedName name="DEPTOT37" localSheetId="0">#REF!</definedName>
    <definedName name="DEPTOT37" localSheetId="1">#REF!</definedName>
    <definedName name="DEPTOT37">#REF!</definedName>
    <definedName name="DEPTOT38" localSheetId="0">#REF!</definedName>
    <definedName name="DEPTOT38" localSheetId="1">#REF!</definedName>
    <definedName name="DEPTOT38">#REF!</definedName>
    <definedName name="DEPTOT45" localSheetId="0">#REF!</definedName>
    <definedName name="DEPTOT45" localSheetId="1">#REF!</definedName>
    <definedName name="DEPTOT45">#REF!</definedName>
    <definedName name="DEPTOT48" localSheetId="0">#REF!</definedName>
    <definedName name="DEPTOT48" localSheetId="1">#REF!</definedName>
    <definedName name="DEPTOT48">#REF!</definedName>
    <definedName name="DEPTOT51" localSheetId="0">#REF!</definedName>
    <definedName name="DEPTOT51" localSheetId="1">#REF!</definedName>
    <definedName name="DEPTOT51">#REF!</definedName>
    <definedName name="DEPTOT52" localSheetId="0">#REF!</definedName>
    <definedName name="DEPTOT52" localSheetId="1">#REF!</definedName>
    <definedName name="DEPTOT52">#REF!</definedName>
    <definedName name="DEPTOT53" localSheetId="0">#REF!</definedName>
    <definedName name="DEPTOT53" localSheetId="1">#REF!</definedName>
    <definedName name="DEPTOT53">#REF!</definedName>
    <definedName name="DIRBIL11" localSheetId="0">#REF!</definedName>
    <definedName name="DIRBIL11" localSheetId="1">#REF!</definedName>
    <definedName name="DIRBIL11">#REF!</definedName>
    <definedName name="DIRBIL14" localSheetId="0">#REF!</definedName>
    <definedName name="DIRBIL14" localSheetId="1">#REF!</definedName>
    <definedName name="DIRBIL14">#REF!</definedName>
    <definedName name="DIRBIL15" localSheetId="0">#REF!</definedName>
    <definedName name="DIRBIL15" localSheetId="1">#REF!</definedName>
    <definedName name="DIRBIL15">#REF!</definedName>
    <definedName name="DIRBIL16" localSheetId="0">#REF!</definedName>
    <definedName name="DIRBIL16" localSheetId="1">#REF!</definedName>
    <definedName name="DIRBIL16">#REF!</definedName>
    <definedName name="DIRBIL17" localSheetId="0">#REF!</definedName>
    <definedName name="DIRBIL17" localSheetId="1">#REF!</definedName>
    <definedName name="DIRBIL17">#REF!</definedName>
    <definedName name="DIRBIL18" localSheetId="0">#REF!</definedName>
    <definedName name="DIRBIL18" localSheetId="1">#REF!</definedName>
    <definedName name="DIRBIL18">#REF!</definedName>
    <definedName name="DIRBIL20" localSheetId="0">#REF!</definedName>
    <definedName name="DIRBIL20" localSheetId="1">#REF!</definedName>
    <definedName name="DIRBIL20">#REF!</definedName>
    <definedName name="DIRBIL22" localSheetId="0">#REF!</definedName>
    <definedName name="DIRBIL22" localSheetId="1">#REF!</definedName>
    <definedName name="DIRBIL22">#REF!</definedName>
    <definedName name="DIRBIL32" localSheetId="0">#REF!</definedName>
    <definedName name="DIRBIL32" localSheetId="1">#REF!</definedName>
    <definedName name="DIRBIL32">#REF!</definedName>
    <definedName name="DIRBIL34" localSheetId="0">#REF!</definedName>
    <definedName name="DIRBIL34" localSheetId="1">#REF!</definedName>
    <definedName name="DIRBIL34">#REF!</definedName>
    <definedName name="DIRBIL35" localSheetId="0">#REF!</definedName>
    <definedName name="DIRBIL35" localSheetId="1">#REF!</definedName>
    <definedName name="DIRBIL35">#REF!</definedName>
    <definedName name="DIRBIL37" localSheetId="0">#REF!</definedName>
    <definedName name="DIRBIL37" localSheetId="1">#REF!</definedName>
    <definedName name="DIRBIL37">#REF!</definedName>
    <definedName name="DIRBIL38" localSheetId="0">#REF!</definedName>
    <definedName name="DIRBIL38" localSheetId="1">#REF!</definedName>
    <definedName name="DIRBIL38">#REF!</definedName>
    <definedName name="DIRBIL43" localSheetId="0">#REF!</definedName>
    <definedName name="DIRBIL43" localSheetId="1">#REF!</definedName>
    <definedName name="DIRBIL43">#REF!</definedName>
    <definedName name="DIRBIL45" localSheetId="0">#REF!</definedName>
    <definedName name="DIRBIL45" localSheetId="1">#REF!</definedName>
    <definedName name="DIRBIL45">#REF!</definedName>
    <definedName name="DIRBIL48" localSheetId="0">#REF!</definedName>
    <definedName name="DIRBIL48" localSheetId="1">#REF!</definedName>
    <definedName name="DIRBIL48">#REF!</definedName>
    <definedName name="DIRBIL51" localSheetId="0">#REF!</definedName>
    <definedName name="DIRBIL51" localSheetId="1">#REF!</definedName>
    <definedName name="DIRBIL51">#REF!</definedName>
    <definedName name="DIRBIL52" localSheetId="0">#REF!</definedName>
    <definedName name="DIRBIL52" localSheetId="1">#REF!</definedName>
    <definedName name="DIRBIL52">#REF!</definedName>
    <definedName name="DIRBIL53" localSheetId="0">#REF!</definedName>
    <definedName name="DIRBIL53" localSheetId="1">#REF!</definedName>
    <definedName name="DIRBIL53">#REF!</definedName>
    <definedName name="DISTINC" localSheetId="0">#REF!</definedName>
    <definedName name="DISTINC" localSheetId="1">#REF!</definedName>
    <definedName name="DISTINC">#REF!</definedName>
    <definedName name="E_factor_amt">[8]Inputs!$B$32</definedName>
    <definedName name="EA">[8]Inputs!$B$8</definedName>
    <definedName name="EGC">[16]Input!$C$11</definedName>
    <definedName name="EGCDATE">[16]Input!$C$14</definedName>
    <definedName name="ENDrate">'[15]END FXrates'!$B$4:$F$46</definedName>
    <definedName name="Enrolled">[8]Inputs!$B$5</definedName>
    <definedName name="EQUITY">[24]RORB!$A$25:$G$49</definedName>
    <definedName name="Est_Enrollment">[8]Inputs!$B$17</definedName>
    <definedName name="EX3_SHT1" localSheetId="0">#REF!</definedName>
    <definedName name="EX3_SHT1" localSheetId="1">#REF!</definedName>
    <definedName name="EX3_SHT1">#REF!</definedName>
    <definedName name="EX3_SHT2" localSheetId="0">#REF!</definedName>
    <definedName name="EX3_SHT2" localSheetId="1">#REF!</definedName>
    <definedName name="EX3_SHT2">#REF!</definedName>
    <definedName name="EXPDIST32" localSheetId="0">#REF!</definedName>
    <definedName name="EXPDIST32" localSheetId="1">#REF!</definedName>
    <definedName name="EXPDIST32">#REF!</definedName>
    <definedName name="EXPDIST34" localSheetId="0">#REF!</definedName>
    <definedName name="EXPDIST34" localSheetId="1">#REF!</definedName>
    <definedName name="EXPDIST34">#REF!</definedName>
    <definedName name="EXPDIST35" localSheetId="0">#REF!</definedName>
    <definedName name="EXPDIST35" localSheetId="1">#REF!</definedName>
    <definedName name="EXPDIST35">#REF!</definedName>
    <definedName name="EXPDIST37" localSheetId="0">#REF!</definedName>
    <definedName name="EXPDIST37" localSheetId="1">#REF!</definedName>
    <definedName name="EXPDIST37">#REF!</definedName>
    <definedName name="EXPDIST38" localSheetId="0">#REF!</definedName>
    <definedName name="EXPDIST38" localSheetId="1">#REF!</definedName>
    <definedName name="EXPDIST38">#REF!</definedName>
    <definedName name="EXPENSES" localSheetId="0">#REF!</definedName>
    <definedName name="EXPENSES" localSheetId="1">#REF!</definedName>
    <definedName name="EXPENSES">#REF!</definedName>
    <definedName name="EXPFACTOR" localSheetId="0">#REF!</definedName>
    <definedName name="EXPFACTOR" localSheetId="1">#REF!</definedName>
    <definedName name="EXPFACTOR">#REF!</definedName>
    <definedName name="EXPPROD51" localSheetId="0">#REF!</definedName>
    <definedName name="EXPPROD51" localSheetId="1">#REF!</definedName>
    <definedName name="EXPPROD51">#REF!</definedName>
    <definedName name="EXPTOT11" localSheetId="0">#REF!</definedName>
    <definedName name="EXPTOT11" localSheetId="1">#REF!</definedName>
    <definedName name="EXPTOT11">#REF!</definedName>
    <definedName name="EXPTOT12" localSheetId="0">#REF!</definedName>
    <definedName name="EXPTOT12" localSheetId="1">#REF!</definedName>
    <definedName name="EXPTOT12">#REF!</definedName>
    <definedName name="EXPTOT14" localSheetId="0">#REF!</definedName>
    <definedName name="EXPTOT14" localSheetId="1">#REF!</definedName>
    <definedName name="EXPTOT14">#REF!</definedName>
    <definedName name="EXPTOT15" localSheetId="0">#REF!</definedName>
    <definedName name="EXPTOT15" localSheetId="1">#REF!</definedName>
    <definedName name="EXPTOT15">#REF!</definedName>
    <definedName name="EXPTOT16" localSheetId="0">#REF!</definedName>
    <definedName name="EXPTOT16" localSheetId="1">#REF!</definedName>
    <definedName name="EXPTOT16">#REF!</definedName>
    <definedName name="EXPTOT17" localSheetId="0">#REF!</definedName>
    <definedName name="EXPTOT17" localSheetId="1">#REF!</definedName>
    <definedName name="EXPTOT17">#REF!</definedName>
    <definedName name="EXPTOT18" localSheetId="0">#REF!</definedName>
    <definedName name="EXPTOT18" localSheetId="1">#REF!</definedName>
    <definedName name="EXPTOT18">#REF!</definedName>
    <definedName name="EXPTOT20" localSheetId="0">#REF!</definedName>
    <definedName name="EXPTOT20" localSheetId="1">#REF!</definedName>
    <definedName name="EXPTOT20">#REF!</definedName>
    <definedName name="EXPTOT22" localSheetId="0">#REF!</definedName>
    <definedName name="EXPTOT22" localSheetId="1">#REF!</definedName>
    <definedName name="EXPTOT22">#REF!</definedName>
    <definedName name="EXPTOT32" localSheetId="0">#REF!</definedName>
    <definedName name="EXPTOT32" localSheetId="1">#REF!</definedName>
    <definedName name="EXPTOT32">#REF!</definedName>
    <definedName name="EXPTOT34" localSheetId="0">#REF!</definedName>
    <definedName name="EXPTOT34" localSheetId="1">#REF!</definedName>
    <definedName name="EXPTOT34">#REF!</definedName>
    <definedName name="EXPTOT35" localSheetId="0">#REF!</definedName>
    <definedName name="EXPTOT35" localSheetId="1">#REF!</definedName>
    <definedName name="EXPTOT35">#REF!</definedName>
    <definedName name="EXPTOT37" localSheetId="0">#REF!</definedName>
    <definedName name="EXPTOT37" localSheetId="1">#REF!</definedName>
    <definedName name="EXPTOT37">#REF!</definedName>
    <definedName name="EXPTOT38" localSheetId="0">#REF!</definedName>
    <definedName name="EXPTOT38" localSheetId="1">#REF!</definedName>
    <definedName name="EXPTOT38">#REF!</definedName>
    <definedName name="EXPTOT45" localSheetId="0">#REF!</definedName>
    <definedName name="EXPTOT45" localSheetId="1">#REF!</definedName>
    <definedName name="EXPTOT45">#REF!</definedName>
    <definedName name="EXPTOT48" localSheetId="0">#REF!</definedName>
    <definedName name="EXPTOT48" localSheetId="1">#REF!</definedName>
    <definedName name="EXPTOT48">#REF!</definedName>
    <definedName name="EXPTOT51" localSheetId="0">#REF!</definedName>
    <definedName name="EXPTOT51" localSheetId="1">#REF!</definedName>
    <definedName name="EXPTOT51">#REF!</definedName>
    <definedName name="EXPTOT52" localSheetId="0">#REF!</definedName>
    <definedName name="EXPTOT52" localSheetId="1">#REF!</definedName>
    <definedName name="EXPTOT52">#REF!</definedName>
    <definedName name="EXPTOT53" localSheetId="0">#REF!</definedName>
    <definedName name="EXPTOT53" localSheetId="1">#REF!</definedName>
    <definedName name="EXPTOT53">#REF!</definedName>
    <definedName name="EXPTRAN14" localSheetId="0">#REF!</definedName>
    <definedName name="EXPTRAN14" localSheetId="1">#REF!</definedName>
    <definedName name="EXPTRAN14">#REF!</definedName>
    <definedName name="EXPTRAN51" localSheetId="0">#REF!</definedName>
    <definedName name="EXPTRAN51" localSheetId="1">#REF!</definedName>
    <definedName name="EXPTRAN51">#REF!</definedName>
    <definedName name="FADIST32" localSheetId="0">#REF!</definedName>
    <definedName name="FADIST32" localSheetId="1">#REF!</definedName>
    <definedName name="FADIST32">#REF!</definedName>
    <definedName name="FADIST34" localSheetId="0">#REF!</definedName>
    <definedName name="FADIST34" localSheetId="1">#REF!</definedName>
    <definedName name="FADIST34">#REF!</definedName>
    <definedName name="FADIST35" localSheetId="0">#REF!</definedName>
    <definedName name="FADIST35" localSheetId="1">#REF!</definedName>
    <definedName name="FADIST35">#REF!</definedName>
    <definedName name="FADIST37" localSheetId="0">#REF!</definedName>
    <definedName name="FADIST37" localSheetId="1">#REF!</definedName>
    <definedName name="FADIST37">#REF!</definedName>
    <definedName name="FADIST38" localSheetId="0">#REF!</definedName>
    <definedName name="FADIST38" localSheetId="1">#REF!</definedName>
    <definedName name="FADIST38">#REF!</definedName>
    <definedName name="FADSIT37" localSheetId="0">#REF!</definedName>
    <definedName name="FADSIT37" localSheetId="1">#REF!</definedName>
    <definedName name="FADSIT37">#REF!</definedName>
    <definedName name="FAPROD51" localSheetId="0">#REF!</definedName>
    <definedName name="FAPROD51" localSheetId="1">#REF!</definedName>
    <definedName name="FAPROD51">#REF!</definedName>
    <definedName name="FATOT11" localSheetId="0">#REF!</definedName>
    <definedName name="FATOT11" localSheetId="1">#REF!</definedName>
    <definedName name="FATOT11">#REF!</definedName>
    <definedName name="FATOT12" localSheetId="0">#REF!</definedName>
    <definedName name="FATOT12" localSheetId="1">#REF!</definedName>
    <definedName name="FATOT12">#REF!</definedName>
    <definedName name="FATOT14" localSheetId="0">#REF!</definedName>
    <definedName name="FATOT14" localSheetId="1">#REF!</definedName>
    <definedName name="FATOT14">#REF!</definedName>
    <definedName name="FATOT15" localSheetId="0">#REF!</definedName>
    <definedName name="FATOT15" localSheetId="1">#REF!</definedName>
    <definedName name="FATOT15">#REF!</definedName>
    <definedName name="FATOT16" localSheetId="0">#REF!</definedName>
    <definedName name="FATOT16" localSheetId="1">#REF!</definedName>
    <definedName name="FATOT16">#REF!</definedName>
    <definedName name="FATOT17" localSheetId="0">#REF!</definedName>
    <definedName name="FATOT17" localSheetId="1">#REF!</definedName>
    <definedName name="FATOT17">#REF!</definedName>
    <definedName name="FATOT18" localSheetId="0">#REF!</definedName>
    <definedName name="FATOT18" localSheetId="1">#REF!</definedName>
    <definedName name="FATOT18">#REF!</definedName>
    <definedName name="FATOT20" localSheetId="0">#REF!</definedName>
    <definedName name="FATOT20" localSheetId="1">#REF!</definedName>
    <definedName name="FATOT20">#REF!</definedName>
    <definedName name="FATOT22" localSheetId="0">#REF!</definedName>
    <definedName name="FATOT22" localSheetId="1">#REF!</definedName>
    <definedName name="FATOT22">#REF!</definedName>
    <definedName name="FATOT32" localSheetId="0">#REF!</definedName>
    <definedName name="FATOT32" localSheetId="1">#REF!</definedName>
    <definedName name="FATOT32">#REF!</definedName>
    <definedName name="FATOT34" localSheetId="0">#REF!</definedName>
    <definedName name="FATOT34" localSheetId="1">#REF!</definedName>
    <definedName name="FATOT34">#REF!</definedName>
    <definedName name="FATOT35" localSheetId="0">#REF!</definedName>
    <definedName name="FATOT35" localSheetId="1">#REF!</definedName>
    <definedName name="FATOT35">#REF!</definedName>
    <definedName name="FATOT37" localSheetId="0">#REF!</definedName>
    <definedName name="FATOT37" localSheetId="1">#REF!</definedName>
    <definedName name="FATOT37">#REF!</definedName>
    <definedName name="FATOT38" localSheetId="0">#REF!</definedName>
    <definedName name="FATOT38" localSheetId="1">#REF!</definedName>
    <definedName name="FATOT38">#REF!</definedName>
    <definedName name="fatot45" localSheetId="0">#REF!</definedName>
    <definedName name="fatot45" localSheetId="1">#REF!</definedName>
    <definedName name="fatot45">#REF!</definedName>
    <definedName name="FATOT48" localSheetId="0">#REF!</definedName>
    <definedName name="FATOT48" localSheetId="1">#REF!</definedName>
    <definedName name="FATOT48">#REF!</definedName>
    <definedName name="FATOT51" localSheetId="0">#REF!</definedName>
    <definedName name="FATOT51" localSheetId="1">#REF!</definedName>
    <definedName name="FATOT51">#REF!</definedName>
    <definedName name="FATOT52" localSheetId="0">#REF!</definedName>
    <definedName name="FATOT52" localSheetId="1">#REF!</definedName>
    <definedName name="FATOT52">#REF!</definedName>
    <definedName name="FATOT53" localSheetId="0">#REF!</definedName>
    <definedName name="FATOT53" localSheetId="1">#REF!</definedName>
    <definedName name="FATOT53">#REF!</definedName>
    <definedName name="FATRAN14" localSheetId="0">#REF!</definedName>
    <definedName name="FATRAN14" localSheetId="1">#REF!</definedName>
    <definedName name="FATRAN14">#REF!</definedName>
    <definedName name="FATRAN51" localSheetId="0">#REF!</definedName>
    <definedName name="FATRAN51" localSheetId="1">#REF!</definedName>
    <definedName name="FATRAN51">#REF!</definedName>
    <definedName name="fbdate">'[18]Operating Income Summary C-1'!$A$4</definedName>
    <definedName name="FDATE">'[18]Oper Rev&amp;Exp by Accts C2.1B'!$A$4</definedName>
    <definedName name="FEDTAX" localSheetId="0">'[6]Rev Def Sum'!#REF!</definedName>
    <definedName name="FEDTAX" localSheetId="1">'[6]Rev Def Sum'!#REF!</definedName>
    <definedName name="FEDTAX">'[6]Rev Def Sum'!#REF!</definedName>
    <definedName name="FICA">[25]Sheet1!$A$2:$R$48</definedName>
    <definedName name="FICA_CALULATION" localSheetId="0">#REF!</definedName>
    <definedName name="FICA_CALULATION" localSheetId="1">#REF!</definedName>
    <definedName name="FICA_CALULATION">#REF!</definedName>
    <definedName name="FICA_FIC_TAX_MO" localSheetId="0">#REF!</definedName>
    <definedName name="FICA_FIC_TAX_MO" localSheetId="1">#REF!</definedName>
    <definedName name="FICA_FIC_TAX_MO">#REF!</definedName>
    <definedName name="FICA_FIT_TAX_BW" localSheetId="0">#REF!</definedName>
    <definedName name="FICA_FIT_TAX_BW" localSheetId="1">#REF!</definedName>
    <definedName name="FICA_FIT_TAX_BW">#REF!</definedName>
    <definedName name="FindRef">OFFSET('[12]% Invoice'!$A$1,0,0,COUNTA('[12]% Invoice'!$A$1:$A$65536),1)</definedName>
    <definedName name="forecast">'[17]Index A'!$C$18</definedName>
    <definedName name="FOREM_S" localSheetId="0">#REF!</definedName>
    <definedName name="FOREM_S" localSheetId="1">#REF!</definedName>
    <definedName name="FOREM_S">#REF!</definedName>
    <definedName name="FORESTORE" localSheetId="0">#REF!</definedName>
    <definedName name="FORESTORE" localSheetId="1">#REF!</definedName>
    <definedName name="FORESTORE">#REF!</definedName>
    <definedName name="FORESUM" localSheetId="0">#REF!</definedName>
    <definedName name="FORESUM" localSheetId="1">#REF!</definedName>
    <definedName name="FORESUM">#REF!</definedName>
    <definedName name="FTLEE" localSheetId="0">#REF!</definedName>
    <definedName name="FTLEE" localSheetId="1">#REF!</definedName>
    <definedName name="FTLEE">#REF!</definedName>
    <definedName name="FTY" localSheetId="0">#REF!</definedName>
    <definedName name="FTY" localSheetId="1">#REF!</definedName>
    <definedName name="FTY">#REF!</definedName>
    <definedName name="FUELCOST" localSheetId="0">#REF!</definedName>
    <definedName name="FUELCOST" localSheetId="1">#REF!</definedName>
    <definedName name="FUELCOST">#REF!</definedName>
    <definedName name="FY" localSheetId="0">[9]Sch2!#REF!</definedName>
    <definedName name="FY" localSheetId="1">[9]Sch2!#REF!</definedName>
    <definedName name="FY">[9]Sch2!#REF!</definedName>
    <definedName name="FYDESC" localSheetId="0">#REF!</definedName>
    <definedName name="FYDESC" localSheetId="1">#REF!</definedName>
    <definedName name="FYDESC">#REF!</definedName>
    <definedName name="GARY" localSheetId="0">#REF!</definedName>
    <definedName name="GARY" localSheetId="1">#REF!</definedName>
    <definedName name="GARY">#REF!</definedName>
    <definedName name="GAS_PURCH_SORT" localSheetId="0">#REF!</definedName>
    <definedName name="GAS_PURCH_SORT" localSheetId="1">#REF!</definedName>
    <definedName name="GAS_PURCH_SORT">#REF!</definedName>
    <definedName name="GASCOST" localSheetId="0">#REF!</definedName>
    <definedName name="GASCOST" localSheetId="1">#REF!</definedName>
    <definedName name="GASCOST">#REF!</definedName>
    <definedName name="GASNOTE" localSheetId="0">#REF!</definedName>
    <definedName name="GASNOTE" localSheetId="1">#REF!</definedName>
    <definedName name="GASNOTE">#REF!</definedName>
    <definedName name="Grade">[20]Assumptions!$J$8:$J$21</definedName>
    <definedName name="GROSS_WAGES" localSheetId="0">#REF!</definedName>
    <definedName name="GROSS_WAGES" localSheetId="1">#REF!</definedName>
    <definedName name="GROSS_WAGES">#REF!</definedName>
    <definedName name="header" localSheetId="0">#REF!</definedName>
    <definedName name="header" localSheetId="1">#REF!</definedName>
    <definedName name="header">#REF!</definedName>
    <definedName name="HIS_AVG_RT_BASE" localSheetId="0">#REF!</definedName>
    <definedName name="HIS_AVG_RT_BASE" localSheetId="1">#REF!</definedName>
    <definedName name="HIS_AVG_RT_BASE">#REF!</definedName>
    <definedName name="HoursPerDay">7.5</definedName>
    <definedName name="ht" hidden="1">{"'Server Configuration'!$A$1:$DB$281"}</definedName>
    <definedName name="ht_1" hidden="1">{"'Server Configuration'!$A$1:$DB$281"}</definedName>
    <definedName name="HTML_CodePage" hidden="1">1252</definedName>
    <definedName name="HTML_Control" hidden="1">{"'Server Configuration'!$A$1:$DB$281"}</definedName>
    <definedName name="HTML_Control_1" hidden="1">{"'Server Configuration'!$A$1:$DB$281"}</definedName>
    <definedName name="HTML_Control_2" hidden="1">{"'Server Configuration'!$A$1:$DB$281"}</definedName>
    <definedName name="HTML_Description" hidden="1">""</definedName>
    <definedName name="HTML_Email" hidden="1">""</definedName>
    <definedName name="HTML_Header" hidden="1">"Server Configuration"</definedName>
    <definedName name="HTML_LastUpdate" hidden="1">"2/9/01"</definedName>
    <definedName name="HTML_LineAfter" hidden="1">FALSE</definedName>
    <definedName name="HTML_LineBefore" hidden="1">FALSE</definedName>
    <definedName name="HTML_Name" hidden="1">"Corporate Network Services"</definedName>
    <definedName name="HTML_OBDlg2" hidden="1">TRUE</definedName>
    <definedName name="HTML_OBDlg4" hidden="1">TRUE</definedName>
    <definedName name="HTML_OS" hidden="1">0</definedName>
    <definedName name="HTML_PathFile" hidden="1">"C:\WINNT\Profiles\E003999\Desktop\MyHTML.htm"</definedName>
    <definedName name="HTML_Title" hidden="1">"Asset Tracking 2_9_01"</definedName>
    <definedName name="Ibaselineunits">'[19]L Graph (Data)'!$A$71:$DS$84</definedName>
    <definedName name="IBM">{"'Server Configuration'!$A$1:$DB$281"}</definedName>
    <definedName name="IC">{"'Server Configuration'!$A$1:$DB$281"}</definedName>
    <definedName name="IMFILE" localSheetId="0">#REF!</definedName>
    <definedName name="IMFILE" localSheetId="1">#REF!</definedName>
    <definedName name="IMFILE">#REF!</definedName>
    <definedName name="INCTAX" localSheetId="0">'[6]Rev Def Sum'!#REF!</definedName>
    <definedName name="INCTAX" localSheetId="1">'[6]Rev Def Sum'!#REF!</definedName>
    <definedName name="INCTAX">'[6]Rev Def Sum'!#REF!</definedName>
    <definedName name="INCTAX2" localSheetId="0">'[6]Rev Def Sum'!#REF!</definedName>
    <definedName name="INCTAX2" localSheetId="1">'[6]Rev Def Sum'!#REF!</definedName>
    <definedName name="INCTAX2">'[6]Rev Def Sum'!#REF!</definedName>
    <definedName name="INDADD" localSheetId="0">#REF!</definedName>
    <definedName name="INDADD" localSheetId="1">#REF!</definedName>
    <definedName name="INDADD">#REF!</definedName>
    <definedName name="INPUT" localSheetId="0">#REF!</definedName>
    <definedName name="INPUT" localSheetId="1">#REF!</definedName>
    <definedName name="INPUT">#REF!</definedName>
    <definedName name="Inputbase" localSheetId="0">'[10]A (Input) Inv MO Service Charge'!#REF!</definedName>
    <definedName name="Inputbase" localSheetId="1">'[10]A (Input) Inv MO Service Charge'!#REF!</definedName>
    <definedName name="Inputbase">'[10]A (Input) Inv MO Service Charge'!#REF!</definedName>
    <definedName name="INTCO" localSheetId="0">#REF!</definedName>
    <definedName name="INTCO" localSheetId="1">#REF!</definedName>
    <definedName name="INTCO">#REF!</definedName>
    <definedName name="INTEREST_WKST" localSheetId="0">#REF!</definedName>
    <definedName name="INTEREST_WKST" localSheetId="1">#REF!</definedName>
    <definedName name="INTEREST_WKST">#REF!</definedName>
    <definedName name="IQ_ACCOUNT_CHANGE">"c1449"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GROWTH">"c1924"</definedName>
    <definedName name="IQ_ACCT_RECV_1YR_ANN_GROWTH">"c1919"</definedName>
    <definedName name="IQ_ACCT_RECV_2YR_ANN_GROWTH">"c1920"</definedName>
    <definedName name="IQ_ACCT_RECV_3YR_ANN_GROWTH">"c1921"</definedName>
    <definedName name="IQ_ACCT_RECV_5YR_ANN_GROWTH">"c1922"</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DIN">"AUTO"</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GROWTH">"c18"</definedName>
    <definedName name="IQ_ALLOWANCE_1YR_ANN_GROWTH">"c19"</definedName>
    <definedName name="IQ_ALLOWANCE_2YR_ANN_GROWTH">"c20"</definedName>
    <definedName name="IQ_ALLOWANCE_3YR_ANN_GROWTH">"c21"</definedName>
    <definedName name="IQ_ALLOWANCE_5YR_ANN_GROWTH">"c22"</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MT_OUT">"c2145"</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IT">"c37"</definedName>
    <definedName name="IQ_AP_UTI">"c38"</definedName>
    <definedName name="IQ_APIC">"c39"</definedName>
    <definedName name="IQ_AR">"c40"</definedName>
    <definedName name="IQ_AR_BR">"c41"</definedName>
    <definedName name="IQ_AR_LT">"c42"</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IT">"c56"</definedName>
    <definedName name="IQ_ASSET_WRITEDOWN_CF_UTI">"c57"</definedName>
    <definedName name="IQ_ASSET_WRITEDOWN_FIN">"c58"</definedName>
    <definedName name="IQ_ASSET_WRITEDOWN_INS">"c59"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BROKER_REC_NO_REUT">"c5315"</definedName>
    <definedName name="IQ_AVG_BROKER_REC_REUT">"c3630"</definedName>
    <definedName name="IQ_AVG_DAILY_VOL">"c65"</definedName>
    <definedName name="IQ_AVG_INDUSTRY_REC">"c4455"</definedName>
    <definedName name="IQ_AVG_INT_BEAR_LIAB">"c66"</definedName>
    <definedName name="IQ_AVG_INT_BEAR_LIAB_10YR_ANN_GROWTH">"c67"</definedName>
    <definedName name="IQ_AVG_INT_BEAR_LIAB_1YR_ANN_GROWTH">"c68"</definedName>
    <definedName name="IQ_AVG_INT_BEAR_LIAB_2YR_ANN_GROWTH">"c69"</definedName>
    <definedName name="IQ_AVG_INT_BEAR_LIAB_3YR_ANN_GROWTH">"c70"</definedName>
    <definedName name="IQ_AVG_INT_BEAR_LIAB_5YR_ANN_GROWTH">"c71"</definedName>
    <definedName name="IQ_AVG_INT_BEAR_LIAB_7YR_ANN_GROWTH">"c72"</definedName>
    <definedName name="IQ_AVG_INT_EARN_ASSETS">"c73"</definedName>
    <definedName name="IQ_AVG_INT_EARN_ASSETS_10YR_ANN_GROWTH">"c74"</definedName>
    <definedName name="IQ_AVG_INT_EARN_ASSETS_1YR_ANN_GROWTH">"c75"</definedName>
    <definedName name="IQ_AVG_INT_EARN_ASSETS_2YR_ANN_GROWTH">"c76"</definedName>
    <definedName name="IQ_AVG_INT_EARN_ASSETS_3YR_ANN_GROWTH">"c77"</definedName>
    <definedName name="IQ_AVG_INT_EARN_ASSETS_5YR_ANN_GROWTH">"c78"</definedName>
    <definedName name="IQ_AVG_INT_EARN_ASSETS_7YR_ANN_GROWTH">"c79"</definedName>
    <definedName name="IQ_AVG_MKTCAP">"c80"</definedName>
    <definedName name="IQ_AVG_PRICE">"c81"</definedName>
    <definedName name="IQ_AVG_SHAREOUTSTANDING">"c83"</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WEIGHT">"c87"</definedName>
    <definedName name="IQ_BENCHMARK_SECURITY">"c2154"</definedName>
    <definedName name="IQ_BENCHMARK_SPRD">"c2153"</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OND_COUPON">"c2183"</definedName>
    <definedName name="IQ_BOND_COUPON_TYPE">"c2184"</definedName>
    <definedName name="IQ_BOND_PRICE">"c2162"</definedName>
    <definedName name="IQ_BROK_COMISSION">"c98"</definedName>
    <definedName name="IQ_BROK_COMMISSION">"c3514"</definedName>
    <definedName name="IQ_BUILDINGS">"c99"</definedName>
    <definedName name="IQ_BUS_SEG_ASSETS">"c4067"</definedName>
    <definedName name="IQ_BUS_SEG_ASSETS_ABS">"c4089"</definedName>
    <definedName name="IQ_BUS_SEG_ASSETS_TOTAL">"c4112"</definedName>
    <definedName name="IQ_BUS_SEG_CAPEX">"c4079"</definedName>
    <definedName name="IQ_BUS_SEG_CAPEX_ABS">"c4101"</definedName>
    <definedName name="IQ_BUS_SEG_CAPEX_TOTAL">"c4116"</definedName>
    <definedName name="IQ_BUS_SEG_DA">"c4078"</definedName>
    <definedName name="IQ_BUS_SEG_DA_ABS">"c4100"</definedName>
    <definedName name="IQ_BUS_SEG_DA_TOTAL">"c4115"</definedName>
    <definedName name="IQ_BUS_SEG_EARNINGS_OP">"c4063"</definedName>
    <definedName name="IQ_BUS_SEG_EARNINGS_OP_ABS">"c4085"</definedName>
    <definedName name="IQ_BUS_SEG_EARNINGS_OP_TOTAL">"c4108"</definedName>
    <definedName name="IQ_BUS_SEG_EBT">"c4064"</definedName>
    <definedName name="IQ_BUS_SEG_EBT_ABS">"c4086"</definedName>
    <definedName name="IQ_BUS_SEG_EBT_TOTAL">"c4110"</definedName>
    <definedName name="IQ_BUS_SEG_GP">"c4066"</definedName>
    <definedName name="IQ_BUS_SEG_GP_ABS">"c4088"</definedName>
    <definedName name="IQ_BUS_SEG_GP_TOTAL">"c4109"</definedName>
    <definedName name="IQ_BUS_SEG_INC_TAX">"c4077"</definedName>
    <definedName name="IQ_BUS_SEG_INC_TAX_ABS">"c4099"</definedName>
    <definedName name="IQ_BUS_SEG_INC_TAX_TOTAL">"c4114"</definedName>
    <definedName name="IQ_BUS_SEG_INTEREST_EXP">"c4076"</definedName>
    <definedName name="IQ_BUS_SEG_INTEREST_EXP_ABS">"c4098"</definedName>
    <definedName name="IQ_BUS_SEG_INTEREST_EXP_TOTAL">"c4113"</definedName>
    <definedName name="IQ_BUS_SEG_NAME">"c5482"</definedName>
    <definedName name="IQ_BUS_SEG_NAME_ABS">"c5483"</definedName>
    <definedName name="IQ_BUS_SEG_NI">"c4065"</definedName>
    <definedName name="IQ_BUS_SEG_NI_ABS">"c4087"</definedName>
    <definedName name="IQ_BUS_SEG_NI_TOTAL">"c4111"</definedName>
    <definedName name="IQ_BUS_SEG_OPER_INC">"c4062"</definedName>
    <definedName name="IQ_BUS_SEG_OPER_INC_ABS">"c4084"</definedName>
    <definedName name="IQ_BUS_SEG_OPER_INC_TOTAL">"c4107"</definedName>
    <definedName name="IQ_BUS_SEG_REV">"c4068"</definedName>
    <definedName name="IQ_BUS_SEG_REV_ABS">"c4090"</definedName>
    <definedName name="IQ_BUS_SEG_REV_TOTAL">"c4106"</definedName>
    <definedName name="IQ_BUSINESS_DESCRIPTION">"c322"</definedName>
    <definedName name="IQ_BV_OVER_SHARES">"c1349"</definedName>
    <definedName name="IQ_BV_SHARE">"c100"</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LC_TYPE_BS">"c3086"</definedName>
    <definedName name="IQ_CALC_TYPE_CF">"c3085"</definedName>
    <definedName name="IQ_CALC_TYPE_IS">"c3084"</definedName>
    <definedName name="IQ_CALL_DATE_SCHEDULE">"c2481"</definedName>
    <definedName name="IQ_CALL_FEATURE">"c2197"</definedName>
    <definedName name="IQ_CALL_PRICE_SCHEDULE">"c2482"</definedName>
    <definedName name="IQ_CALLABLE">"c2196"</definedName>
    <definedName name="IQ_CAP_LOSS_CF_1YR">"c3474"</definedName>
    <definedName name="IQ_CAP_LOSS_CF_2YR">"c3475"</definedName>
    <definedName name="IQ_CAP_LOSS_CF_3YR">"c3476"</definedName>
    <definedName name="IQ_CAP_LOSS_CF_4YR">"c3477"</definedName>
    <definedName name="IQ_CAP_LOSS_CF_5YR">"c3478"</definedName>
    <definedName name="IQ_CAP_LOSS_CF_AFTER_FIVE">"c3479"</definedName>
    <definedName name="IQ_CAP_LOSS_CF_MAX_YEAR">"c3482"</definedName>
    <definedName name="IQ_CAP_LOSS_CF_NO_EXP">"c3480"</definedName>
    <definedName name="IQ_CAP_LOSS_CF_TOTAL">"c3481"</definedName>
    <definedName name="IQ_CAPEX">"c103"</definedName>
    <definedName name="IQ_CAPEX_10YR_ANN_GROWTH">"c104"</definedName>
    <definedName name="IQ_CAPEX_1YR_ANN_GROWTH">"c105"</definedName>
    <definedName name="IQ_CAPEX_2YR_ANN_GROWTH">"c106"</definedName>
    <definedName name="IQ_CAPEX_3YR_ANN_GROWTH">"c107"</definedName>
    <definedName name="IQ_CAPEX_5YR_ANN_GROWTH">"c108"</definedName>
    <definedName name="IQ_CAPEX_7YR_ANN_GROWTH">"c109"</definedName>
    <definedName name="IQ_CAPEX_BNK">"c110"</definedName>
    <definedName name="IQ_CAPEX_BR">"c111"</definedName>
    <definedName name="IQ_CAPEX_FIN">"c112"</definedName>
    <definedName name="IQ_CAPEX_INS">"c113"</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"c3460"</definedName>
    <definedName name="IQ_CAPITALIZED_INTEREST_BOP">"c3459"</definedName>
    <definedName name="IQ_CAPITALIZED_INTEREST_EOP">"c3464"</definedName>
    <definedName name="IQ_CAPITALIZED_INTEREST_EXP">"c3461"</definedName>
    <definedName name="IQ_CAPITALIZED_INTEREST_OTHER_ADJ">"c3463"</definedName>
    <definedName name="IQ_CAPITALIZED_INTEREST_WRITE_OFF">"c3462"</definedName>
    <definedName name="IQ_CASH">"c1458"</definedName>
    <definedName name="IQ_CASH_ACQUIRE_CF">"c116"</definedName>
    <definedName name="IQ_CASH_CONVERSION">"c117"</definedName>
    <definedName name="IQ_CASH_DUE_BANKS">"c1351"</definedName>
    <definedName name="IQ_CASH_EQUIV">"c118"</definedName>
    <definedName name="IQ_CASH_FINAN">"c119"</definedName>
    <definedName name="IQ_CASH_FLOW_ACT_OR_EST">"c4154"</definedName>
    <definedName name="IQ_CASH_INTEREST">"c120"</definedName>
    <definedName name="IQ_CASH_INVEST">"c121"</definedName>
    <definedName name="IQ_CASH_OPER">"c122"</definedName>
    <definedName name="IQ_CASH_OPER_ACT_OR_EST">"c4164"</definedName>
    <definedName name="IQ_CASH_SEGREG">"c123"</definedName>
    <definedName name="IQ_CASH_SHARE">"c1911"</definedName>
    <definedName name="IQ_CASH_ST">"c1355"</definedName>
    <definedName name="IQ_CASH_ST_INVEST">"c124"</definedName>
    <definedName name="IQ_CASH_TAXES">"c125"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GROWTH">"c126"</definedName>
    <definedName name="IQ_CFO_1YR_ANN_GROWTH">"c127"</definedName>
    <definedName name="IQ_CFO_2YR_ANN_GROWTH">"c128"</definedName>
    <definedName name="IQ_CFO_3YR_ANN_GROWTH">"c129"</definedName>
    <definedName name="IQ_CFO_5YR_ANN_GROWTH">"c130"</definedName>
    <definedName name="IQ_CFO_7YR_ANN_GROWTH">"c131"</definedName>
    <definedName name="IQ_CFO_CURRENT_LIAB">"c132"</definedName>
    <definedName name="IQ_CHANGE_AP">"c133"</definedName>
    <definedName name="IQ_CHANGE_AP_BNK">"c134"</definedName>
    <definedName name="IQ_CHANGE_AP_BR">"c135"</definedName>
    <definedName name="IQ_CHANGE_AP_FIN">"c136"</definedName>
    <definedName name="IQ_CHANGE_AP_INS">"c137"</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OPER_ASSETS">"c3592"</definedName>
    <definedName name="IQ_CHANGE_NET_WORKING_CAPITAL">"c1909"</definedName>
    <definedName name="IQ_CHANGE_OTHER_NET_OPER_ASSETS">"c3593"</definedName>
    <definedName name="IQ_CHANGE_OTHER_NET_OPER_ASSETS_BNK">"c3594"</definedName>
    <definedName name="IQ_CHANGE_OTHER_NET_OPER_ASSETS_BR">"c3595"</definedName>
    <definedName name="IQ_CHANGE_OTHER_NET_OPER_ASSETS_FIN">"c3596"</definedName>
    <definedName name="IQ_CHANGE_OTHER_NET_OPER_ASSETS_INS">"c3597"</definedName>
    <definedName name="IQ_CHANGE_OTHER_NET_OPER_ASSETS_REIT">"c3598"</definedName>
    <definedName name="IQ_CHANGE_OTHER_NET_OPER_ASSETS_UTI">"c3599"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ED">"c2681"</definedName>
    <definedName name="IQ_CLASSA_OPTIONS_GRANTED">"c2680"</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IT">"c188"</definedName>
    <definedName name="IQ_COMMON_APIC_UTI">"c189"</definedName>
    <definedName name="IQ_COMMON_DIV">"c3006"</definedName>
    <definedName name="IQ_COMMON_DIV_CF">"c190"</definedName>
    <definedName name="IQ_COMMON_EQUITY_10YR_ANN_GROWTH">"c191"</definedName>
    <definedName name="IQ_COMMON_EQUITY_1YR_ANN_GROWTH">"c192"</definedName>
    <definedName name="IQ_COMMON_EQUITY_2YR_ANN_GROWTH">"c193"</definedName>
    <definedName name="IQ_COMMON_EQUITY_3YR_ANN_GROWTH">"c194"</definedName>
    <definedName name="IQ_COMMON_EQUITY_5YR_ANN_GROWTH">"c195"</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ID">"c3513"</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_DATE">"c2191"</definedName>
    <definedName name="IQ_CONV_EXP_DATE">"c3043"</definedName>
    <definedName name="IQ_CONV_PREMIUM">"c2195"</definedName>
    <definedName name="IQ_CONV_PRICE">"c2193"</definedName>
    <definedName name="IQ_CONV_RATIO">"c2192"</definedName>
    <definedName name="IQ_CONV_SECURITY">"c2189"</definedName>
    <definedName name="IQ_CONV_SECURITY_ISSUER">"c2190"</definedName>
    <definedName name="IQ_CONV_SECURITY_PRICE">"c2194"</definedName>
    <definedName name="IQ_CONVERT">"c2536"</definedName>
    <definedName name="IQ_CONVERT_PCT">"c2537"</definedName>
    <definedName name="IQ_CONVEXITY">"c2182"</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IT">"c1570"</definedName>
    <definedName name="IQ_CURRENT_PORT_DEBT_UTI">"c1571"</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IT">"c254"</definedName>
    <definedName name="IQ_DA_CF_UTI">"c255"</definedName>
    <definedName name="IQ_DA_EBITDA">"c5528"</definedName>
    <definedName name="IQ_DA_FIN">"c256"</definedName>
    <definedName name="IQ_DA_INS">"c257"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IT">"c266"</definedName>
    <definedName name="IQ_DA_SUPPL_CF_UTI">"c267"</definedName>
    <definedName name="IQ_DA_SUPPL_FIN">"c268"</definedName>
    <definedName name="IQ_DA_SUPPL_INS">"c269"</definedName>
    <definedName name="IQ_DA_SUPPL_REIT">"c270"</definedName>
    <definedName name="IQ_DA_SUPPL_UTI">"c271"</definedName>
    <definedName name="IQ_DA_UTI">"c272"</definedName>
    <definedName name="IQ_DATED_DATE">"c2185"</definedName>
    <definedName name="IQ_DAY_COUNT">"c2161"</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IT">"c297"</definedName>
    <definedName name="IQ_DEF_CHARGES_LT_UTI">"c298"</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OSITS_INTEREST_SECURITIES">"c5509"</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WEIGHT">"c326"</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ACT_OR_EST">"c4278"</definedName>
    <definedName name="IQ_DISTRIBUTABLE_CASH_PAYOUT">"c3005"</definedName>
    <definedName name="IQ_DISTRIBUTABLE_CASH_SHARE">"c3003"</definedName>
    <definedName name="IQ_DISTRIBUTABLE_CASH_SHARE_ACT_OR_EST">"c4286"</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YIELD">"c332"</definedName>
    <definedName name="IQ_DO">"c333"</definedName>
    <definedName name="IQ_DO_ASSETS_CURRENT">"c334"</definedName>
    <definedName name="IQ_DO_ASSETS_LT">"c335"</definedName>
    <definedName name="IQ_DO_CF">"c336"</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GROWTH">"c337"</definedName>
    <definedName name="IQ_DPS_1YR_ANN_GROWTH">"c338"</definedName>
    <definedName name="IQ_DPS_2YR_ANN_GROWTH">"c339"</definedName>
    <definedName name="IQ_DPS_3YR_ANN_GROWTH">"c340"</definedName>
    <definedName name="IQ_DPS_5YR_ANN_GROWTH">"c341"</definedName>
    <definedName name="IQ_DPS_7YR_ANN_GROWTH">"c342"</definedName>
    <definedName name="IQ_DURATION">"c2181"</definedName>
    <definedName name="IQ_EARNING_ASSET_YIELD">"c343"</definedName>
    <definedName name="IQ_EARNING_CO">"c344"</definedName>
    <definedName name="IQ_EARNING_CO_10YR_ANN_GROWTH">"c345"</definedName>
    <definedName name="IQ_EARNING_CO_1YR_ANN_GROWTH">"c346"</definedName>
    <definedName name="IQ_EARNING_CO_2YR_ANN_GROWTH">"c347"</definedName>
    <definedName name="IQ_EARNING_CO_3YR_ANN_GROWTH">"c348"</definedName>
    <definedName name="IQ_EARNING_CO_5YR_ANN_GROWTH">"c349"</definedName>
    <definedName name="IQ_EARNING_CO_7YR_ANN_GROWTH">"c350"</definedName>
    <definedName name="IQ_EARNING_CO_MARGIN">"c351"</definedName>
    <definedName name="IQ_EARNINGS_ANNOUNCE_DATE">"c1649"</definedName>
    <definedName name="IQ_EARNINGS_ANNOUNCE_DATE_REUT">"c5314"</definedName>
    <definedName name="IQ_EBIT">"c352"</definedName>
    <definedName name="IQ_EBIT_10YR_ANN_GROWTH">"c353"</definedName>
    <definedName name="IQ_EBIT_1YR_ANN_GROWTH">"c354"</definedName>
    <definedName name="IQ_EBIT_2YR_ANN_GROWTH">"c355"</definedName>
    <definedName name="IQ_EBIT_3YR_ANN_GROWTH">"c356"</definedName>
    <definedName name="IQ_EBIT_5YR_ANN_GROWTH">"c357"</definedName>
    <definedName name="IQ_EBIT_7YR_ANN_GROWTH">"c358"</definedName>
    <definedName name="IQ_EBIT_EQ_INC">"c3498"</definedName>
    <definedName name="IQ_EBIT_EQ_INC_EXCL_SBC">"c3502"</definedName>
    <definedName name="IQ_EBIT_EXCL_SBC">"c3082"</definedName>
    <definedName name="IQ_EBIT_GW_ACT_OR_EST">"c4306"</definedName>
    <definedName name="IQ_EBIT_INT">"c360"</definedName>
    <definedName name="IQ_EBIT_MARGIN">"c359"</definedName>
    <definedName name="IQ_EBIT_OVER_IE">"c1369"</definedName>
    <definedName name="IQ_EBIT_SBC_ACT_OR_EST">"c4316"</definedName>
    <definedName name="IQ_EBIT_SBC_GW_ACT_OR_EST">"c4320"</definedName>
    <definedName name="IQ_EBITA">"c1910"</definedName>
    <definedName name="IQ_EBITA_10YR_ANN_GROWTH">"c1954"</definedName>
    <definedName name="IQ_EBITA_1YR_ANN_GROWTH">"c1949"</definedName>
    <definedName name="IQ_EBITA_2YR_ANN_GROWTH">"c1950"</definedName>
    <definedName name="IQ_EBITA_3YR_ANN_GROWTH">"c1951"</definedName>
    <definedName name="IQ_EBITA_5YR_ANN_GROWTH">"c1952"</definedName>
    <definedName name="IQ_EBITA_7YR_ANN_GROWTH">"c1953"</definedName>
    <definedName name="IQ_EBITA_EQ_INC">"c3497"</definedName>
    <definedName name="IQ_EBITA_EQ_INC_EXCL_SBC">"c3501"</definedName>
    <definedName name="IQ_EBITA_EXCL_SBC">"c3080"</definedName>
    <definedName name="IQ_EBITA_MARGIN">"c1963"</definedName>
    <definedName name="IQ_EBITDA">"c361"</definedName>
    <definedName name="IQ_EBITDA_10YR_ANN_GROWTH">"c362"</definedName>
    <definedName name="IQ_EBITDA_1YR_ANN_GROWTH">"c363"</definedName>
    <definedName name="IQ_EBITDA_2YR_ANN_GROWTH">"c364"</definedName>
    <definedName name="IQ_EBITDA_3YR_ANN_GROWTH">"c365"</definedName>
    <definedName name="IQ_EBITDA_5YR_ANN_GROWTH">"c366"</definedName>
    <definedName name="IQ_EBITDA_7YR_ANN_GROWTH">"c367"</definedName>
    <definedName name="IQ_EBITDA_CAPEX_INT">"c368"</definedName>
    <definedName name="IQ_EBITDA_CAPEX_OVER_TOTAL_IE">"c1370"</definedName>
    <definedName name="IQ_EBITDA_EQ_INC">"c3496"</definedName>
    <definedName name="IQ_EBITDA_EQ_INC_EXCL_SBC">"c3500"</definedName>
    <definedName name="IQ_EBITDA_EST">"c369"</definedName>
    <definedName name="IQ_EBITDA_EST_REUT">"c3640"</definedName>
    <definedName name="IQ_EBITDA_EXCL_SBC">"c3081"</definedName>
    <definedName name="IQ_EBITDA_HIGH_EST">"c370"</definedName>
    <definedName name="IQ_EBITDA_HIGH_EST_REUT">"c3642"</definedName>
    <definedName name="IQ_EBITDA_INT">"c373"</definedName>
    <definedName name="IQ_EBITDA_LOW_EST">"c371"</definedName>
    <definedName name="IQ_EBITDA_LOW_EST_REUT">"c3643"</definedName>
    <definedName name="IQ_EBITDA_MARGIN">"c372"</definedName>
    <definedName name="IQ_EBITDA_MEDIAN_EST">"c1663"</definedName>
    <definedName name="IQ_EBITDA_MEDIAN_EST_REUT">"c3641"</definedName>
    <definedName name="IQ_EBITDA_NUM_EST">"c374"</definedName>
    <definedName name="IQ_EBITDA_NUM_EST_REUT">"c3644"</definedName>
    <definedName name="IQ_EBITDA_OVER_TOTAL_IE">"c1371"</definedName>
    <definedName name="IQ_EBITDA_SBC_ACT_OR_EST">"c4337"</definedName>
    <definedName name="IQ_EBITDA_STDDEV_EST">"c375"</definedName>
    <definedName name="IQ_EBITDA_STDDEV_EST_REUT">"c3645"</definedName>
    <definedName name="IQ_EBITDAR">"c2989"</definedName>
    <definedName name="IQ_EBITDAR_EQ_INC">"c3499"</definedName>
    <definedName name="IQ_EBITDAR_EQ_INC_EXCL_SBC">"c3503"</definedName>
    <definedName name="IQ_EBITDAR_EXCL_SBC">"c3083"</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IT">"c384"</definedName>
    <definedName name="IQ_EBT_EXCL_UTI">"c385"</definedName>
    <definedName name="IQ_EBT_FIN">"c386"</definedName>
    <definedName name="IQ_EBT_INCL_MARGIN">"c387"</definedName>
    <definedName name="IQ_EBT_INS">"c388"</definedName>
    <definedName name="IQ_EBT_REIT">"c389"</definedName>
    <definedName name="IQ_EBT_SBC_ACT_OR_EST">"c4350"</definedName>
    <definedName name="IQ_EBT_SBC_GW_ACT_OR_EST">"c4354"</definedName>
    <definedName name="IQ_EBT_UTI">"c390"</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GROWTH">"c393"</definedName>
    <definedName name="IQ_EPS_1YR_ANN_GROWTH">"c394"</definedName>
    <definedName name="IQ_EPS_2YR_ANN_GROWTH">"c395"</definedName>
    <definedName name="IQ_EPS_3YR_ANN_GROWTH">"c396"</definedName>
    <definedName name="IQ_EPS_5YR_ANN_GROWTH">"c397"</definedName>
    <definedName name="IQ_EPS_7YR_ANN_GROWTH">"c398"</definedName>
    <definedName name="IQ_EPS_EST">"c399"</definedName>
    <definedName name="IQ_EPS_EST_REUT">"c5453"</definedName>
    <definedName name="IQ_EPS_HIGH_EST">"c400"</definedName>
    <definedName name="IQ_EPS_HIGH_EST_REUT">"c5454"</definedName>
    <definedName name="IQ_EPS_LOW_EST">"c401"</definedName>
    <definedName name="IQ_EPS_LOW_EST_REUT">"c5455"</definedName>
    <definedName name="IQ_EPS_MEDIAN_EST">"c1661"</definedName>
    <definedName name="IQ_EPS_MEDIAN_EST_REUT">"c5456"</definedName>
    <definedName name="IQ_EPS_NORM">"c1902"</definedName>
    <definedName name="IQ_EPS_NUM_EST">"c402"</definedName>
    <definedName name="IQ_EPS_NUM_EST_REUT">"c5451"</definedName>
    <definedName name="IQ_EPS_SBC_ACT_OR_EST">"c4376"</definedName>
    <definedName name="IQ_EPS_SBC_GW_ACT_OR_EST">"c4380"</definedName>
    <definedName name="IQ_EPS_STDDEV_EST">"c403"</definedName>
    <definedName name="IQ_EPS_STDDEV_EST_REUT">"c5452"</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CURRENCY">"c2140"</definedName>
    <definedName name="IQ_EST_CURRENCY_REUT">"c5437"</definedName>
    <definedName name="IQ_EST_DATE">"c1634"</definedName>
    <definedName name="IQ_EST_DATE_REUT">"c5438"</definedName>
    <definedName name="IQ_EST_EPS_GROWTH_1YR">"c1636"</definedName>
    <definedName name="IQ_EST_EPS_GROWTH_1YR_REUT">"c3646"</definedName>
    <definedName name="IQ_EST_EPS_GROWTH_5YR">"c1655"</definedName>
    <definedName name="IQ_EST_EPS_GROWTH_5YR_REUT">"c3633"</definedName>
    <definedName name="IQ_EST_EPS_GROWTH_Q_1YR">"c1641"</definedName>
    <definedName name="IQ_EST_EPS_GROWTH_Q_1YR_REUT">"c5410"</definedName>
    <definedName name="IQ_EST_VENDOR">"c5564"</definedName>
    <definedName name="IQ_EV_OVER_EMPLOYEE">"c1428"</definedName>
    <definedName name="IQ_EV_OVER_LTM_EBIT">"c1426"</definedName>
    <definedName name="IQ_EV_OVER_LTM_EBITDA">"c1427"</definedName>
    <definedName name="IQ_EV_OVER_LTM_REVENUE">"c1429"</definedName>
    <definedName name="IQ_EVAL_DATE">"c2180"</definedName>
    <definedName name="IQ_EXCHANGE">"c405"</definedName>
    <definedName name="IQ_EXCISE_TAXES_EXCL_SALES">"c5515"</definedName>
    <definedName name="IQ_EXCISE_TAXES_INCL_SALES">"c5514"</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DJ_ACT_OR_EST">"c4435"</definedName>
    <definedName name="IQ_FFO_PAYOUT_RATIO">"c3492"</definedName>
    <definedName name="IQ_FFO_SHARE_ACT_OR_EST">"c4446"</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CURRENT_PORT_DEBT_TOTAL">"c5524"</definedName>
    <definedName name="IQ_FIN_DIV_CURRENT_PORT_LEASES_TOTAL">"c5523"</definedName>
    <definedName name="IQ_FIN_DIV_DEBT_CURRENT">"c429"</definedName>
    <definedName name="IQ_FIN_DIV_DEBT_LT">"c430"</definedName>
    <definedName name="IQ_FIN_DIV_DEBT_LT_TOTAL">"c5526"</definedName>
    <definedName name="IQ_FIN_DIV_EXP">"c431"</definedName>
    <definedName name="IQ_FIN_DIV_INT_EXP">"c432"</definedName>
    <definedName name="IQ_FIN_DIV_LEASES_LT_TOTAL">"c5525"</definedName>
    <definedName name="IQ_FIN_DIV_LIAB_CURRENT">"c433"</definedName>
    <definedName name="IQ_FIN_DIV_LIAB_LT">"c434"</definedName>
    <definedName name="IQ_FIN_DIV_LOANS_CURRENT">"c435"</definedName>
    <definedName name="IQ_FIN_DIV_LOANS_LT">"c436"</definedName>
    <definedName name="IQ_FIN_DIV_NOTES_PAY_TOTAL">"c5522"</definedName>
    <definedName name="IQ_FIN_DIV_REV">"c437"</definedName>
    <definedName name="IQ_FIN_DIV_ST_DEBT_TOTAL">"c5527"</definedName>
    <definedName name="IQ_FINANCING_CASH">"c1405"</definedName>
    <definedName name="IQ_FINANCING_CASH_SUPPL">"c1406"</definedName>
    <definedName name="IQ_FINISHED_INV">"c438"</definedName>
    <definedName name="IQ_FIRST_INT_DATE">"c2186"</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IT">"c460"</definedName>
    <definedName name="IQ_GAIN_ASSETS_CF_UTI">"c461"</definedName>
    <definedName name="IQ_GAIN_ASSETS_FIN">"c462"</definedName>
    <definedName name="IQ_GAIN_ASSETS_INS">"c463"</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IT">"c485"</definedName>
    <definedName name="IQ_GAIN_INVEST_CF_UTI">"c486"</definedName>
    <definedName name="IQ_GAIN_INVEST_FIN">"c1465"</definedName>
    <definedName name="IQ_GAIN_INVEST_INS">"c1466"</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EO_SEG_ASSETS">"c4069"</definedName>
    <definedName name="IQ_GEO_SEG_ASSETS_ABS">"c4091"</definedName>
    <definedName name="IQ_GEO_SEG_ASSETS_TOTAL">"c4123"</definedName>
    <definedName name="IQ_GEO_SEG_CAPEX">"c4083"</definedName>
    <definedName name="IQ_GEO_SEG_CAPEX_ABS">"c4105"</definedName>
    <definedName name="IQ_GEO_SEG_CAPEX_TOTAL">"c4127"</definedName>
    <definedName name="IQ_GEO_SEG_DA">"c4082"</definedName>
    <definedName name="IQ_GEO_SEG_DA_ABS">"c4104"</definedName>
    <definedName name="IQ_GEO_SEG_DA_TOTAL">"c4126"</definedName>
    <definedName name="IQ_GEO_SEG_EARNINGS_OP">"c4073"</definedName>
    <definedName name="IQ_GEO_SEG_EARNINGS_OP_ABS">"c4095"</definedName>
    <definedName name="IQ_GEO_SEG_EARNINGS_OP_TOTAL">"c4119"</definedName>
    <definedName name="IQ_GEO_SEG_EBT">"c4072"</definedName>
    <definedName name="IQ_GEO_SEG_EBT_ABS">"c4094"</definedName>
    <definedName name="IQ_GEO_SEG_EBT_TOTAL">"c4121"</definedName>
    <definedName name="IQ_GEO_SEG_GP">"c4070"</definedName>
    <definedName name="IQ_GEO_SEG_GP_ABS">"c4092"</definedName>
    <definedName name="IQ_GEO_SEG_GP_TOTAL">"c4120"</definedName>
    <definedName name="IQ_GEO_SEG_INC_TAX">"c4081"</definedName>
    <definedName name="IQ_GEO_SEG_INC_TAX_ABS">"c4103"</definedName>
    <definedName name="IQ_GEO_SEG_INC_TAX_TOTAL">"c4125"</definedName>
    <definedName name="IQ_GEO_SEG_INTEREST_EXP">"c4080"</definedName>
    <definedName name="IQ_GEO_SEG_INTEREST_EXP_ABS">"c4102"</definedName>
    <definedName name="IQ_GEO_SEG_INTEREST_EXP_TOTAL">"c4124"</definedName>
    <definedName name="IQ_GEO_SEG_NAME">"c5484"</definedName>
    <definedName name="IQ_GEO_SEG_NAME_ABS">"c5485"</definedName>
    <definedName name="IQ_GEO_SEG_NI">"c4071"</definedName>
    <definedName name="IQ_GEO_SEG_NI_ABS">"c4093"</definedName>
    <definedName name="IQ_GEO_SEG_NI_TOTAL">"c4122"</definedName>
    <definedName name="IQ_GEO_SEG_OPER_INC">"c4075"</definedName>
    <definedName name="IQ_GEO_SEG_OPER_INC_ABS">"c4097"</definedName>
    <definedName name="IQ_GEO_SEG_OPER_INC_TOTAL">"c4118"</definedName>
    <definedName name="IQ_GEO_SEG_REV">"c4074"</definedName>
    <definedName name="IQ_GEO_SEG_REV_ABS">"c4096"</definedName>
    <definedName name="IQ_GEO_SEG_REV_TOTAL">"c4117"</definedName>
    <definedName name="IQ_GOODWILL_NET">"c1380"</definedName>
    <definedName name="IQ_GP">"c511"</definedName>
    <definedName name="IQ_GP_10YR_ANN_GROWTH">"c512"</definedName>
    <definedName name="IQ_GP_1YR_ANN_GROWTH">"c513"</definedName>
    <definedName name="IQ_GP_2YR_ANN_GROWTH">"c514"</definedName>
    <definedName name="IQ_GP_3YR_ANN_GROWTH">"c515"</definedName>
    <definedName name="IQ_GP_5YR_ANN_GROWTH">"c516"</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GROWTH">"c522"</definedName>
    <definedName name="IQ_GROSS_LOANS_1YR_ANN_GROWTH">"c523"</definedName>
    <definedName name="IQ_GROSS_LOANS_2YR_ANN_GROWTH">"c524"</definedName>
    <definedName name="IQ_GROSS_LOANS_3YR_ANN_GROWTH">"c525"</definedName>
    <definedName name="IQ_GROSS_LOANS_5YR_ANN_GROWTH">"c526"</definedName>
    <definedName name="IQ_GROSS_LOANS_7YR_ANN_GROWTH">"c527"</definedName>
    <definedName name="IQ_GROSS_LOANS_TOTAL_DEPOSITS">"c528"</definedName>
    <definedName name="IQ_GROSS_MARGIN">"c529"</definedName>
    <definedName name="IQ_GROSS_PC_EARNED">"c2747"</definedName>
    <definedName name="IQ_GROSS_PROFIT">"c1378"</definedName>
    <definedName name="IQ_GROSS_SPRD">"c2155"</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IT">"c1476"</definedName>
    <definedName name="IQ_GW_INTAN_AMORT_CF_UTI">"c1477"</definedName>
    <definedName name="IQ_GW_INTAN_AMORT_FIN">"c1478"</definedName>
    <definedName name="IQ_GW_INTAN_AMORT_INS">"c1479"</definedName>
    <definedName name="IQ_GW_INTAN_AMORT_REIT">"c1480"</definedName>
    <definedName name="IQ_GW_INTAN_AMORT_UTI">"c1481"</definedName>
    <definedName name="IQ_HIGH_TARGET_PRICE">"c1651"</definedName>
    <definedName name="IQ_HIGH_TARGET_PRICE_REUT">"c5317"</definedName>
    <definedName name="IQ_HIGHPRICE">"c545"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DUSTRY">"c3601"</definedName>
    <definedName name="IQ_INDUSTRY_GROUP">"c3602"</definedName>
    <definedName name="IQ_INDUSTRY_SECTOR">"c3603"</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IT">"c597"</definedName>
    <definedName name="IQ_INT_INC_TOTAL">"c598"</definedName>
    <definedName name="IQ_INT_INC_UTI">"c599"</definedName>
    <definedName name="IQ_INT_INV_INC">"c600"</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GROWTH">"c1930"</definedName>
    <definedName name="IQ_INV_1YR_ANN_GROWTH">"c1925"</definedName>
    <definedName name="IQ_INV_2YR_ANN_GROWTH">"c1926"</definedName>
    <definedName name="IQ_INV_3YR_ANN_GROWTH">"c1927"</definedName>
    <definedName name="IQ_INV_5YR_ANN_GROWTH">"c1928"</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GOV_SECURITY">"c5510"</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IT">"c633"</definedName>
    <definedName name="IQ_INVEST_LOANS_CF_UTI">"c634"</definedName>
    <definedName name="IQ_INVEST_MUNI_SECURITY">"c5512"</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IT">"c642"</definedName>
    <definedName name="IQ_INVEST_SECURITY_CF_UTI">"c643"</definedName>
    <definedName name="IQ_INVEST_SECURITY_SUPPL">"c5511"</definedName>
    <definedName name="IQ_IPRD">"c644"</definedName>
    <definedName name="IQ_ISS_DEBT_NET">"c1391"</definedName>
    <definedName name="IQ_ISS_STOCK_NET">"c1601"</definedName>
    <definedName name="IQ_ISSUE_CURRENCY">"c2156"</definedName>
    <definedName name="IQ_ISSUE_NAME">"c2142"</definedName>
    <definedName name="IQ_ISSUER">"c2143"</definedName>
    <definedName name="IQ_ISSUER_CIQID">"c2258"</definedName>
    <definedName name="IQ_ISSUER_PARENT">"c2144"</definedName>
    <definedName name="IQ_ISSUER_PARENT_CIQID">"c2260"</definedName>
    <definedName name="IQ_ISSUER_PARENT_TICKER">"c2259"</definedName>
    <definedName name="IQ_ISSUER_TICKER">"c2252"</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PMT_DATE">"c2188"</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IT">"c652"</definedName>
    <definedName name="IQ_LEGAL_SETTLE_UTI">"c653"</definedName>
    <definedName name="IQ_LEVERAGE_RATIO">"c654"</definedName>
    <definedName name="IQ_LEVERED_FCF">"c1907"</definedName>
    <definedName name="IQ_LFCF_10YR_ANN_GROWTH">"c1942"</definedName>
    <definedName name="IQ_LFCF_1YR_ANN_GROWTH">"c1937"</definedName>
    <definedName name="IQ_LFCF_2YR_ANN_GROWTH">"c1938"</definedName>
    <definedName name="IQ_LFCF_3YR_ANN_GROWTH">"c1939"</definedName>
    <definedName name="IQ_LFCF_5YR_ANN_GROWTH">"c1940"</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_TARGET_PRICE_REUT">"c5318"</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IT">"c686"</definedName>
    <definedName name="IQ_LT_DEBT_ISSUED_UTI">"c687"</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MACHINERY">"c711"</definedName>
    <definedName name="IQ_MAINT_CAPEX">"c2947"</definedName>
    <definedName name="IQ_MAINT_CAPEX_ACT_OR_EST">"c4458"</definedName>
    <definedName name="IQ_MAINT_REPAIR">"c2087"</definedName>
    <definedName name="IQ_MAKE_WHOLE_END_DATE">"c2493"</definedName>
    <definedName name="IQ_MAKE_WHOLE_SPREAD">"c2494"</definedName>
    <definedName name="IQ_MAKE_WHOLE_START_DATE">"c2492"</definedName>
    <definedName name="IQ_MARKET_CAP_LFCF">"c2209"</definedName>
    <definedName name="IQ_MARKETCAP">"c712"</definedName>
    <definedName name="IQ_MARKETING">"c2239"</definedName>
    <definedName name="IQ_MATURITY_DATE">"c2146"</definedName>
    <definedName name="IQ_MC_RATIO">"c2783"</definedName>
    <definedName name="IQ_MC_STATUTORY_SURPLUS">"c2772"</definedName>
    <definedName name="IQ_MEDIAN_TARGET_PRICE">"c1650"</definedName>
    <definedName name="IQ_MEDIAN_TARGET_PRICE_REUT">"c5316"</definedName>
    <definedName name="IQ_MERGER">"c713"</definedName>
    <definedName name="IQ_MERGER_BNK">"c714"</definedName>
    <definedName name="IQ_MERGER_BR">"c715"</definedName>
    <definedName name="IQ_MERGER_FIN">"c716"</definedName>
    <definedName name="IQ_MERGER_INS">"c717"</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KTCAP_TOTAL_REV_FWD_REUT">"c4048"</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EBITDA">"c750"</definedName>
    <definedName name="IQ_NET_DEBT_EBITDA_CAPEX">"c2949"</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IT">"c756"</definedName>
    <definedName name="IQ_NET_DEBT_ISSUED_UTI">"c757"</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GROWTH">"c758"</definedName>
    <definedName name="IQ_NET_INT_INC_1YR_ANN_GROWTH">"c759"</definedName>
    <definedName name="IQ_NET_INT_INC_2YR_ANN_GROWTH">"c760"</definedName>
    <definedName name="IQ_NET_INT_INC_3YR_ANN_GROWTH">"c761"</definedName>
    <definedName name="IQ_NET_INT_INC_5YR_ANN_GROWTH">"c762"</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GROWTH">"c773"</definedName>
    <definedName name="IQ_NET_LOANS_1YR_ANN_GROWTH">"c774"</definedName>
    <definedName name="IQ_NET_LOANS_2YR_ANN_GROWTH">"c775"</definedName>
    <definedName name="IQ_NET_LOANS_3YR_ANN_GROWTH">"c776"</definedName>
    <definedName name="IQ_NET_LOANS_5YR_ANN_GROWTH">"c777"</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ORKING_CAP">"c3493"</definedName>
    <definedName name="IQ_NET_WRITTEN">"c2728"</definedName>
    <definedName name="IQ_NEW_PREM">"c2785"</definedName>
    <definedName name="IQ_NEXT_CALL_DATE">"c2198"</definedName>
    <definedName name="IQ_NEXT_CALL_PRICE">"c2199"</definedName>
    <definedName name="IQ_NEXT_INT_DATE">"c2187"</definedName>
    <definedName name="IQ_NEXT_PUT_DATE">"c2200"</definedName>
    <definedName name="IQ_NEXT_PUT_PRICE">"c2201"</definedName>
    <definedName name="IQ_NEXT_SINK_FUND_AMOUNT">"c2490"</definedName>
    <definedName name="IQ_NEXT_SINK_FUND_DATE">"c2489"</definedName>
    <definedName name="IQ_NEXT_SINK_FUND_PRICE">"c2491"</definedName>
    <definedName name="IQ_NI">"c781"</definedName>
    <definedName name="IQ_NI_10YR_ANN_GROWTH">"c782"</definedName>
    <definedName name="IQ_NI_1YR_ANN_GROWTH">"c783"</definedName>
    <definedName name="IQ_NI_2YR_ANN_GROWTH">"c784"</definedName>
    <definedName name="IQ_NI_3YR_ANN_GROWTH">"c785"</definedName>
    <definedName name="IQ_NI_5YR_ANN_GROWTH">"c786"</definedName>
    <definedName name="IQ_NI_7YR_ANN_GROWTH">"c787"</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MARGIN">"c794"</definedName>
    <definedName name="IQ_NI_NORM">"c1901"</definedName>
    <definedName name="IQ_NI_NORM_10YR_ANN_GROWTH">"c1960"</definedName>
    <definedName name="IQ_NI_NORM_1YR_ANN_GROWTH">"c1955"</definedName>
    <definedName name="IQ_NI_NORM_2YR_ANN_GROWTH">"c1956"</definedName>
    <definedName name="IQ_NI_NORM_3YR_ANN_GROWTH">"c1957"</definedName>
    <definedName name="IQ_NI_NORM_5YR_ANN_GROWTH">"c1958"</definedName>
    <definedName name="IQ_NI_NORM_7YR_ANN_GROWTH">"c1959"</definedName>
    <definedName name="IQ_NI_NORM_MARGIN">"c1964"</definedName>
    <definedName name="IQ_NI_SBC_ACT_OR_EST">"c4474"</definedName>
    <definedName name="IQ_NI_SBC_GW_ACT_OR_EST">"c4478"</definedName>
    <definedName name="IQ_NI_SFAS">"c795"</definedName>
    <definedName name="IQ_NOL_CF_1YR">"c3465"</definedName>
    <definedName name="IQ_NOL_CF_2YR">"c3466"</definedName>
    <definedName name="IQ_NOL_CF_3YR">"c3467"</definedName>
    <definedName name="IQ_NOL_CF_4YR">"c3468"</definedName>
    <definedName name="IQ_NOL_CF_5YR">"c3469"</definedName>
    <definedName name="IQ_NOL_CF_AFTER_FIVE">"c3470"</definedName>
    <definedName name="IQ_NOL_CF_MAX_YEAR">"c3473"</definedName>
    <definedName name="IQ_NOL_CF_NO_EXP">"c3471"</definedName>
    <definedName name="IQ_NOL_CF_TOTAL">"c3472"</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GROWTH">"c803"</definedName>
    <definedName name="IQ_NON_INT_INC_1YR_ANN_GROWTH">"c804"</definedName>
    <definedName name="IQ_NON_INT_INC_2YR_ANN_GROWTH">"c805"</definedName>
    <definedName name="IQ_NON_INT_INC_3YR_ANN_GROWTH">"c806"</definedName>
    <definedName name="IQ_NON_INT_INC_5YR_ANN_GROWTH">"c807"</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GROWTH">"c811"</definedName>
    <definedName name="IQ_NON_PERF_ASSETS_1YR_ANN_GROWTH">"c812"</definedName>
    <definedName name="IQ_NON_PERF_ASSETS_2YR_ANN_GROWTH">"c813"</definedName>
    <definedName name="IQ_NON_PERF_ASSETS_3YR_ANN_GROWTH">"c814"</definedName>
    <definedName name="IQ_NON_PERF_ASSETS_5YR_ANN_GROWTH">"c815"</definedName>
    <definedName name="IQ_NON_PERF_ASSETS_7YR_ANN_GROWTH">"c816"</definedName>
    <definedName name="IQ_NON_PERF_ASSETS_TOTAL_ASSETS">"c817"</definedName>
    <definedName name="IQ_NON_PERF_LOANS_10YR_ANN_GROWTH">"c818"</definedName>
    <definedName name="IQ_NON_PERF_LOANS_1YR_ANN_GROWTH">"c819"</definedName>
    <definedName name="IQ_NON_PERF_LOANS_2YR_ANN_GROWTH">"c820"</definedName>
    <definedName name="IQ_NON_PERF_LOANS_3YR_ANN_GROWTH">"c821"</definedName>
    <definedName name="IQ_NON_PERF_LOANS_5YR_ANN_GROWTH">"c822"</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GROWTH">"c830"</definedName>
    <definedName name="IQ_NPPE_1YR_ANN_GROWTH">"c831"</definedName>
    <definedName name="IQ_NPPE_2YR_ANN_GROWTH">"c832"</definedName>
    <definedName name="IQ_NPPE_3YR_ANN_GROWTH">"c833"</definedName>
    <definedName name="IQ_NPPE_5YR_ANN_GROWTH">"c834"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FFER_AMOUNT">"c2152"</definedName>
    <definedName name="IQ_OFFER_COUPON">"c2147"</definedName>
    <definedName name="IQ_OFFER_COUPON_TYPE">"c2148"</definedName>
    <definedName name="IQ_OFFER_DATE">"c2149"</definedName>
    <definedName name="IQ_OFFER_PRICE">"c2150"</definedName>
    <definedName name="IQ_OFFER_YIELD">"c2151"</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B_ACCRUED_LIAB">"c3308"</definedName>
    <definedName name="IQ_OPEB_ACCRUED_LIAB_DOM">"c3306"</definedName>
    <definedName name="IQ_OPEB_ACCRUED_LIAB_FOREIGN">"c3307"</definedName>
    <definedName name="IQ_OPEB_ACCUM_OTHER_CI">"c3314"</definedName>
    <definedName name="IQ_OPEB_ACCUM_OTHER_CI_DOM">"c3312"</definedName>
    <definedName name="IQ_OPEB_ACCUM_OTHER_CI_FOREIGN">"c3313"</definedName>
    <definedName name="IQ_OPEB_ASSETS">"c3356"</definedName>
    <definedName name="IQ_OPEB_ASSETS_ACQ">"c3347"</definedName>
    <definedName name="IQ_OPEB_ASSETS_ACQ_DOM">"c3345"</definedName>
    <definedName name="IQ_OPEB_ASSETS_ACQ_FOREIGN">"c3346"</definedName>
    <definedName name="IQ_OPEB_ASSETS_ACTUAL_RETURN">"c3332"</definedName>
    <definedName name="IQ_OPEB_ASSETS_ACTUAL_RETURN_DOM">"c3330"</definedName>
    <definedName name="IQ_OPEB_ASSETS_ACTUAL_RETURN_FOREIGN">"c3331"</definedName>
    <definedName name="IQ_OPEB_ASSETS_BEG">"c3329"</definedName>
    <definedName name="IQ_OPEB_ASSETS_BEG_DOM">"c3327"</definedName>
    <definedName name="IQ_OPEB_ASSETS_BEG_FOREIGN">"c3328"</definedName>
    <definedName name="IQ_OPEB_ASSETS_BENEFITS_PAID">"c3341"</definedName>
    <definedName name="IQ_OPEB_ASSETS_BENEFITS_PAID_DOM">"c3339"</definedName>
    <definedName name="IQ_OPEB_ASSETS_BENEFITS_PAID_FOREIGN">"c3340"</definedName>
    <definedName name="IQ_OPEB_ASSETS_CURTAIL">"c3350"</definedName>
    <definedName name="IQ_OPEB_ASSETS_CURTAIL_DOM">"c3348"</definedName>
    <definedName name="IQ_OPEB_ASSETS_CURTAIL_FOREIGN">"c3349"</definedName>
    <definedName name="IQ_OPEB_ASSETS_DOM">"c3354"</definedName>
    <definedName name="IQ_OPEB_ASSETS_EMPLOYER_CONTRIBUTIONS">"c3335"</definedName>
    <definedName name="IQ_OPEB_ASSETS_EMPLOYER_CONTRIBUTIONS_DOM">"c3333"</definedName>
    <definedName name="IQ_OPEB_ASSETS_EMPLOYER_CONTRIBUTIONS_FOREIGN">"c3334"</definedName>
    <definedName name="IQ_OPEB_ASSETS_FOREIGN">"c3355"</definedName>
    <definedName name="IQ_OPEB_ASSETS_FX_ADJ">"c3344"</definedName>
    <definedName name="IQ_OPEB_ASSETS_FX_ADJ_DOM">"c3342"</definedName>
    <definedName name="IQ_OPEB_ASSETS_FX_ADJ_FOREIGN">"c3343"</definedName>
    <definedName name="IQ_OPEB_ASSETS_OTHER_PLAN_ADJ">"c3353"</definedName>
    <definedName name="IQ_OPEB_ASSETS_OTHER_PLAN_ADJ_DOM">"c3351"</definedName>
    <definedName name="IQ_OPEB_ASSETS_OTHER_PLAN_ADJ_FOREIGN">"c3352"</definedName>
    <definedName name="IQ_OPEB_ASSETS_PARTICIP_CONTRIBUTIONS">"c3338"</definedName>
    <definedName name="IQ_OPEB_ASSETS_PARTICIP_CONTRIBUTIONS_DOM">"c3336"</definedName>
    <definedName name="IQ_OPEB_ASSETS_PARTICIP_CONTRIBUTIONS_FOREIGN">"c3337"</definedName>
    <definedName name="IQ_OPEB_BENEFIT_INFO_DATE">"c3410"</definedName>
    <definedName name="IQ_OPEB_BENEFIT_INFO_DATE_DOM">"c3408"</definedName>
    <definedName name="IQ_OPEB_BENEFIT_INFO_DATE_FOREIGN">"c3409"</definedName>
    <definedName name="IQ_OPEB_BREAKDOWN_EQ">"c3275"</definedName>
    <definedName name="IQ_OPEB_BREAKDOWN_EQ_DOM">"c3273"</definedName>
    <definedName name="IQ_OPEB_BREAKDOWN_EQ_FOREIGN">"c3274"</definedName>
    <definedName name="IQ_OPEB_BREAKDOWN_FI">"c3278"</definedName>
    <definedName name="IQ_OPEB_BREAKDOWN_FI_DOM">"c3276"</definedName>
    <definedName name="IQ_OPEB_BREAKDOWN_FI_FOREIGN">"c3277"</definedName>
    <definedName name="IQ_OPEB_BREAKDOWN_OTHER">"c3284"</definedName>
    <definedName name="IQ_OPEB_BREAKDOWN_OTHER_DOM">"c3282"</definedName>
    <definedName name="IQ_OPEB_BREAKDOWN_OTHER_FOREIGN">"c3283"</definedName>
    <definedName name="IQ_OPEB_BREAKDOWN_PCT_EQ">"c3263"</definedName>
    <definedName name="IQ_OPEB_BREAKDOWN_PCT_EQ_DOM">"c3261"</definedName>
    <definedName name="IQ_OPEB_BREAKDOWN_PCT_EQ_FOREIGN">"c3262"</definedName>
    <definedName name="IQ_OPEB_BREAKDOWN_PCT_FI">"c3266"</definedName>
    <definedName name="IQ_OPEB_BREAKDOWN_PCT_FI_DOM">"c3264"</definedName>
    <definedName name="IQ_OPEB_BREAKDOWN_PCT_FI_FOREIGN">"c3265"</definedName>
    <definedName name="IQ_OPEB_BREAKDOWN_PCT_OTHER">"c3272"</definedName>
    <definedName name="IQ_OPEB_BREAKDOWN_PCT_OTHER_DOM">"c3270"</definedName>
    <definedName name="IQ_OPEB_BREAKDOWN_PCT_OTHER_FOREIGN">"c3271"</definedName>
    <definedName name="IQ_OPEB_BREAKDOWN_PCT_RE">"c3269"</definedName>
    <definedName name="IQ_OPEB_BREAKDOWN_PCT_RE_DOM">"c3267"</definedName>
    <definedName name="IQ_OPEB_BREAKDOWN_PCT_RE_FOREIGN">"c3268"</definedName>
    <definedName name="IQ_OPEB_BREAKDOWN_RE">"c3281"</definedName>
    <definedName name="IQ_OPEB_BREAKDOWN_RE_DOM">"c3279"</definedName>
    <definedName name="IQ_OPEB_BREAKDOWN_RE_FOREIGN">"c3280"</definedName>
    <definedName name="IQ_OPEB_DECREASE_EFFECT_PBO">"c3458"</definedName>
    <definedName name="IQ_OPEB_DECREASE_EFFECT_PBO_DOM">"c3456"</definedName>
    <definedName name="IQ_OPEB_DECREASE_EFFECT_PBO_FOREIGN">"c3457"</definedName>
    <definedName name="IQ_OPEB_DECREASE_EFFECT_SERVICE_INT_COST">"c3455"</definedName>
    <definedName name="IQ_OPEB_DECREASE_EFFECT_SERVICE_INT_COST_DOM">"c3453"</definedName>
    <definedName name="IQ_OPEB_DECREASE_EFFECT_SERVICE_INT_COST_FOREIGN">"c3454"</definedName>
    <definedName name="IQ_OPEB_DISC_RATE_MAX">"c3422"</definedName>
    <definedName name="IQ_OPEB_DISC_RATE_MAX_DOM">"c3420"</definedName>
    <definedName name="IQ_OPEB_DISC_RATE_MAX_FOREIGN">"c3421"</definedName>
    <definedName name="IQ_OPEB_DISC_RATE_MIN">"c3419"</definedName>
    <definedName name="IQ_OPEB_DISC_RATE_MIN_DOM">"c3417"</definedName>
    <definedName name="IQ_OPEB_DISC_RATE_MIN_FOREIGN">"c3418"</definedName>
    <definedName name="IQ_OPEB_EST_BENEFIT_1YR">"c3287"</definedName>
    <definedName name="IQ_OPEB_EST_BENEFIT_1YR_DOM">"c3285"</definedName>
    <definedName name="IQ_OPEB_EST_BENEFIT_1YR_FOREIGN">"c3286"</definedName>
    <definedName name="IQ_OPEB_EST_BENEFIT_2YR">"c3290"</definedName>
    <definedName name="IQ_OPEB_EST_BENEFIT_2YR_DOM">"c3288"</definedName>
    <definedName name="IQ_OPEB_EST_BENEFIT_2YR_FOREIGN">"c3289"</definedName>
    <definedName name="IQ_OPEB_EST_BENEFIT_3YR">"c3293"</definedName>
    <definedName name="IQ_OPEB_EST_BENEFIT_3YR_DOM">"c3291"</definedName>
    <definedName name="IQ_OPEB_EST_BENEFIT_3YR_FOREIGN">"c3292"</definedName>
    <definedName name="IQ_OPEB_EST_BENEFIT_4YR">"c3296"</definedName>
    <definedName name="IQ_OPEB_EST_BENEFIT_4YR_DOM">"c3294"</definedName>
    <definedName name="IQ_OPEB_EST_BENEFIT_4YR_FOREIGN">"c3295"</definedName>
    <definedName name="IQ_OPEB_EST_BENEFIT_5YR">"c3299"</definedName>
    <definedName name="IQ_OPEB_EST_BENEFIT_5YR_DOM">"c3297"</definedName>
    <definedName name="IQ_OPEB_EST_BENEFIT_5YR_FOREIGN">"c3298"</definedName>
    <definedName name="IQ_OPEB_EST_BENEFIT_AFTER5">"c3302"</definedName>
    <definedName name="IQ_OPEB_EST_BENEFIT_AFTER5_DOM">"c3300"</definedName>
    <definedName name="IQ_OPEB_EST_BENEFIT_AFTER5_FOREIGN">"c3301"</definedName>
    <definedName name="IQ_OPEB_EXP_RATE_RETURN_MAX">"c3434"</definedName>
    <definedName name="IQ_OPEB_EXP_RATE_RETURN_MAX_DOM">"c3432"</definedName>
    <definedName name="IQ_OPEB_EXP_RATE_RETURN_MAX_FOREIGN">"c3433"</definedName>
    <definedName name="IQ_OPEB_EXP_RATE_RETURN_MIN">"c3431"</definedName>
    <definedName name="IQ_OPEB_EXP_RATE_RETURN_MIN_DOM">"c3429"</definedName>
    <definedName name="IQ_OPEB_EXP_RATE_RETURN_MIN_FOREIGN">"c3430"</definedName>
    <definedName name="IQ_OPEB_EXP_RETURN">"c3398"</definedName>
    <definedName name="IQ_OPEB_EXP_RETURN_DOM">"c3396"</definedName>
    <definedName name="IQ_OPEB_EXP_RETURN_FOREIGN">"c3397"</definedName>
    <definedName name="IQ_OPEB_HEALTH_COST_TREND_INITIAL">"c3413"</definedName>
    <definedName name="IQ_OPEB_HEALTH_COST_TREND_INITIAL_DOM">"c3411"</definedName>
    <definedName name="IQ_OPEB_HEALTH_COST_TREND_INITIAL_FOREIGN">"c3412"</definedName>
    <definedName name="IQ_OPEB_HEALTH_COST_TREND_ULTIMATE">"c3416"</definedName>
    <definedName name="IQ_OPEB_HEALTH_COST_TREND_ULTIMATE_DOM">"c3414"</definedName>
    <definedName name="IQ_OPEB_HEALTH_COST_TREND_ULTIMATE_FOREIGN">"c3415"</definedName>
    <definedName name="IQ_OPEB_INCREASE_EFFECT_PBO">"c3452"</definedName>
    <definedName name="IQ_OPEB_INCREASE_EFFECT_PBO_DOM">"c3450"</definedName>
    <definedName name="IQ_OPEB_INCREASE_EFFECT_PBO_FOREIGN">"c3451"</definedName>
    <definedName name="IQ_OPEB_INCREASE_EFFECT_SERVICE_INT_COST">"c3449"</definedName>
    <definedName name="IQ_OPEB_INCREASE_EFFECT_SERVICE_INT_COST_DOM">"c3447"</definedName>
    <definedName name="IQ_OPEB_INCREASE_EFFECT_SERVICE_INT_COST_FOREIGN">"c3448"</definedName>
    <definedName name="IQ_OPEB_INTAN_ASSETS">"c3311"</definedName>
    <definedName name="IQ_OPEB_INTAN_ASSETS_DOM">"c3309"</definedName>
    <definedName name="IQ_OPEB_INTAN_ASSETS_FOREIGN">"c3310"</definedName>
    <definedName name="IQ_OPEB_INTEREST_COST">"c3395"</definedName>
    <definedName name="IQ_OPEB_INTEREST_COST_DOM">"c3393"</definedName>
    <definedName name="IQ_OPEB_INTEREST_COST_FOREIGN">"c3394"</definedName>
    <definedName name="IQ_OPEB_NET_ASSET_RECOG">"c3326"</definedName>
    <definedName name="IQ_OPEB_NET_ASSET_RECOG_DOM">"c3324"</definedName>
    <definedName name="IQ_OPEB_NET_ASSET_RECOG_FOREIGN">"c3325"</definedName>
    <definedName name="IQ_OPEB_OBLIGATION_ACCUMULATED">"c3407"</definedName>
    <definedName name="IQ_OPEB_OBLIGATION_ACCUMULATED_DOM">"c3405"</definedName>
    <definedName name="IQ_OPEB_OBLIGATION_ACCUMULATED_FOREIGN">"c3406"</definedName>
    <definedName name="IQ_OPEB_OBLIGATION_ACQ">"c3380"</definedName>
    <definedName name="IQ_OPEB_OBLIGATION_ACQ_DOM">"c3378"</definedName>
    <definedName name="IQ_OPEB_OBLIGATION_ACQ_FOREIGN">"c3379"</definedName>
    <definedName name="IQ_OPEB_OBLIGATION_ACTUARIAL_GAIN_LOSS">"c3371"</definedName>
    <definedName name="IQ_OPEB_OBLIGATION_ACTUARIAL_GAIN_LOSS_DOM">"c3369"</definedName>
    <definedName name="IQ_OPEB_OBLIGATION_ACTUARIAL_GAIN_LOSS_FOREIGN">"c3370"</definedName>
    <definedName name="IQ_OPEB_OBLIGATION_BEG">"c3359"</definedName>
    <definedName name="IQ_OPEB_OBLIGATION_BEG_DOM">"c3357"</definedName>
    <definedName name="IQ_OPEB_OBLIGATION_BEG_FOREIGN">"c3358"</definedName>
    <definedName name="IQ_OPEB_OBLIGATION_CURTAIL">"c3383"</definedName>
    <definedName name="IQ_OPEB_OBLIGATION_CURTAIL_DOM">"c3381"</definedName>
    <definedName name="IQ_OPEB_OBLIGATION_CURTAIL_FOREIGN">"c3382"</definedName>
    <definedName name="IQ_OPEB_OBLIGATION_EMPLOYEE_CONTRIBUTIONS">"c3368"</definedName>
    <definedName name="IQ_OPEB_OBLIGATION_EMPLOYEE_CONTRIBUTIONS_DOM">"c3366"</definedName>
    <definedName name="IQ_OPEB_OBLIGATION_EMPLOYEE_CONTRIBUTIONS_FOREIGN">"c3367"</definedName>
    <definedName name="IQ_OPEB_OBLIGATION_FX_ADJ">"c3377"</definedName>
    <definedName name="IQ_OPEB_OBLIGATION_FX_ADJ_DOM">"c3375"</definedName>
    <definedName name="IQ_OPEB_OBLIGATION_FX_ADJ_FOREIGN">"c3376"</definedName>
    <definedName name="IQ_OPEB_OBLIGATION_INTEREST_COST">"c3365"</definedName>
    <definedName name="IQ_OPEB_OBLIGATION_INTEREST_COST_DOM">"c3363"</definedName>
    <definedName name="IQ_OPEB_OBLIGATION_INTEREST_COST_FOREIGN">"c3364"</definedName>
    <definedName name="IQ_OPEB_OBLIGATION_OTHER_PLAN_ADJ">"c3386"</definedName>
    <definedName name="IQ_OPEB_OBLIGATION_OTHER_PLAN_ADJ_DOM">"c3384"</definedName>
    <definedName name="IQ_OPEB_OBLIGATION_OTHER_PLAN_ADJ_FOREIGN">"c3385"</definedName>
    <definedName name="IQ_OPEB_OBLIGATION_PAID">"c3374"</definedName>
    <definedName name="IQ_OPEB_OBLIGATION_PAID_DOM">"c3372"</definedName>
    <definedName name="IQ_OPEB_OBLIGATION_PAID_FOREIGN">"c3373"</definedName>
    <definedName name="IQ_OPEB_OBLIGATION_PROJECTED">"c3389"</definedName>
    <definedName name="IQ_OPEB_OBLIGATION_PROJECTED_DOM">"c3387"</definedName>
    <definedName name="IQ_OPEB_OBLIGATION_PROJECTED_FOREIGN">"c3388"</definedName>
    <definedName name="IQ_OPEB_OBLIGATION_SERVICE_COST">"c3362"</definedName>
    <definedName name="IQ_OPEB_OBLIGATION_SERVICE_COST_DOM">"c3360"</definedName>
    <definedName name="IQ_OPEB_OBLIGATION_SERVICE_COST_FOREIGN">"c3361"</definedName>
    <definedName name="IQ_OPEB_OTHER">"c3317"</definedName>
    <definedName name="IQ_OPEB_OTHER_ADJ">"c3323"</definedName>
    <definedName name="IQ_OPEB_OTHER_ADJ_DOM">"c3321"</definedName>
    <definedName name="IQ_OPEB_OTHER_ADJ_FOREIGN">"c3322"</definedName>
    <definedName name="IQ_OPEB_OTHER_COST">"c3401"</definedName>
    <definedName name="IQ_OPEB_OTHER_COST_DOM">"c3399"</definedName>
    <definedName name="IQ_OPEB_OTHER_COST_FOREIGN">"c3400"</definedName>
    <definedName name="IQ_OPEB_OTHER_DOM">"c3315"</definedName>
    <definedName name="IQ_OPEB_OTHER_FOREIGN">"c3316"</definedName>
    <definedName name="IQ_OPEB_PBO_ASSUMED_RATE_RET_MAX">"c3440"</definedName>
    <definedName name="IQ_OPEB_PBO_ASSUMED_RATE_RET_MAX_DOM">"c3438"</definedName>
    <definedName name="IQ_OPEB_PBO_ASSUMED_RATE_RET_MAX_FOREIGN">"c3439"</definedName>
    <definedName name="IQ_OPEB_PBO_ASSUMED_RATE_RET_MIN">"c3437"</definedName>
    <definedName name="IQ_OPEB_PBO_ASSUMED_RATE_RET_MIN_DOM">"c3435"</definedName>
    <definedName name="IQ_OPEB_PBO_ASSUMED_RATE_RET_MIN_FOREIGN">"c3436"</definedName>
    <definedName name="IQ_OPEB_PBO_RATE_COMP_INCREASE_MAX">"c3446"</definedName>
    <definedName name="IQ_OPEB_PBO_RATE_COMP_INCREASE_MAX_DOM">"c3444"</definedName>
    <definedName name="IQ_OPEB_PBO_RATE_COMP_INCREASE_MAX_FOREIGN">"c3445"</definedName>
    <definedName name="IQ_OPEB_PBO_RATE_COMP_INCREASE_MIN">"c3443"</definedName>
    <definedName name="IQ_OPEB_PBO_RATE_COMP_INCREASE_MIN_DOM">"c3441"</definedName>
    <definedName name="IQ_OPEB_PBO_RATE_COMP_INCREASE_MIN_FOREIGN">"c3442"</definedName>
    <definedName name="IQ_OPEB_PREPAID_COST">"c3305"</definedName>
    <definedName name="IQ_OPEB_PREPAID_COST_DOM">"c3303"</definedName>
    <definedName name="IQ_OPEB_PREPAID_COST_FOREIGN">"c3304"</definedName>
    <definedName name="IQ_OPEB_RATE_COMP_INCREASE_MAX">"c3428"</definedName>
    <definedName name="IQ_OPEB_RATE_COMP_INCREASE_MAX_DOM">"c3426"</definedName>
    <definedName name="IQ_OPEB_RATE_COMP_INCREASE_MAX_FOREIGN">"c3427"</definedName>
    <definedName name="IQ_OPEB_RATE_COMP_INCREASE_MIN">"c3425"</definedName>
    <definedName name="IQ_OPEB_RATE_COMP_INCREASE_MIN_DOM">"c3423"</definedName>
    <definedName name="IQ_OPEB_RATE_COMP_INCREASE_MIN_FOREIGN">"c3424"</definedName>
    <definedName name="IQ_OPEB_SERVICE_COST">"c3392"</definedName>
    <definedName name="IQ_OPEB_SERVICE_COST_DOM">"c3390"</definedName>
    <definedName name="IQ_OPEB_SERVICE_COST_FOREIGN">"c3391"</definedName>
    <definedName name="IQ_OPEB_TOTAL_COST">"c3404"</definedName>
    <definedName name="IQ_OPEB_TOTAL_COST_DOM">"c3402"</definedName>
    <definedName name="IQ_OPEB_TOTAL_COST_FOREIGN">"c3403"</definedName>
    <definedName name="IQ_OPEB_UNRECOG_PRIOR">"c3320"</definedName>
    <definedName name="IQ_OPEB_UNRECOG_PRIOR_DOM">"c3318"</definedName>
    <definedName name="IQ_OPEB_UNRECOG_PRIOR_FOREIGN">"c3319"</definedName>
    <definedName name="IQ_OPENPRICE">"c848"</definedName>
    <definedName name="IQ_OPER_INC">"c849"</definedName>
    <definedName name="IQ_OPER_INC_BR">"c850"</definedName>
    <definedName name="IQ_OPER_INC_FIN">"c851"</definedName>
    <definedName name="IQ_OPER_INC_INS">"c852"</definedName>
    <definedName name="IQ_OPER_INC_MARGIN">"c1448"</definedName>
    <definedName name="IQ_OPER_INC_REIT">"c853"</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ED">"c2116"</definedName>
    <definedName name="IQ_OPTIONS_GRANTED">"c2673"</definedName>
    <definedName name="IQ_OPTIONS_ISSUED">"c857"</definedName>
    <definedName name="IQ_OPTIONS_STRIKE_PRICE_GRANTED">"c2678"</definedName>
    <definedName name="IQ_OPTIONS_STRIKE_PRICE_OS">"c2677"</definedName>
    <definedName name="IQ_ORDER_BACKLOG">"c2090"</definedName>
    <definedName name="IQ_OTHER_ADJUST_GROSS_LOANS">"c859"</definedName>
    <definedName name="IQ_OTHER_AMORT">"c5563"</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IT">"c940"</definedName>
    <definedName name="IQ_OTHER_LIAB_LT_UTI">"c941"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IT">"c993"</definedName>
    <definedName name="IQ_OTHER_OPER_SUPPL_BR">"c994"</definedName>
    <definedName name="IQ_OTHER_OPER_SUPPL_FIN">"c995"</definedName>
    <definedName name="IQ_OTHER_OPER_SUPPL_INS">"c996"</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ED">"c2688"</definedName>
    <definedName name="IQ_OTHER_OPTIONS_GRANTED">"c2687"</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OWNERSHIP">"c2160"</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EXCL_FWD_REUT">"c4049"</definedName>
    <definedName name="IQ_PE_NORMALIZED">"c2207"</definedName>
    <definedName name="IQ_PE_RATIO">"c1610"</definedName>
    <definedName name="IQ_PEG_FWD">"c1863"</definedName>
    <definedName name="IQ_PEG_FWD_REUT">"c4052"</definedName>
    <definedName name="IQ_PENSION">"c1031"</definedName>
    <definedName name="IQ_PENSION_ACCRUED_LIAB">"c3134"</definedName>
    <definedName name="IQ_PENSION_ACCRUED_LIAB_DOM">"c3132"</definedName>
    <definedName name="IQ_PENSION_ACCRUED_LIAB_FOREIGN">"c3133"</definedName>
    <definedName name="IQ_PENSION_ACCUM_OTHER_CI">"c3140"</definedName>
    <definedName name="IQ_PENSION_ACCUM_OTHER_CI_DOM">"c3138"</definedName>
    <definedName name="IQ_PENSION_ACCUM_OTHER_CI_FOREIGN">"c3139"</definedName>
    <definedName name="IQ_PENSION_ACCUMULATED_OBLIGATION">"c3570"</definedName>
    <definedName name="IQ_PENSION_ACCUMULATED_OBLIGATION_DOMESTIC">"c3568"</definedName>
    <definedName name="IQ_PENSION_ACCUMULATED_OBLIGATION_FOREIGN">"c3569"</definedName>
    <definedName name="IQ_PENSION_ASSETS">"c3182"</definedName>
    <definedName name="IQ_PENSION_ASSETS_ACQ">"c3173"</definedName>
    <definedName name="IQ_PENSION_ASSETS_ACQ_DOM">"c3171"</definedName>
    <definedName name="IQ_PENSION_ASSETS_ACQ_FOREIGN">"c3172"</definedName>
    <definedName name="IQ_PENSION_ASSETS_ACTUAL_RETURN">"c3158"</definedName>
    <definedName name="IQ_PENSION_ASSETS_ACTUAL_RETURN_DOM">"c3156"</definedName>
    <definedName name="IQ_PENSION_ASSETS_ACTUAL_RETURN_FOREIGN">"c3157"</definedName>
    <definedName name="IQ_PENSION_ASSETS_BEG">"c3155"</definedName>
    <definedName name="IQ_PENSION_ASSETS_BEG_DOM">"c3153"</definedName>
    <definedName name="IQ_PENSION_ASSETS_BEG_FOREIGN">"c3154"</definedName>
    <definedName name="IQ_PENSION_ASSETS_BENEFITS_PAID">"c3167"</definedName>
    <definedName name="IQ_PENSION_ASSETS_BENEFITS_PAID_DOM">"c3165"</definedName>
    <definedName name="IQ_PENSION_ASSETS_BENEFITS_PAID_FOREIGN">"c3166"</definedName>
    <definedName name="IQ_PENSION_ASSETS_CURTAIL">"c3176"</definedName>
    <definedName name="IQ_PENSION_ASSETS_CURTAIL_DOM">"c3174"</definedName>
    <definedName name="IQ_PENSION_ASSETS_CURTAIL_FOREIGN">"c3175"</definedName>
    <definedName name="IQ_PENSION_ASSETS_DOM">"c3180"</definedName>
    <definedName name="IQ_PENSION_ASSETS_EMPLOYER_CONTRIBUTIONS">"c3161"</definedName>
    <definedName name="IQ_PENSION_ASSETS_EMPLOYER_CONTRIBUTIONS_DOM">"c3159"</definedName>
    <definedName name="IQ_PENSION_ASSETS_EMPLOYER_CONTRIBUTIONS_FOREIGN">"c3160"</definedName>
    <definedName name="IQ_PENSION_ASSETS_FOREIGN">"c3181"</definedName>
    <definedName name="IQ_PENSION_ASSETS_FX_ADJ">"c3170"</definedName>
    <definedName name="IQ_PENSION_ASSETS_FX_ADJ_DOM">"c3168"</definedName>
    <definedName name="IQ_PENSION_ASSETS_FX_ADJ_FOREIGN">"c3169"</definedName>
    <definedName name="IQ_PENSION_ASSETS_OTHER_PLAN_ADJ">"c3179"</definedName>
    <definedName name="IQ_PENSION_ASSETS_OTHER_PLAN_ADJ_DOM">"c3177"</definedName>
    <definedName name="IQ_PENSION_ASSETS_OTHER_PLAN_ADJ_FOREIGN">"c3178"</definedName>
    <definedName name="IQ_PENSION_ASSETS_PARTICIP_CONTRIBUTIONS">"c3164"</definedName>
    <definedName name="IQ_PENSION_ASSETS_PARTICIP_CONTRIBUTIONS_DOM">"c3162"</definedName>
    <definedName name="IQ_PENSION_ASSETS_PARTICIP_CONTRIBUTIONS_FOREIGN">"c3163"</definedName>
    <definedName name="IQ_PENSION_BENEFIT_INFO_DATE">"c3230"</definedName>
    <definedName name="IQ_PENSION_BENEFIT_INFO_DATE_DOM">"c3228"</definedName>
    <definedName name="IQ_PENSION_BENEFIT_INFO_DATE_FOREIGN">"c3229"</definedName>
    <definedName name="IQ_PENSION_BREAKDOWN_EQ">"c3101"</definedName>
    <definedName name="IQ_PENSION_BREAKDOWN_EQ_DOM">"c3099"</definedName>
    <definedName name="IQ_PENSION_BREAKDOWN_EQ_FOREIGN">"c3100"</definedName>
    <definedName name="IQ_PENSION_BREAKDOWN_FI">"c3104"</definedName>
    <definedName name="IQ_PENSION_BREAKDOWN_FI_DOM">"c3102"</definedName>
    <definedName name="IQ_PENSION_BREAKDOWN_FI_FOREIGN">"c3103"</definedName>
    <definedName name="IQ_PENSION_BREAKDOWN_OTHER">"c3110"</definedName>
    <definedName name="IQ_PENSION_BREAKDOWN_OTHER_DOM">"c3108"</definedName>
    <definedName name="IQ_PENSION_BREAKDOWN_OTHER_FOREIGN">"c3109"</definedName>
    <definedName name="IQ_PENSION_BREAKDOWN_PCT_EQ">"c3089"</definedName>
    <definedName name="IQ_PENSION_BREAKDOWN_PCT_EQ_DOM">"c3087"</definedName>
    <definedName name="IQ_PENSION_BREAKDOWN_PCT_EQ_FOREIGN">"c3088"</definedName>
    <definedName name="IQ_PENSION_BREAKDOWN_PCT_FI">"c3092"</definedName>
    <definedName name="IQ_PENSION_BREAKDOWN_PCT_FI_DOM">"c3090"</definedName>
    <definedName name="IQ_PENSION_BREAKDOWN_PCT_FI_FOREIGN">"c3091"</definedName>
    <definedName name="IQ_PENSION_BREAKDOWN_PCT_OTHER">"c3098"</definedName>
    <definedName name="IQ_PENSION_BREAKDOWN_PCT_OTHER_DOM">"c3096"</definedName>
    <definedName name="IQ_PENSION_BREAKDOWN_PCT_OTHER_FOREIGN">"c3097"</definedName>
    <definedName name="IQ_PENSION_BREAKDOWN_PCT_RE">"c3095"</definedName>
    <definedName name="IQ_PENSION_BREAKDOWN_PCT_RE_DOM">"c3093"</definedName>
    <definedName name="IQ_PENSION_BREAKDOWN_PCT_RE_FOREIGN">"c3094"</definedName>
    <definedName name="IQ_PENSION_BREAKDOWN_RE">"c3107"</definedName>
    <definedName name="IQ_PENSION_BREAKDOWN_RE_DOM">"c3105"</definedName>
    <definedName name="IQ_PENSION_BREAKDOWN_RE_FOREIGN">"c3106"</definedName>
    <definedName name="IQ_PENSION_CONTRIBUTION_TOTAL_COST">"c3559"</definedName>
    <definedName name="IQ_PENSION_DISC_RATE_MAX">"c3236"</definedName>
    <definedName name="IQ_PENSION_DISC_RATE_MAX_DOM">"c3234"</definedName>
    <definedName name="IQ_PENSION_DISC_RATE_MAX_FOREIGN">"c3235"</definedName>
    <definedName name="IQ_PENSION_DISC_RATE_MIN">"c3233"</definedName>
    <definedName name="IQ_PENSION_DISC_RATE_MIN_DOM">"c3231"</definedName>
    <definedName name="IQ_PENSION_DISC_RATE_MIN_FOREIGN">"c3232"</definedName>
    <definedName name="IQ_PENSION_DISCOUNT_RATE_DOMESTIC">"c3573"</definedName>
    <definedName name="IQ_PENSION_DISCOUNT_RATE_FOREIGN">"c3574"</definedName>
    <definedName name="IQ_PENSION_EST_BENEFIT_1YR">"c3113"</definedName>
    <definedName name="IQ_PENSION_EST_BENEFIT_1YR_DOM">"c3111"</definedName>
    <definedName name="IQ_PENSION_EST_BENEFIT_1YR_FOREIGN">"c3112"</definedName>
    <definedName name="IQ_PENSION_EST_BENEFIT_2YR">"c3116"</definedName>
    <definedName name="IQ_PENSION_EST_BENEFIT_2YR_DOM">"c3114"</definedName>
    <definedName name="IQ_PENSION_EST_BENEFIT_2YR_FOREIGN">"c3115"</definedName>
    <definedName name="IQ_PENSION_EST_BENEFIT_3YR">"c3119"</definedName>
    <definedName name="IQ_PENSION_EST_BENEFIT_3YR_DOM">"c3117"</definedName>
    <definedName name="IQ_PENSION_EST_BENEFIT_3YR_FOREIGN">"c3118"</definedName>
    <definedName name="IQ_PENSION_EST_BENEFIT_4YR">"c3122"</definedName>
    <definedName name="IQ_PENSION_EST_BENEFIT_4YR_DOM">"c3120"</definedName>
    <definedName name="IQ_PENSION_EST_BENEFIT_4YR_FOREIGN">"c3121"</definedName>
    <definedName name="IQ_PENSION_EST_BENEFIT_5YR">"c3125"</definedName>
    <definedName name="IQ_PENSION_EST_BENEFIT_5YR_DOM">"c3123"</definedName>
    <definedName name="IQ_PENSION_EST_BENEFIT_5YR_FOREIGN">"c3124"</definedName>
    <definedName name="IQ_PENSION_EST_BENEFIT_AFTER5">"c3128"</definedName>
    <definedName name="IQ_PENSION_EST_BENEFIT_AFTER5_DOM">"c3126"</definedName>
    <definedName name="IQ_PENSION_EST_BENEFIT_AFTER5_FOREIGN">"c3127"</definedName>
    <definedName name="IQ_PENSION_EST_CONTRIBUTIONS_NEXTYR">"c3218"</definedName>
    <definedName name="IQ_PENSION_EST_CONTRIBUTIONS_NEXTYR_DOM">"c3216"</definedName>
    <definedName name="IQ_PENSION_EST_CONTRIBUTIONS_NEXTYR_FOREIGN">"c3217"</definedName>
    <definedName name="IQ_PENSION_EXP_RATE_RETURN_MAX">"c3248"</definedName>
    <definedName name="IQ_PENSION_EXP_RATE_RETURN_MAX_DOM">"c3246"</definedName>
    <definedName name="IQ_PENSION_EXP_RATE_RETURN_MAX_FOREIGN">"c3247"</definedName>
    <definedName name="IQ_PENSION_EXP_RATE_RETURN_MIN">"c3245"</definedName>
    <definedName name="IQ_PENSION_EXP_RATE_RETURN_MIN_DOM">"c3243"</definedName>
    <definedName name="IQ_PENSION_EXP_RATE_RETURN_MIN_FOREIGN">"c3244"</definedName>
    <definedName name="IQ_PENSION_EXP_RETURN_DOMESTIC">"c3571"</definedName>
    <definedName name="IQ_PENSION_EXP_RETURN_FOREIGN">"c3572"</definedName>
    <definedName name="IQ_PENSION_INTAN_ASSETS">"c3137"</definedName>
    <definedName name="IQ_PENSION_INTAN_ASSETS_DOM">"c3135"</definedName>
    <definedName name="IQ_PENSION_INTAN_ASSETS_FOREIGN">"c3136"</definedName>
    <definedName name="IQ_PENSION_INTEREST_COST">"c3582"</definedName>
    <definedName name="IQ_PENSION_INTEREST_COST_DOM">"c3580"</definedName>
    <definedName name="IQ_PENSION_INTEREST_COST_FOREIGN">"c3581"</definedName>
    <definedName name="IQ_PENSION_NET_ASSET_RECOG">"c3152"</definedName>
    <definedName name="IQ_PENSION_NET_ASSET_RECOG_DOM">"c3150"</definedName>
    <definedName name="IQ_PENSION_NET_ASSET_RECOG_FOREIGN">"c3151"</definedName>
    <definedName name="IQ_PENSION_OBLIGATION_ACQ">"c3206"</definedName>
    <definedName name="IQ_PENSION_OBLIGATION_ACQ_DOM">"c3204"</definedName>
    <definedName name="IQ_PENSION_OBLIGATION_ACQ_FOREIGN">"c3205"</definedName>
    <definedName name="IQ_PENSION_OBLIGATION_ACTUARIAL_GAIN_LOSS">"c3197"</definedName>
    <definedName name="IQ_PENSION_OBLIGATION_ACTUARIAL_GAIN_LOSS_DOM">"c3195"</definedName>
    <definedName name="IQ_PENSION_OBLIGATION_ACTUARIAL_GAIN_LOSS_FOREIGN">"c3196"</definedName>
    <definedName name="IQ_PENSION_OBLIGATION_BEG">"c3185"</definedName>
    <definedName name="IQ_PENSION_OBLIGATION_BEG_DOM">"c3183"</definedName>
    <definedName name="IQ_PENSION_OBLIGATION_BEG_FOREIGN">"c3184"</definedName>
    <definedName name="IQ_PENSION_OBLIGATION_CURTAIL">"c3209"</definedName>
    <definedName name="IQ_PENSION_OBLIGATION_CURTAIL_DOM">"c3207"</definedName>
    <definedName name="IQ_PENSION_OBLIGATION_CURTAIL_FOREIGN">"c3208"</definedName>
    <definedName name="IQ_PENSION_OBLIGATION_EMPLOYEE_CONTRIBUTIONS">"c3194"</definedName>
    <definedName name="IQ_PENSION_OBLIGATION_EMPLOYEE_CONTRIBUTIONS_DOM">"c3192"</definedName>
    <definedName name="IQ_PENSION_OBLIGATION_EMPLOYEE_CONTRIBUTIONS_FOREIGN">"c3193"</definedName>
    <definedName name="IQ_PENSION_OBLIGATION_FX_ADJ">"c3203"</definedName>
    <definedName name="IQ_PENSION_OBLIGATION_FX_ADJ_DOM">"c3201"</definedName>
    <definedName name="IQ_PENSION_OBLIGATION_FX_ADJ_FOREIGN">"c3202"</definedName>
    <definedName name="IQ_PENSION_OBLIGATION_INTEREST_COST">"c3191"</definedName>
    <definedName name="IQ_PENSION_OBLIGATION_INTEREST_COST_DOM">"c3189"</definedName>
    <definedName name="IQ_PENSION_OBLIGATION_INTEREST_COST_FOREIGN">"c3190"</definedName>
    <definedName name="IQ_PENSION_OBLIGATION_OTHER_COST">"c3555"</definedName>
    <definedName name="IQ_PENSION_OBLIGATION_OTHER_COST_DOM">"c3553"</definedName>
    <definedName name="IQ_PENSION_OBLIGATION_OTHER_COST_FOREIGN">"c3554"</definedName>
    <definedName name="IQ_PENSION_OBLIGATION_OTHER_PLAN_ADJ">"c3212"</definedName>
    <definedName name="IQ_PENSION_OBLIGATION_OTHER_PLAN_ADJ_DOM">"c3210"</definedName>
    <definedName name="IQ_PENSION_OBLIGATION_OTHER_PLAN_ADJ_FOREIGN">"c3211"</definedName>
    <definedName name="IQ_PENSION_OBLIGATION_PAID">"c3200"</definedName>
    <definedName name="IQ_PENSION_OBLIGATION_PAID_DOM">"c3198"</definedName>
    <definedName name="IQ_PENSION_OBLIGATION_PAID_FOREIGN">"c3199"</definedName>
    <definedName name="IQ_PENSION_OBLIGATION_PROJECTED">"c3215"</definedName>
    <definedName name="IQ_PENSION_OBLIGATION_PROJECTED_DOM">"c3213"</definedName>
    <definedName name="IQ_PENSION_OBLIGATION_PROJECTED_FOREIGN">"c3214"</definedName>
    <definedName name="IQ_PENSION_OBLIGATION_ROA">"c3552"</definedName>
    <definedName name="IQ_PENSION_OBLIGATION_ROA_DOM">"c3550"</definedName>
    <definedName name="IQ_PENSION_OBLIGATION_ROA_FOREIGN">"c3551"</definedName>
    <definedName name="IQ_PENSION_OBLIGATION_SERVICE_COST">"c3188"</definedName>
    <definedName name="IQ_PENSION_OBLIGATION_SERVICE_COST_DOM">"c3186"</definedName>
    <definedName name="IQ_PENSION_OBLIGATION_SERVICE_COST_FOREIGN">"c3187"</definedName>
    <definedName name="IQ_PENSION_OBLIGATION_TOTAL_COST">"c3558"</definedName>
    <definedName name="IQ_PENSION_OBLIGATION_TOTAL_COST_DOM">"c3556"</definedName>
    <definedName name="IQ_PENSION_OBLIGATION_TOTAL_COST_FOREIGN">"c3557"</definedName>
    <definedName name="IQ_PENSION_OTHER">"c3143"</definedName>
    <definedName name="IQ_PENSION_OTHER_ADJ">"c3149"</definedName>
    <definedName name="IQ_PENSION_OTHER_ADJ_DOM">"c3147"</definedName>
    <definedName name="IQ_PENSION_OTHER_ADJ_FOREIGN">"c3148"</definedName>
    <definedName name="IQ_PENSION_OTHER_DOM">"c3141"</definedName>
    <definedName name="IQ_PENSION_OTHER_FOREIGN">"c3142"</definedName>
    <definedName name="IQ_PENSION_PBO_ASSUMED_RATE_RET_MAX">"c3254"</definedName>
    <definedName name="IQ_PENSION_PBO_ASSUMED_RATE_RET_MAX_DOM">"c3252"</definedName>
    <definedName name="IQ_PENSION_PBO_ASSUMED_RATE_RET_MAX_FOREIGN">"c3253"</definedName>
    <definedName name="IQ_PENSION_PBO_ASSUMED_RATE_RET_MIN">"c3251"</definedName>
    <definedName name="IQ_PENSION_PBO_ASSUMED_RATE_RET_MIN_DOM">"c3249"</definedName>
    <definedName name="IQ_PENSION_PBO_ASSUMED_RATE_RET_MIN_FOREIGN">"c3250"</definedName>
    <definedName name="IQ_PENSION_PBO_RATE_COMP_INCREASE_MAX">"c3260"</definedName>
    <definedName name="IQ_PENSION_PBO_RATE_COMP_INCREASE_MAX_DOM">"c3258"</definedName>
    <definedName name="IQ_PENSION_PBO_RATE_COMP_INCREASE_MAX_FOREIGN">"c3259"</definedName>
    <definedName name="IQ_PENSION_PBO_RATE_COMP_INCREASE_MIN">"c3257"</definedName>
    <definedName name="IQ_PENSION_PBO_RATE_COMP_INCREASE_MIN_DOM">"c3255"</definedName>
    <definedName name="IQ_PENSION_PBO_RATE_COMP_INCREASE_MIN_FOREIGN">"c3256"</definedName>
    <definedName name="IQ_PENSION_PREPAID_COST">"c3131"</definedName>
    <definedName name="IQ_PENSION_PREPAID_COST_DOM">"c3129"</definedName>
    <definedName name="IQ_PENSION_PREPAID_COST_FOREIGN">"c3130"</definedName>
    <definedName name="IQ_PENSION_PROJECTED_OBLIGATION">"c3566"</definedName>
    <definedName name="IQ_PENSION_PROJECTED_OBLIGATION_DOMESTIC">"c3564"</definedName>
    <definedName name="IQ_PENSION_PROJECTED_OBLIGATION_FOREIGN">"c3565"</definedName>
    <definedName name="IQ_PENSION_QUART_ADDL_CONTRIBUTIONS_EXP">"c3224"</definedName>
    <definedName name="IQ_PENSION_QUART_ADDL_CONTRIBUTIONS_EXP_DOM">"c3222"</definedName>
    <definedName name="IQ_PENSION_QUART_ADDL_CONTRIBUTIONS_EXP_FOREIGN">"c3223"</definedName>
    <definedName name="IQ_PENSION_QUART_EMPLOYER_CONTRIBUTIONS">"c3221"</definedName>
    <definedName name="IQ_PENSION_QUART_EMPLOYER_CONTRIBUTIONS_DOM">"c3219"</definedName>
    <definedName name="IQ_PENSION_QUART_EMPLOYER_CONTRIBUTIONS_FOREIGN">"c3220"</definedName>
    <definedName name="IQ_PENSION_RATE_COMP_GROWTH_DOMESTIC">"c3575"</definedName>
    <definedName name="IQ_PENSION_RATE_COMP_GROWTH_FOREIGN">"c3576"</definedName>
    <definedName name="IQ_PENSION_RATE_COMP_INCREASE_MAX">"c3242"</definedName>
    <definedName name="IQ_PENSION_RATE_COMP_INCREASE_MAX_DOM">"c3240"</definedName>
    <definedName name="IQ_PENSION_RATE_COMP_INCREASE_MAX_FOREIGN">"c3241"</definedName>
    <definedName name="IQ_PENSION_RATE_COMP_INCREASE_MIN">"c3239"</definedName>
    <definedName name="IQ_PENSION_RATE_COMP_INCREASE_MIN_DOM">"c3237"</definedName>
    <definedName name="IQ_PENSION_RATE_COMP_INCREASE_MIN_FOREIGN">"c3238"</definedName>
    <definedName name="IQ_PENSION_SERVICE_COST">"c3579"</definedName>
    <definedName name="IQ_PENSION_SERVICE_COST_DOM">"c3577"</definedName>
    <definedName name="IQ_PENSION_SERVICE_COST_FOREIGN">"c3578"</definedName>
    <definedName name="IQ_PENSION_TOTAL_ASSETS">"c3563"</definedName>
    <definedName name="IQ_PENSION_TOTAL_ASSETS_DOMESTIC">"c3561"</definedName>
    <definedName name="IQ_PENSION_TOTAL_ASSETS_FOREIGN">"c3562"</definedName>
    <definedName name="IQ_PENSION_TOTAL_EXP">"c3560"</definedName>
    <definedName name="IQ_PENSION_UNFUNDED_ADDL_MIN_LIAB">"c3227"</definedName>
    <definedName name="IQ_PENSION_UNFUNDED_ADDL_MIN_LIAB_DOM">"c3225"</definedName>
    <definedName name="IQ_PENSION_UNFUNDED_ADDL_MIN_LIAB_FOREIGN">"c3226"</definedName>
    <definedName name="IQ_PENSION_UNRECOG_PRIOR">"c3146"</definedName>
    <definedName name="IQ_PENSION_UNRECOG_PRIOR_DOM">"c3144"</definedName>
    <definedName name="IQ_PENSION_UNRECOG_PRIOR_FOREIGN">"c3145"</definedName>
    <definedName name="IQ_PENSION_UV_LIAB">"c3567"</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MT_FREQ">"c2236"</definedName>
    <definedName name="IQ_POISON_PUT_EFFECT_DATE">"c2486"</definedName>
    <definedName name="IQ_POISON_PUT_EXPIRATION_DATE">"c2487"</definedName>
    <definedName name="IQ_POISON_PUT_PRICE">"c2488"</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RE_OPEN_COST">"c1040"</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IT">"c1058"</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ICE_OVER_BVPS">"c1412"</definedName>
    <definedName name="IQ_PRICE_OVER_LTM_EPS">"c1413"</definedName>
    <definedName name="IQ_PRICE_TARGET">"c82"</definedName>
    <definedName name="IQ_PRICE_TARGET_REUT">"c3631"</definedName>
    <definedName name="IQ_PRICEDATE">"c1069"</definedName>
    <definedName name="IQ_PRICING_DATE">"c1613"</definedName>
    <definedName name="IQ_PRIMARY_INDUSTRY">"c1070"</definedName>
    <definedName name="IQ_PRINCIPAL_AMT">"c2157"</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GROWTH">"c1077"</definedName>
    <definedName name="IQ_PROVISION_1YR_ANN_GROWTH">"c1078"</definedName>
    <definedName name="IQ_PROVISION_2YR_ANN_GROWTH">"c1079"</definedName>
    <definedName name="IQ_PROVISION_3YR_ANN_GROWTH">"c1080"</definedName>
    <definedName name="IQ_PROVISION_5YR_ANN_GROWTH">"c1081"</definedName>
    <definedName name="IQ_PROVISION_7YR_ANN_GROWTH">"c1082"</definedName>
    <definedName name="IQ_PROVISION_CHARGE_OFFS">"c1083"</definedName>
    <definedName name="IQ_PTBV">"c1084"</definedName>
    <definedName name="IQ_PTBV_AVG">"c1085"</definedName>
    <definedName name="IQ_PUT_DATE_SCHEDULE">"c2483"</definedName>
    <definedName name="IQ_PUT_NOTIFICATION">"c2485"</definedName>
    <definedName name="IQ_PUT_PRICE_SCHEDULE">"c2484"</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CURRING_PROFIT_ACT_OR_EST">"c4507"</definedName>
    <definedName name="IQ_RECURRING_PROFIT_SHARE_ACT_OR_EST">"c4508"</definedName>
    <definedName name="IQ_REDEEM_PREF_STOCK">"c1417"</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_STOCK_COMP">"c3506"</definedName>
    <definedName name="IQ_RESTR_STOCK_COMP_PRETAX">"c3504"</definedName>
    <definedName name="IQ_RESTR_STOCK_COMP_TAX">"c3505"</definedName>
    <definedName name="IQ_RESTRICTED_CASH">"c1103"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IT">"c1110"</definedName>
    <definedName name="IQ_RESTRUCTURE_UTI">"c1111"</definedName>
    <definedName name="IQ_RESTRUCTURED_LOANS">"c1112"</definedName>
    <definedName name="IQ_RETAIL_ACQUIRED_FRANCHISE_STORES">"c2895"</definedName>
    <definedName name="IQ_RETAIL_ACQUIRED_OWNED_STORES">"c2903"</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BANK">"c1114"</definedName>
    <definedName name="IQ_RETURN_ASSETS_BROK">"c1115"</definedName>
    <definedName name="IQ_RETURN_ASSETS_FS">"c1116"</definedName>
    <definedName name="IQ_RETURN_CAPITAL">"c1117"</definedName>
    <definedName name="IQ_RETURN_EQUITY">"c1118"</definedName>
    <definedName name="IQ_RETURN_EQUITY_BANK">"c1119"</definedName>
    <definedName name="IQ_RETURN_EQUITY_BROK">"c1120"</definedName>
    <definedName name="IQ_RETURN_EQUITY_FS">"c1121"</definedName>
    <definedName name="IQ_RETURN_INVESTMENT">"c1421"</definedName>
    <definedName name="IQ_REV">"c1122"</definedName>
    <definedName name="IQ_REV_BEFORE_LL">"c1123"</definedName>
    <definedName name="IQ_REV_STDDEV_EST">"c1124"</definedName>
    <definedName name="IQ_REV_STDDEV_EST_REUT">"c3639"</definedName>
    <definedName name="IQ_REV_UTI">"c1125"</definedName>
    <definedName name="IQ_REVENUE">"c1422"</definedName>
    <definedName name="IQ_REVENUE_EST">"c1126"</definedName>
    <definedName name="IQ_REVENUE_EST_REUT">"c3634"</definedName>
    <definedName name="IQ_REVENUE_HIGH_EST">"c1127"</definedName>
    <definedName name="IQ_REVENUE_HIGH_EST_REUT">"c3636"</definedName>
    <definedName name="IQ_REVENUE_LOW_EST">"c1128"</definedName>
    <definedName name="IQ_REVENUE_LOW_EST_REUT">"c3637"</definedName>
    <definedName name="IQ_REVENUE_MEDIAN_EST">"c1662"</definedName>
    <definedName name="IQ_REVENUE_MEDIAN_EST_REUT">"c3635"</definedName>
    <definedName name="IQ_REVENUE_NUM_EST">"c1129"</definedName>
    <definedName name="IQ_REVENUE_NUM_EST_REUT">"c3638"</definedName>
    <definedName name="IQ_REVISION_DATE_">39483.7502777778</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_PURCHASED_RESELL">"c5513"</definedName>
    <definedName name="IQ_SECUR_RECEIV">"c1151"</definedName>
    <definedName name="IQ_SECURED_DEBT">"c2546"</definedName>
    <definedName name="IQ_SECURED_DEBT_PCT">"c2547"</definedName>
    <definedName name="IQ_SECURITY_BORROW">"c1152"</definedName>
    <definedName name="IQ_SECURITY_LEVEL">"c2159"</definedName>
    <definedName name="IQ_SECURITY_NOTES">"c2202"</definedName>
    <definedName name="IQ_SECURITY_OWN">"c1153"</definedName>
    <definedName name="IQ_SECURITY_RESELL">"c1154"</definedName>
    <definedName name="IQ_SECURITY_TYPE">"c2158"</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IT">"c1161"</definedName>
    <definedName name="IQ_SGA_SUPPL">"c1162"</definedName>
    <definedName name="IQ_SGA_UTI">"c1163"</definedName>
    <definedName name="IQ_SHAREOUTSTANDING">"c1347"</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_BANK">"c2637"</definedName>
    <definedName name="IQ_SP_BANK_ACTION">"c2636"</definedName>
    <definedName name="IQ_SP_BANK_DATE">"c2635"</definedName>
    <definedName name="IQ_SP_FIN_ENHANCE_FX">"c2631"</definedName>
    <definedName name="IQ_SP_FIN_ENHANCE_FX_ACTION">"c2630"</definedName>
    <definedName name="IQ_SP_FIN_ENHANCE_FX_DATE">"c2629"</definedName>
    <definedName name="IQ_SP_FIN_ENHANCE_LC">"c2634"</definedName>
    <definedName name="IQ_SP_FIN_ENHANCE_LC_ACTION">"c2633"</definedName>
    <definedName name="IQ_SP_FIN_ENHANCE_LC_DATE">"c2632"</definedName>
    <definedName name="IQ_SP_FIN_STRENGTH_LC_ACTION_LT">"c2625"</definedName>
    <definedName name="IQ_SP_FIN_STRENGTH_LC_ACTION_ST">"c2626"</definedName>
    <definedName name="IQ_SP_FIN_STRENGTH_LC_DATE_LT">"c2623"</definedName>
    <definedName name="IQ_SP_FIN_STRENGTH_LC_DATE_ST">"c2624"</definedName>
    <definedName name="IQ_SP_FIN_STRENGTH_LC_LT">"c2627"</definedName>
    <definedName name="IQ_SP_FIN_STRENGTH_LC_ST">"c2628"</definedName>
    <definedName name="IQ_SP_FX_ACTION_LT">"c2613"</definedName>
    <definedName name="IQ_SP_FX_ACTION_ST">"c2614"</definedName>
    <definedName name="IQ_SP_FX_DATE_LT">"c2611"</definedName>
    <definedName name="IQ_SP_FX_DATE_ST">"c2612"</definedName>
    <definedName name="IQ_SP_FX_LT">"c2615"</definedName>
    <definedName name="IQ_SP_FX_ST">"c2616"</definedName>
    <definedName name="IQ_SP_ISSUE_ACTION">"c2644"</definedName>
    <definedName name="IQ_SP_ISSUE_DATE">"c2643"</definedName>
    <definedName name="IQ_SP_ISSUE_LT">"c2645"</definedName>
    <definedName name="IQ_SP_ISSUE_OUTLOOK_WATCH">"c2650"</definedName>
    <definedName name="IQ_SP_ISSUE_OUTLOOK_WATCH_DATE">"c2649"</definedName>
    <definedName name="IQ_SP_ISSUE_RECOVER">"c2648"</definedName>
    <definedName name="IQ_SP_ISSUE_RECOVER_ACTION">"c2647"</definedName>
    <definedName name="IQ_SP_ISSUE_RECOVER_DATE">"c2646"</definedName>
    <definedName name="IQ_SP_LC_ACTION_LT">"c2619"</definedName>
    <definedName name="IQ_SP_LC_ACTION_ST">"c2620"</definedName>
    <definedName name="IQ_SP_LC_DATE_LT">"c2617"</definedName>
    <definedName name="IQ_SP_LC_DATE_ST">"c2618"</definedName>
    <definedName name="IQ_SP_LC_LT">"c2621"</definedName>
    <definedName name="IQ_SP_LC_ST">"c2622"</definedName>
    <definedName name="IQ_SP_OUTLOOK_WATCH">"c2639"</definedName>
    <definedName name="IQ_SP_OUTLOOK_WATCH_DATE">"c2638"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IT">"c1186"</definedName>
    <definedName name="IQ_ST_DEBT_ISSUED_UTI">"c1187"</definedName>
    <definedName name="IQ_ST_DEBT_PCT">"c2539"</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IT">"c1194"</definedName>
    <definedName name="IQ_ST_DEBT_REPAID_UTI">"c1195"</definedName>
    <definedName name="IQ_ST_DEBT_UTI">"c1196"</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COMP">"c3512"</definedName>
    <definedName name="IQ_STOCK_BASED_COMP_PRETAX">"c3510"</definedName>
    <definedName name="IQ_STOCK_BASED_COMP_TAX">"c3511"</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OCK_OPTIONS_COMP">"c3509"</definedName>
    <definedName name="IQ_STOCK_OPTIONS_COMP_PRETAX">"c3507"</definedName>
    <definedName name="IQ_STOCK_OPTIONS_COMP_TAX">"c3508"</definedName>
    <definedName name="IQ_STRIKE_PRICE_ISSUED">"c1645"</definedName>
    <definedName name="IQ_STRIKE_PRICE_OS">"c1646"</definedName>
    <definedName name="IQ_STW">"c2166"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NUM_REUT">"c5319"</definedName>
    <definedName name="IQ_TARGET_PRICE_STDDEV">"c1654"</definedName>
    <definedName name="IQ_TARGET_PRICE_STDDEV_REUT">"c5320"</definedName>
    <definedName name="IQ_TAX_BENEFIT_CF_1YR">"c3483"</definedName>
    <definedName name="IQ_TAX_BENEFIT_CF_2YR">"c3484"</definedName>
    <definedName name="IQ_TAX_BENEFIT_CF_3YR">"c3485"</definedName>
    <definedName name="IQ_TAX_BENEFIT_CF_4YR">"c3486"</definedName>
    <definedName name="IQ_TAX_BENEFIT_CF_5YR">"c3487"</definedName>
    <definedName name="IQ_TAX_BENEFIT_CF_AFTER_FIVE">"c3488"</definedName>
    <definedName name="IQ_TAX_BENEFIT_CF_MAX_YEAR">"c3491"</definedName>
    <definedName name="IQ_TAX_BENEFIT_CF_NO_EXP">"c3489"</definedName>
    <definedName name="IQ_TAX_BENEFIT_CF_TOTAL">"c3490"</definedName>
    <definedName name="IQ_TAX_BENEFIT_OPTIONS">"c1215"</definedName>
    <definedName name="IQ_TAX_EQUIV_NET_INT_INC">"c1216"</definedName>
    <definedName name="IQ_TBV">"c1906"</definedName>
    <definedName name="IQ_TBV_10YR_ANN_GROWTH">"c1936"</definedName>
    <definedName name="IQ_TBV_1YR_ANN_GROWTH">"c1931"</definedName>
    <definedName name="IQ_TBV_2YR_ANN_GROWTH">"c1932"</definedName>
    <definedName name="IQ_TBV_3YR_ANN_GROWTH">"c1933"</definedName>
    <definedName name="IQ_TBV_5YR_ANN_GROWTH">"c1934"</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DA">"c1222"</definedName>
    <definedName name="IQ_TEV_EBITDA_AVG">"c1223"</definedName>
    <definedName name="IQ_TEV_EBITDA_FWD">"c1224"</definedName>
    <definedName name="IQ_TEV_EBITDA_FWD_REUT">"c4050"</definedName>
    <definedName name="IQ_TEV_EMPLOYEE_AVG">"c1225"</definedName>
    <definedName name="IQ_TEV_TOTAL_REV">"c1226"</definedName>
    <definedName name="IQ_TEV_TOTAL_REV_AVG">"c1227"</definedName>
    <definedName name="IQ_TEV_TOTAL_REV_FWD">"c1228"</definedName>
    <definedName name="IQ_TEV_TOTAL_REV_FWD_REUT">"c4051"</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IT">"c1232"</definedName>
    <definedName name="IQ_TOTAL_AR_UTI">"c1233"</definedName>
    <definedName name="IQ_TOTAL_ASSETS">"c1234"</definedName>
    <definedName name="IQ_TOTAL_ASSETS_10YR_ANN_GROWTH">"c1235"</definedName>
    <definedName name="IQ_TOTAL_ASSETS_1YR_ANN_GROWTH">"c1236"</definedName>
    <definedName name="IQ_TOTAL_ASSETS_2YR_ANN_GROWTH">"c1237"</definedName>
    <definedName name="IQ_TOTAL_ASSETS_3YR_ANN_GROWTH">"c1238"</definedName>
    <definedName name="IQ_TOTAL_ASSETS_5YR_ANN_GROWTH">"c1239"</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XCL_FIN">"c2937"</definedName>
    <definedName name="IQ_TOTAL_DEBT_ISSUED">"c1251"</definedName>
    <definedName name="IQ_TOTAL_DEBT_ISSUED_BNK">"c1252"</definedName>
    <definedName name="IQ_TOTAL_DEBT_ISSUED_BR">"c1253"</definedName>
    <definedName name="IQ_TOTAL_DEBT_ISSUED_FIN">"c1254"</definedName>
    <definedName name="IQ_TOTAL_DEBT_ISSUED_REIT">"c1255"</definedName>
    <definedName name="IQ_TOTAL_DEBT_ISSUED_UTI">"c1256"</definedName>
    <definedName name="IQ_TOTAL_DEBT_ISSUES_INS">"c1257"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IT">"c1263"</definedName>
    <definedName name="IQ_TOTAL_DEBT_REPAID_UTI">"c1264"</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GROWTH">"c1268"</definedName>
    <definedName name="IQ_TOTAL_EQUITY_1YR_ANN_GROWTH">"c1269"</definedName>
    <definedName name="IQ_TOTAL_EQUITY_2YR_ANN_GROWTH">"c1270"</definedName>
    <definedName name="IQ_TOTAL_EQUITY_3YR_ANN_GROWTH">"c1271"</definedName>
    <definedName name="IQ_TOTAL_EQUITY_5YR_ANN_GROWTH">"c1272"</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IT">"c1282"</definedName>
    <definedName name="IQ_TOTAL_LIAB_SHAREHOLD">"c1435"</definedName>
    <definedName name="IQ_TOTAL_LIAB_TOTAL_ASSETS">"c1283"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GROWTH">"c1295"</definedName>
    <definedName name="IQ_TOTAL_REV_1YR_ANN_GROWTH">"c1296"</definedName>
    <definedName name="IQ_TOTAL_REV_2YR_ANN_GROWTH">"c1297"</definedName>
    <definedName name="IQ_TOTAL_REV_3YR_ANN_GROWTH">"c1298"</definedName>
    <definedName name="IQ_TOTAL_REV_5YR_ANN_GROWTH">"c1299"</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UNUSUAL_BNK">"c5516"</definedName>
    <definedName name="IQ_TOTAL_UNUSUAL_BR">"c5517"</definedName>
    <definedName name="IQ_TOTAL_UNUSUAL_FIN">"c5518"</definedName>
    <definedName name="IQ_TOTAL_UNUSUAL_INS">"c5519"</definedName>
    <definedName name="IQ_TOTAL_UNUSUAL_REIT">"c5520"</definedName>
    <definedName name="IQ_TOTAL_UNUSUAL_UTI">"c5521"</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_EQ_INC">"c3611"</definedName>
    <definedName name="IQ_TR_ACQ_EBITDA">"c2381"</definedName>
    <definedName name="IQ_TR_ACQ_EBITDA_EQ_INC">"c3610"</definedName>
    <definedName name="IQ_TR_ACQ_FILING_CURRENCY">"c3033"</definedName>
    <definedName name="IQ_TR_ACQ_FILINGDATE">"c3607"</definedName>
    <definedName name="IQ_TR_ACQ_MCAP_1DAY">"c2345"</definedName>
    <definedName name="IQ_TR_ACQ_MIN_INT">"c2374"</definedName>
    <definedName name="IQ_TR_ACQ_NET_DEBT">"c2373"</definedName>
    <definedName name="IQ_TR_ACQ_NI">"c2378"</definedName>
    <definedName name="IQ_TR_ACQ_PERIODDATE">"c3606"</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INIT_FILED_DATE">"c3495"</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_EQ_INC">"c3609"</definedName>
    <definedName name="IQ_TR_TARGET_EBITDA">"c2334"</definedName>
    <definedName name="IQ_TR_TARGET_EBITDA_EQ_INC">"c3608"</definedName>
    <definedName name="IQ_TR_TARGET_FILING_CURRENCY">"c3034"</definedName>
    <definedName name="IQ_TR_TARGET_FILINGDATE">"c3605"</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ERIODDATE">"c3604"</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GROWTH">"c1948"</definedName>
    <definedName name="IQ_UFCF_1YR_ANN_GROWTH">"c1943"</definedName>
    <definedName name="IQ_UFCF_2YR_ANN_GROWTH">"c1944"</definedName>
    <definedName name="IQ_UFCF_3YR_ANN_GROWTH">"c1945"</definedName>
    <definedName name="IQ_UFCF_5YR_ANN_GROWTH">"c1946"</definedName>
    <definedName name="IQ_UFCF_7YR_ANN_GROWTH">"c1947"</definedName>
    <definedName name="IQ_UFCF_MARGIN">"c1962"</definedName>
    <definedName name="IQ_ULT_PARENT">"c3037"</definedName>
    <definedName name="IQ_ULT_PARENT_CIQID">"c3039"</definedName>
    <definedName name="IQ_ULT_PARENT_TICKER">"c3038"</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COST_REV_ADJ">"c2951"</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ING_CAP">"c3494"</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YTW">"c2163"</definedName>
    <definedName name="IQ_YTW_DATE">"c2164"</definedName>
    <definedName name="IQ_YTW_DATE_TYPE">"c2165"</definedName>
    <definedName name="IQ_Z_SCORE">"c1339"</definedName>
    <definedName name="IRefbase">'[10]L Graph (Data)'!$A$113:$DS$126</definedName>
    <definedName name="Irefbaseunits">'[19]L Graph (Data)'!$A$109:$DS$125</definedName>
    <definedName name="ITARCRRCCHARGE">'[11]L Graph (Data)'!$A$187:$DS$233</definedName>
    <definedName name="ITbasefee">'[11]L Graph (Data)'!$A$49:$DS$60</definedName>
    <definedName name="ITbaseRUFee">'[11]L Graph (Data)'!$A$239:$DS$286</definedName>
    <definedName name="ITbinputsumru">'[11]L Graph (Data)'!$A$81:$DS$128</definedName>
    <definedName name="ITbinputvol">'[11]L Graph (Data)'!$A$19:$DS$30</definedName>
    <definedName name="ITCinputvol">'[11]L Graph (Data)'!$A$34:$DS$45</definedName>
    <definedName name="ITIbaselineunits">'[11]L Graph (Data)'!$A$63:$DS$74</definedName>
    <definedName name="ITNetArcCharge">'[11]L Graph (Data)'!$A$293:$DS$339</definedName>
    <definedName name="ITnetservfee">'[11]L Graph (Data)'!$A$344:$DS$355</definedName>
    <definedName name="ITrefbaselineunits">'[11]L Graph (Data)'!$A$132:$DS$181</definedName>
    <definedName name="JTC">'[17]Operating Income Summary C-1'!$M$9</definedName>
    <definedName name="LABOR" localSheetId="0">#REF!</definedName>
    <definedName name="LABOR" localSheetId="1">#REF!</definedName>
    <definedName name="LABOR">#REF!</definedName>
    <definedName name="licenseduration" localSheetId="0">#REF!</definedName>
    <definedName name="licenseduration" localSheetId="1">#REF!</definedName>
    <definedName name="licenseduration">#REF!</definedName>
    <definedName name="licensescope" localSheetId="0">#REF!</definedName>
    <definedName name="licensescope" localSheetId="1">#REF!</definedName>
    <definedName name="licensescope">#REF!</definedName>
    <definedName name="LOBBYING" localSheetId="0">#REF!</definedName>
    <definedName name="LOBBYING" localSheetId="1">#REF!</definedName>
    <definedName name="LOBBYING">#REF!</definedName>
    <definedName name="lookup">'[26]Input Sheet'!$A$9:$BM$140</definedName>
    <definedName name="M_S" localSheetId="0">#REF!</definedName>
    <definedName name="M_S" localSheetId="1">#REF!</definedName>
    <definedName name="M_S">#REF!</definedName>
    <definedName name="mktcomp" localSheetId="0">#REF!</definedName>
    <definedName name="mktcomp" localSheetId="1">#REF!</definedName>
    <definedName name="mktcomp">#REF!</definedName>
    <definedName name="mktfin2" localSheetId="0">#REF!</definedName>
    <definedName name="mktfin2" localSheetId="1">#REF!</definedName>
    <definedName name="mktfin2">#REF!</definedName>
    <definedName name="mktfin3" localSheetId="0">#REF!</definedName>
    <definedName name="mktfin3" localSheetId="1">#REF!</definedName>
    <definedName name="mktfin3">#REF!</definedName>
    <definedName name="mktfin6" localSheetId="0">#REF!</definedName>
    <definedName name="mktfin6" localSheetId="1">#REF!</definedName>
    <definedName name="mktfin6">#REF!</definedName>
    <definedName name="mktpage4" localSheetId="0">#REF!</definedName>
    <definedName name="mktpage4" localSheetId="1">#REF!</definedName>
    <definedName name="mktpage4">#REF!</definedName>
    <definedName name="MKTPRODUCT" localSheetId="0">#REF!</definedName>
    <definedName name="MKTPRODUCT" localSheetId="1">#REF!</definedName>
    <definedName name="MKTPRODUCT">#REF!</definedName>
    <definedName name="NCSC" localSheetId="0">'[27]Rev Def Sum'!#REF!</definedName>
    <definedName name="NCSC" localSheetId="1">'[27]Rev Def Sum'!#REF!</definedName>
    <definedName name="NCSC">'[27]Rev Def Sum'!#REF!</definedName>
    <definedName name="NCSCLB" hidden="1">{"'Server Configuration'!$A$1:$DB$281"}</definedName>
    <definedName name="NEBT" localSheetId="0">#REF!</definedName>
    <definedName name="NEBT" localSheetId="1">#REF!</definedName>
    <definedName name="NEBT">#REF!</definedName>
    <definedName name="NEWFILE" localSheetId="0">#REF!</definedName>
    <definedName name="NEWFILE" localSheetId="1">#REF!</definedName>
    <definedName name="NEWFILE">#REF!</definedName>
    <definedName name="NJANG" localSheetId="0">#REF!</definedName>
    <definedName name="NJANG" localSheetId="1">#REF!</definedName>
    <definedName name="NJANG">#REF!</definedName>
    <definedName name="NJDIST" localSheetId="0">#REF!</definedName>
    <definedName name="NJDIST" localSheetId="1">#REF!</definedName>
    <definedName name="NJDIST">#REF!</definedName>
    <definedName name="No." localSheetId="0">#REF!</definedName>
    <definedName name="No." localSheetId="1">#REF!</definedName>
    <definedName name="No.">#REF!</definedName>
    <definedName name="NORM_VOL" localSheetId="0">#REF!</definedName>
    <definedName name="NORM_VOL" localSheetId="1">#REF!</definedName>
    <definedName name="NORM_VOL">#REF!</definedName>
    <definedName name="nousf" localSheetId="0">#REF!</definedName>
    <definedName name="nousf" localSheetId="1">#REF!</definedName>
    <definedName name="nousf">#REF!</definedName>
    <definedName name="NPM" localSheetId="0">#REF!</definedName>
    <definedName name="NPM" localSheetId="1">#REF!</definedName>
    <definedName name="NPM">#REF!</definedName>
    <definedName name="NvsAnswerCol">"'[PYR_SVC_BLUERI_AP IMAGES.xls]AVG FXrates'!$A$4:$A$21"</definedName>
    <definedName name="NvsASD">"V2001-09-30"</definedName>
    <definedName name="NvsASD_1">"V2007-09-30"</definedName>
    <definedName name="NvsASD_1_1">"V2012-06-30"</definedName>
    <definedName name="NvsAutoDrillOk">"VN"</definedName>
    <definedName name="NvsElapsedTime">0.00477291666902602</definedName>
    <definedName name="NvsElapsedTime_1">0.000219907407881692</definedName>
    <definedName name="NvsElapsedTime_1_1">0.00020833333110204</definedName>
    <definedName name="NvsElapsedTime_2">0.000219907407881692</definedName>
    <definedName name="NvsEndTime">35706.4988658565</definedName>
    <definedName name="NvsEndTime_1">39363.4914467593</definedName>
    <definedName name="NvsEndTime_1_1">41099.6144444444</definedName>
    <definedName name="NvsEndTime_2">39363.4914467593</definedName>
    <definedName name="NvsInstanceHook" localSheetId="0">#REF!='[28]September Travel Detail'!#REF!</definedName>
    <definedName name="NvsInstanceHook" localSheetId="1">#REF!='[28]September Travel Detail'!#REF!</definedName>
    <definedName name="NvsInstanceHook">#REF!='[28]September Travel Detail'!#REF!</definedName>
    <definedName name="NvsInstanceHook_1" localSheetId="0">#REF!='[28]September Travel Detail'!#REF!</definedName>
    <definedName name="NvsInstanceHook_1" localSheetId="1">#REF!='[28]September Travel Detail'!#REF!</definedName>
    <definedName name="NvsInstanceHook_1">#REF!='[28]September Travel Detail'!#REF!</definedName>
    <definedName name="NvsInstLang">"VENG"</definedName>
    <definedName name="NvsInstSpec">"%,FDEPTID,VHS9PW"</definedName>
    <definedName name="NvsInstSpec_1">"%"</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"V2000-01-01"</definedName>
    <definedName name="NvsPanelEffdt_1">"V2099-01-01"</definedName>
    <definedName name="NvsPanelSetid">"VSHARE"</definedName>
    <definedName name="NvsParentRef">"'[PYR_SVC_BLUERI_BS-1003.xls]Balance Sheet'!$I$13"</definedName>
    <definedName name="NvsReqBU">"VPSC"</definedName>
    <definedName name="NvsReqBU_1">"V00012"</definedName>
    <definedName name="NvsReqBUOnly">"VN"</definedName>
    <definedName name="NvsReqBUOnly_1">"VY"</definedName>
    <definedName name="NvsStyleNme">"NiSource Corporate.xls"</definedName>
    <definedName name="NvsTransLed">"VN"</definedName>
    <definedName name="NvsTreeASD">"V2001-09-30"</definedName>
    <definedName name="NvsTreeASD_1">"V2007-09-30"</definedName>
    <definedName name="NvsTreeASD_1_1">"V2012-06-30"</definedName>
    <definedName name="NvsValTbl.ACCOUNT">"GL_ACCOUNT_TBL"</definedName>
    <definedName name="NvsValTbl.BUSINESS_UNIT">"BUS_UNIT_TBL_GL"</definedName>
    <definedName name="NvsValTbl.CURRENCY_CD">"CURRENCY_CD_TBL"</definedName>
    <definedName name="NvsValTbl.DEPTID">"DEPARTMENT_TBL"</definedName>
    <definedName name="NvsValTbl.LEDGER">"LED_DEFN_TBL"</definedName>
    <definedName name="NvsValTbl.PRODUCT">"PRODUCT_TBL"</definedName>
    <definedName name="NvsValTbl.PROGRAM_CODE">"PROGRAM_TBL"</definedName>
    <definedName name="NvsValTbl.SCENARIO">"BD_SCENARIO_TBL"</definedName>
    <definedName name="OPEB_Credit">[8]Inputs!$B$34</definedName>
    <definedName name="OTHERTAX" localSheetId="0">#REF!</definedName>
    <definedName name="OTHERTAX" localSheetId="1">#REF!</definedName>
    <definedName name="OTHERTAX">#REF!</definedName>
    <definedName name="OTPAY" localSheetId="0">#REF!</definedName>
    <definedName name="OTPAY" localSheetId="1">#REF!</definedName>
    <definedName name="OTPAY">#REF!</definedName>
    <definedName name="PAGE_" localSheetId="0">#REF!</definedName>
    <definedName name="PAGE_" localSheetId="1">#REF!</definedName>
    <definedName name="PAGE_">#REF!</definedName>
    <definedName name="PAGE_1" localSheetId="0">#REF!</definedName>
    <definedName name="PAGE_1" localSheetId="1">#REF!</definedName>
    <definedName name="PAGE_1">#REF!</definedName>
    <definedName name="PAGE_10" localSheetId="0">#REF!</definedName>
    <definedName name="PAGE_10" localSheetId="1">#REF!</definedName>
    <definedName name="PAGE_10">#REF!</definedName>
    <definedName name="PAGE_11" localSheetId="0">#REF!</definedName>
    <definedName name="PAGE_11" localSheetId="1">#REF!</definedName>
    <definedName name="PAGE_11">#REF!</definedName>
    <definedName name="PAGE_12" localSheetId="0">#REF!</definedName>
    <definedName name="PAGE_12" localSheetId="1">#REF!</definedName>
    <definedName name="PAGE_12">#REF!</definedName>
    <definedName name="PAGE_13" localSheetId="0">#REF!</definedName>
    <definedName name="PAGE_13" localSheetId="1">#REF!</definedName>
    <definedName name="PAGE_13">#REF!</definedName>
    <definedName name="PAGE_14" localSheetId="0">#REF!</definedName>
    <definedName name="PAGE_14" localSheetId="1">#REF!</definedName>
    <definedName name="PAGE_14">#REF!</definedName>
    <definedName name="PAGE_19" localSheetId="0">#REF!</definedName>
    <definedName name="PAGE_19" localSheetId="1">#REF!</definedName>
    <definedName name="PAGE_19">#REF!</definedName>
    <definedName name="PAGE_2" localSheetId="0">#REF!</definedName>
    <definedName name="PAGE_2" localSheetId="1">#REF!</definedName>
    <definedName name="PAGE_2">#REF!</definedName>
    <definedName name="PAGE_20" localSheetId="0">#REF!</definedName>
    <definedName name="PAGE_20" localSheetId="1">#REF!</definedName>
    <definedName name="PAGE_20">#REF!</definedName>
    <definedName name="PAGE_21" localSheetId="0">#REF!</definedName>
    <definedName name="PAGE_21" localSheetId="1">#REF!</definedName>
    <definedName name="PAGE_21">#REF!</definedName>
    <definedName name="PAGE_25" localSheetId="0">#REF!</definedName>
    <definedName name="PAGE_25" localSheetId="1">#REF!</definedName>
    <definedName name="PAGE_25">#REF!</definedName>
    <definedName name="PAGE_3" localSheetId="0">#REF!</definedName>
    <definedName name="PAGE_3" localSheetId="1">#REF!</definedName>
    <definedName name="PAGE_3">#REF!</definedName>
    <definedName name="PAGE_4" localSheetId="0">#REF!</definedName>
    <definedName name="PAGE_4" localSheetId="1">#REF!</definedName>
    <definedName name="PAGE_4">#REF!</definedName>
    <definedName name="PAGE_5" localSheetId="0">#REF!</definedName>
    <definedName name="PAGE_5" localSheetId="1">#REF!</definedName>
    <definedName name="PAGE_5">#REF!</definedName>
    <definedName name="PAGE_6" localSheetId="0">#REF!</definedName>
    <definedName name="PAGE_6" localSheetId="1">#REF!</definedName>
    <definedName name="PAGE_6">#REF!</definedName>
    <definedName name="PAGE_7" localSheetId="0">#REF!</definedName>
    <definedName name="PAGE_7" localSheetId="1">#REF!</definedName>
    <definedName name="PAGE_7">#REF!</definedName>
    <definedName name="PAGE_8" localSheetId="0">#REF!</definedName>
    <definedName name="PAGE_8" localSheetId="1">#REF!</definedName>
    <definedName name="PAGE_8">#REF!</definedName>
    <definedName name="PAGE_9" localSheetId="0">#REF!</definedName>
    <definedName name="PAGE_9" localSheetId="1">#REF!</definedName>
    <definedName name="PAGE_9">#REF!</definedName>
    <definedName name="PAGE01" localSheetId="0">#REF!</definedName>
    <definedName name="PAGE01" localSheetId="1">#REF!</definedName>
    <definedName name="PAGE01">#REF!</definedName>
    <definedName name="PAGE1" localSheetId="0">#REF!</definedName>
    <definedName name="PAGE1" localSheetId="1">#REF!</definedName>
    <definedName name="PAGE1">#REF!</definedName>
    <definedName name="PAGE2" localSheetId="0">'[29]Rate Base Summary Sch B-1'!#REF!</definedName>
    <definedName name="PAGE2" localSheetId="1">'[29]Rate Base Summary Sch B-1'!#REF!</definedName>
    <definedName name="PAGE2">'[29]Rate Base Summary Sch B-1'!#REF!</definedName>
    <definedName name="PAGE3" localSheetId="0">#REF!</definedName>
    <definedName name="PAGE3" localSheetId="1">#REF!</definedName>
    <definedName name="PAGE3">#REF!</definedName>
    <definedName name="PAGE4" localSheetId="0">#REF!</definedName>
    <definedName name="PAGE4" localSheetId="1">#REF!</definedName>
    <definedName name="PAGE4">#REF!</definedName>
    <definedName name="PAGE5" localSheetId="0">'[30]B-2.3'!#REF!</definedName>
    <definedName name="PAGE5" localSheetId="1">'[30]B-2.3'!#REF!</definedName>
    <definedName name="PAGE5">'[30]B-2.3'!#REF!</definedName>
    <definedName name="PAGE6" localSheetId="0">'[30]B-2.3'!#REF!</definedName>
    <definedName name="PAGE6" localSheetId="1">'[30]B-2.3'!#REF!</definedName>
    <definedName name="PAGE6">'[30]B-2.3'!#REF!</definedName>
    <definedName name="PAGE7" localSheetId="0">#REF!</definedName>
    <definedName name="PAGE7" localSheetId="1">#REF!</definedName>
    <definedName name="PAGE7">#REF!</definedName>
    <definedName name="PAGE8" localSheetId="0">#REF!</definedName>
    <definedName name="PAGE8" localSheetId="1">#REF!</definedName>
    <definedName name="PAGE8">#REF!</definedName>
    <definedName name="penalty" localSheetId="0">#REF!</definedName>
    <definedName name="penalty" localSheetId="1">#REF!</definedName>
    <definedName name="penalty">#REF!</definedName>
    <definedName name="PerInvoiceLookup">OFFSET('[12]% Invoice'!$A$1,0,0,COUNTA('[12]% Invoice'!$A$1:$A$65536),COUNTA('[12]% Invoice'!$A$1:$IV$1))</definedName>
    <definedName name="PG5A" localSheetId="0">#REF!</definedName>
    <definedName name="PG5A" localSheetId="1">#REF!</definedName>
    <definedName name="PG5A">#REF!</definedName>
    <definedName name="PG5B" localSheetId="0">#REF!</definedName>
    <definedName name="PG5B" localSheetId="1">#REF!</definedName>
    <definedName name="PG5B">#REF!</definedName>
    <definedName name="PG5C" localSheetId="0">#REF!</definedName>
    <definedName name="PG5C" localSheetId="1">#REF!</definedName>
    <definedName name="PG5C">#REF!</definedName>
    <definedName name="PG5D" localSheetId="0">#REF!</definedName>
    <definedName name="PG5D" localSheetId="1">#REF!</definedName>
    <definedName name="PG5D">#REF!</definedName>
    <definedName name="PG5E" localSheetId="0">#REF!</definedName>
    <definedName name="PG5E" localSheetId="1">#REF!</definedName>
    <definedName name="PG5E">#REF!</definedName>
    <definedName name="PG5F" localSheetId="0">#REF!</definedName>
    <definedName name="PG5F" localSheetId="1">#REF!</definedName>
    <definedName name="PG5F">#REF!</definedName>
    <definedName name="plug" localSheetId="0">#REF!</definedName>
    <definedName name="plug" localSheetId="1">#REF!</definedName>
    <definedName name="plug">#REF!</definedName>
    <definedName name="plug1" localSheetId="0">#REF!</definedName>
    <definedName name="plug1" localSheetId="1">#REF!</definedName>
    <definedName name="plug1">#REF!</definedName>
    <definedName name="pook" localSheetId="0">#REF!</definedName>
    <definedName name="pook" localSheetId="1">#REF!</definedName>
    <definedName name="pook">#REF!</definedName>
    <definedName name="PPTY" localSheetId="0">#REF!</definedName>
    <definedName name="PPTY" localSheetId="1">#REF!</definedName>
    <definedName name="PPTY">#REF!</definedName>
    <definedName name="PREMPAY" localSheetId="0">#REF!</definedName>
    <definedName name="PREMPAY" localSheetId="1">#REF!</definedName>
    <definedName name="PREMPAY">#REF!</definedName>
    <definedName name="PRINT" localSheetId="0">#REF!</definedName>
    <definedName name="PRINT" localSheetId="1">#REF!</definedName>
    <definedName name="PRINT">#REF!</definedName>
    <definedName name="_xlnm.Print_Area" localSheetId="8">'D-2.6'!$A$5:$K$35</definedName>
    <definedName name="_xlnm.Print_Area" localSheetId="12">'Income Statement Summary'!$A$1:$Z$51</definedName>
    <definedName name="_xlnm.Print_Area" localSheetId="20">'Payroll Base and Adjustment '!$A$1:$T$48</definedName>
    <definedName name="_xlnm.Print_Area" localSheetId="0">'Tab 56 - Sched C-1 Summary'!$A$1:$J$16</definedName>
    <definedName name="_xlnm.Print_Area" localSheetId="1">'Tab 57 - Sched D-1 Adj by Act'!$A$6:$H$117</definedName>
    <definedName name="_xlnm.Print_Area" localSheetId="2">'Tab 57 - Sched D-2 Adjustments'!$A$1:$R$24</definedName>
    <definedName name="_xlnm.Print_Titles" localSheetId="13">'Income Statement Detail'!$1:$2</definedName>
    <definedName name="_xlnm.Print_Titles" localSheetId="12">'Income Statement Summary'!$A:$B,'Income Statement Summary'!$1:$5</definedName>
    <definedName name="_xlnm.Print_Titles" localSheetId="20">'Payroll Base and Adjustment '!$1:$1</definedName>
    <definedName name="_xlnm.Print_Titles" localSheetId="1">'Tab 57 - Sched D-1 Adj by Act'!$6:$6</definedName>
    <definedName name="_xlnm.Print_Titles" localSheetId="2">'Tab 57 - Sched D-2 Adjustments'!$A:$B,'Tab 57 - Sched D-2 Adjustments'!$1:$7</definedName>
    <definedName name="PRINTADJ" localSheetId="0">#REF!</definedName>
    <definedName name="PRINTADJ" localSheetId="1">#REF!</definedName>
    <definedName name="PRINTADJ">#REF!</definedName>
    <definedName name="PRINTADS" localSheetId="0">#REF!</definedName>
    <definedName name="PRINTADS" localSheetId="1">#REF!</definedName>
    <definedName name="PRINTADS">#REF!</definedName>
    <definedName name="PRINTBENEFITS" localSheetId="0">#REF!</definedName>
    <definedName name="PRINTBENEFITS" localSheetId="1">#REF!</definedName>
    <definedName name="PRINTBENEFITS">#REF!</definedName>
    <definedName name="PRINTBILL" localSheetId="0">#REF!</definedName>
    <definedName name="PRINTBILL" localSheetId="1">#REF!</definedName>
    <definedName name="PRINTBILL">#REF!</definedName>
    <definedName name="PRINTFICA" localSheetId="0">#REF!</definedName>
    <definedName name="PRINTFICA" localSheetId="1">#REF!</definedName>
    <definedName name="PRINTFICA">#REF!</definedName>
    <definedName name="PRINTGC" localSheetId="0">#REF!</definedName>
    <definedName name="PRINTGC" localSheetId="1">#REF!</definedName>
    <definedName name="PRINTGC">#REF!</definedName>
    <definedName name="PRINTINPUT" localSheetId="0">#REF!</definedName>
    <definedName name="PRINTINPUT" localSheetId="1">#REF!</definedName>
    <definedName name="PRINTINPUT">#REF!</definedName>
    <definedName name="PRINTLABOR" localSheetId="0">#REF!</definedName>
    <definedName name="PRINTLABOR" localSheetId="1">#REF!</definedName>
    <definedName name="PRINTLABOR">#REF!</definedName>
    <definedName name="PRINTMAIN" localSheetId="0">#REF!</definedName>
    <definedName name="PRINTMAIN" localSheetId="1">#REF!</definedName>
    <definedName name="PRINTMAIN">#REF!</definedName>
    <definedName name="PRINTNORM" localSheetId="0">#REF!</definedName>
    <definedName name="PRINTNORM" localSheetId="1">#REF!</definedName>
    <definedName name="PRINTNORM">#REF!</definedName>
    <definedName name="PRINTREVC" localSheetId="0">#REF!</definedName>
    <definedName name="PRINTREVC" localSheetId="1">#REF!</definedName>
    <definedName name="PRINTREVC">#REF!</definedName>
    <definedName name="PRINTSCH35B" localSheetId="0">#REF!</definedName>
    <definedName name="PRINTSCH35B" localSheetId="1">#REF!</definedName>
    <definedName name="PRINTSCH35B">#REF!</definedName>
    <definedName name="PRINTSUMMARY" localSheetId="0">#REF!</definedName>
    <definedName name="PRINTSUMMARY" localSheetId="1">#REF!</definedName>
    <definedName name="PRINTSUMMARY">#REF!</definedName>
    <definedName name="productlist">'[31]Product List'!$A$1:$E$23153</definedName>
    <definedName name="proj_cust_pmts">'[8]Payment Calculation'!$C$25</definedName>
    <definedName name="PROPTAX" localSheetId="0">#REF!</definedName>
    <definedName name="PROPTAX" localSheetId="1">#REF!</definedName>
    <definedName name="PROPTAX">#REF!</definedName>
    <definedName name="qryFTECategbyCountry" localSheetId="0">#REF!</definedName>
    <definedName name="qryFTECategbyCountry" localSheetId="1">#REF!</definedName>
    <definedName name="qryFTECategbyCountry">#REF!</definedName>
    <definedName name="Quest" localSheetId="0">#REF!</definedName>
    <definedName name="Quest" localSheetId="1">#REF!</definedName>
    <definedName name="Quest">#REF!</definedName>
    <definedName name="RATEBASE" localSheetId="0">'[6]Rev Def Sum'!#REF!</definedName>
    <definedName name="RATEBASE" localSheetId="1">'[6]Rev Def Sum'!#REF!</definedName>
    <definedName name="RATEBASE">'[6]Rev Def Sum'!#REF!</definedName>
    <definedName name="rates" localSheetId="0">#REF!</definedName>
    <definedName name="rates" localSheetId="1">#REF!</definedName>
    <definedName name="rates">#REF!</definedName>
    <definedName name="RECLASS" localSheetId="0">#REF!</definedName>
    <definedName name="RECLASS" localSheetId="1">#REF!</definedName>
    <definedName name="RECLASS">#REF!</definedName>
    <definedName name="RECON2" localSheetId="0">#REF!</definedName>
    <definedName name="RECON2" localSheetId="1">#REF!</definedName>
    <definedName name="RECON2">#REF!</definedName>
    <definedName name="RECONCILATION" localSheetId="0">#REF!</definedName>
    <definedName name="RECONCILATION" localSheetId="1">#REF!</definedName>
    <definedName name="RECONCILATION">#REF!</definedName>
    <definedName name="_xlnm.Recorder" localSheetId="0">#REF!</definedName>
    <definedName name="_xlnm.Recorder" localSheetId="1">#REF!</definedName>
    <definedName name="_xlnm.Recorder">#REF!</definedName>
    <definedName name="RefFunction">[20]Assumptions!$F$34:$F$39</definedName>
    <definedName name="RefGrade">[20]Assumptions!$F$7:$F$16</definedName>
    <definedName name="RefJobTitle">[20]Assumptions!$F$18:$F$31</definedName>
    <definedName name="REVALLOC">'[7]ATTACH REH-5A REV'!$A$1:$J$39</definedName>
    <definedName name="RISK" localSheetId="0">#REF!</definedName>
    <definedName name="RISK" localSheetId="1">#REF!</definedName>
    <definedName name="RISK">#REF!</definedName>
    <definedName name="Rollups" localSheetId="0">#REF!</definedName>
    <definedName name="Rollups" localSheetId="1">#REF!</definedName>
    <definedName name="Rollups">#REF!</definedName>
    <definedName name="Rusty" hidden="1">{"'Server Configuration'!$A$1:$DB$281"}</definedName>
    <definedName name="S35A" localSheetId="0">#REF!</definedName>
    <definedName name="S35A" localSheetId="1">#REF!</definedName>
    <definedName name="S35A">#REF!</definedName>
    <definedName name="S35B" localSheetId="0">#REF!</definedName>
    <definedName name="S35B" localSheetId="1">#REF!</definedName>
    <definedName name="S35B">#REF!</definedName>
    <definedName name="SAS_GasCost" localSheetId="0">[16]Input!#REF!</definedName>
    <definedName name="SAS_GasCost" localSheetId="1">[16]Input!#REF!</definedName>
    <definedName name="SAS_GasCost">[16]Input!#REF!</definedName>
    <definedName name="SCH_17_1of2" localSheetId="0">#REF!</definedName>
    <definedName name="SCH_17_1of2" localSheetId="1">#REF!</definedName>
    <definedName name="SCH_17_1of2">#REF!</definedName>
    <definedName name="SCH_17_2of2" localSheetId="0">#REF!</definedName>
    <definedName name="SCH_17_2of2" localSheetId="1">#REF!</definedName>
    <definedName name="SCH_17_2of2">#REF!</definedName>
    <definedName name="sch35a" localSheetId="0">#REF!</definedName>
    <definedName name="sch35a" localSheetId="1">#REF!</definedName>
    <definedName name="sch35a">#REF!</definedName>
    <definedName name="sch35b" localSheetId="0">#REF!</definedName>
    <definedName name="sch35b" localSheetId="1">#REF!</definedName>
    <definedName name="sch35b">#REF!</definedName>
    <definedName name="SCHEDULE_12" localSheetId="0">#REF!</definedName>
    <definedName name="SCHEDULE_12" localSheetId="1">#REF!</definedName>
    <definedName name="SCHEDULE_12">#REF!</definedName>
    <definedName name="Sep_08_Man_Fee" localSheetId="0">#REF!</definedName>
    <definedName name="Sep_08_Man_Fee" localSheetId="1">#REF!</definedName>
    <definedName name="Sep_08_Man_Fee">#REF!</definedName>
    <definedName name="SGA" localSheetId="0">#REF!</definedName>
    <definedName name="SGA" localSheetId="1">#REF!</definedName>
    <definedName name="SGA">#REF!</definedName>
    <definedName name="SHEET1" localSheetId="0">#REF!</definedName>
    <definedName name="SHEET1" localSheetId="1">#REF!</definedName>
    <definedName name="SHEET1">#REF!</definedName>
    <definedName name="SHEET10" localSheetId="0">#REF!</definedName>
    <definedName name="SHEET10" localSheetId="1">#REF!</definedName>
    <definedName name="SHEET10">#REF!</definedName>
    <definedName name="SHEET108" localSheetId="0">#REF!</definedName>
    <definedName name="SHEET108" localSheetId="1">#REF!</definedName>
    <definedName name="SHEET108">#REF!</definedName>
    <definedName name="SHEET108_2" localSheetId="0">#REF!</definedName>
    <definedName name="SHEET108_2" localSheetId="1">#REF!</definedName>
    <definedName name="SHEET108_2">#REF!</definedName>
    <definedName name="SHEET11" localSheetId="0">#REF!</definedName>
    <definedName name="SHEET11" localSheetId="1">#REF!</definedName>
    <definedName name="SHEET11">#REF!</definedName>
    <definedName name="SHEET12" localSheetId="0">#REF!</definedName>
    <definedName name="SHEET12" localSheetId="1">#REF!</definedName>
    <definedName name="SHEET12">#REF!</definedName>
    <definedName name="SHEET13" localSheetId="0">#REF!</definedName>
    <definedName name="SHEET13" localSheetId="1">#REF!</definedName>
    <definedName name="SHEET13">#REF!</definedName>
    <definedName name="SHEET2" localSheetId="0">#REF!</definedName>
    <definedName name="SHEET2" localSheetId="1">#REF!</definedName>
    <definedName name="SHEET2">#REF!</definedName>
    <definedName name="SHEET3" localSheetId="0">#REF!</definedName>
    <definedName name="SHEET3" localSheetId="1">#REF!</definedName>
    <definedName name="SHEET3">#REF!</definedName>
    <definedName name="SHEET4" localSheetId="0">#REF!</definedName>
    <definedName name="SHEET4" localSheetId="1">#REF!</definedName>
    <definedName name="SHEET4">#REF!</definedName>
    <definedName name="SHEET5" localSheetId="0">#REF!</definedName>
    <definedName name="SHEET5" localSheetId="1">#REF!</definedName>
    <definedName name="SHEET5">#REF!</definedName>
    <definedName name="SHEET6" localSheetId="0">#REF!</definedName>
    <definedName name="SHEET6" localSheetId="1">#REF!</definedName>
    <definedName name="SHEET6">#REF!</definedName>
    <definedName name="SHEET7" localSheetId="0">#REF!</definedName>
    <definedName name="SHEET7" localSheetId="1">#REF!</definedName>
    <definedName name="SHEET7">#REF!</definedName>
    <definedName name="SHEET8" localSheetId="0">#REF!</definedName>
    <definedName name="SHEET8" localSheetId="1">#REF!</definedName>
    <definedName name="SHEET8">#REF!</definedName>
    <definedName name="SHEET9" localSheetId="0">#REF!</definedName>
    <definedName name="SHEET9" localSheetId="1">#REF!</definedName>
    <definedName name="SHEET9">#REF!</definedName>
    <definedName name="SMK">'[17]B-1 p.1 Summary (Base)'!$J$8</definedName>
    <definedName name="SPECIFIC" localSheetId="0">#REF!</definedName>
    <definedName name="SPECIFIC" localSheetId="1">#REF!</definedName>
    <definedName name="SPECIFIC">#REF!</definedName>
    <definedName name="STATETAX_PAY_MO" localSheetId="0">#REF!</definedName>
    <definedName name="STATETAX_PAY_MO" localSheetId="1">#REF!</definedName>
    <definedName name="STATETAX_PAY_MO">#REF!</definedName>
    <definedName name="STATETAX_PAY_WK" localSheetId="0">#REF!</definedName>
    <definedName name="STATETAX_PAY_WK" localSheetId="1">#REF!</definedName>
    <definedName name="STATETAX_PAY_WK">#REF!</definedName>
    <definedName name="STORAGE" localSheetId="0">#REF!</definedName>
    <definedName name="STORAGE" localSheetId="1">#REF!</definedName>
    <definedName name="STORAGE">#REF!</definedName>
    <definedName name="STUDY" localSheetId="0">#REF!</definedName>
    <definedName name="STUDY" localSheetId="1">#REF!</definedName>
    <definedName name="STUDY">#REF!</definedName>
    <definedName name="SUM6406E" localSheetId="0">#REF!</definedName>
    <definedName name="SUM6406E" localSheetId="1">#REF!</definedName>
    <definedName name="SUM6406E">#REF!</definedName>
    <definedName name="SUM6406P" localSheetId="0">#REF!</definedName>
    <definedName name="SUM6406P" localSheetId="1">#REF!</definedName>
    <definedName name="SUM6406P">#REF!</definedName>
    <definedName name="SUM6503E" localSheetId="0">#REF!</definedName>
    <definedName name="SUM6503E" localSheetId="1">#REF!</definedName>
    <definedName name="SUM6503E">#REF!</definedName>
    <definedName name="SUM6503P" localSheetId="0">#REF!</definedName>
    <definedName name="SUM6503P" localSheetId="1">#REF!</definedName>
    <definedName name="SUM6503P">#REF!</definedName>
    <definedName name="SUM6703E" localSheetId="0">#REF!</definedName>
    <definedName name="SUM6703E" localSheetId="1">#REF!</definedName>
    <definedName name="SUM6703E">#REF!</definedName>
    <definedName name="SUM6703P" localSheetId="0">#REF!</definedName>
    <definedName name="SUM6703P" localSheetId="1">#REF!</definedName>
    <definedName name="SUM6703P">#REF!</definedName>
    <definedName name="SUM7203E" localSheetId="0">#REF!</definedName>
    <definedName name="SUM7203E" localSheetId="1">#REF!</definedName>
    <definedName name="SUM7203E">#REF!</definedName>
    <definedName name="SUM7203P" localSheetId="0">#REF!</definedName>
    <definedName name="SUM7203P" localSheetId="1">#REF!</definedName>
    <definedName name="SUM7203P">#REF!</definedName>
    <definedName name="SUM8703E" localSheetId="0">#REF!</definedName>
    <definedName name="SUM8703E" localSheetId="1">#REF!</definedName>
    <definedName name="SUM8703E">#REF!</definedName>
    <definedName name="SUM8703P" localSheetId="0">#REF!</definedName>
    <definedName name="SUM8703P" localSheetId="1">#REF!</definedName>
    <definedName name="SUM8703P">#REF!</definedName>
    <definedName name="SUMM5" localSheetId="0">#REF!</definedName>
    <definedName name="SUMM5" localSheetId="1">#REF!</definedName>
    <definedName name="SUMM5">#REF!</definedName>
    <definedName name="SUMMARY" localSheetId="0">#REF!</definedName>
    <definedName name="SUMMARY" localSheetId="1">#REF!</definedName>
    <definedName name="SUMMARY">#REF!</definedName>
    <definedName name="SummaryTable" localSheetId="0">#REF!</definedName>
    <definedName name="SummaryTable" localSheetId="1">#REF!</definedName>
    <definedName name="SummaryTable">#REF!</definedName>
    <definedName name="TABLE" localSheetId="0">#REF!</definedName>
    <definedName name="TABLE" localSheetId="1">#REF!</definedName>
    <definedName name="TABLE">#REF!</definedName>
    <definedName name="TaxRate">'[32]Tax Rates'!$A$1:$F$24</definedName>
    <definedName name="Teldata" localSheetId="0">#REF!</definedName>
    <definedName name="Teldata" localSheetId="1">#REF!</definedName>
    <definedName name="Teldata">#REF!</definedName>
    <definedName name="TEMP" localSheetId="0">#REF!</definedName>
    <definedName name="TEMP" localSheetId="1">#REF!</definedName>
    <definedName name="TEMP">#REF!</definedName>
    <definedName name="test" localSheetId="0">'[26]Input Sheet'!#REF!</definedName>
    <definedName name="test" localSheetId="1">'[26]Input Sheet'!#REF!</definedName>
    <definedName name="test">'[26]Input Sheet'!#REF!</definedName>
    <definedName name="test1" localSheetId="0">'[26]Input Sheet'!#REF!</definedName>
    <definedName name="test1" localSheetId="1">'[26]Input Sheet'!#REF!</definedName>
    <definedName name="test1">'[26]Input Sheet'!#REF!</definedName>
    <definedName name="tol">0.001</definedName>
    <definedName name="TOTALONM" localSheetId="0">#REF!</definedName>
    <definedName name="TOTALONM" localSheetId="1">#REF!</definedName>
    <definedName name="TOTALONM">#REF!</definedName>
    <definedName name="Totals" localSheetId="0">'[33]Complete Listing incl LCN'!#REF!</definedName>
    <definedName name="Totals" localSheetId="1">'[33]Complete Listing incl LCN'!#REF!</definedName>
    <definedName name="Totals">'[33]Complete Listing incl LCN'!#REF!</definedName>
    <definedName name="TY" localSheetId="0">[16]B!#REF!</definedName>
    <definedName name="TY" localSheetId="1">[16]B!#REF!</definedName>
    <definedName name="TY">[16]B!#REF!</definedName>
    <definedName name="TYDESC">[16]B!$A$3</definedName>
    <definedName name="UNEMPLOY_TAX" localSheetId="0">#REF!</definedName>
    <definedName name="UNEMPLOY_TAX" localSheetId="1">#REF!</definedName>
    <definedName name="UNEMPLOY_TAX">#REF!</definedName>
    <definedName name="Usage_per_Cust">[8]Inputs!$B$12</definedName>
    <definedName name="usd">[34]Assumptions!$C$13</definedName>
    <definedName name="USF" localSheetId="0">#REF!</definedName>
    <definedName name="USF" localSheetId="1">#REF!</definedName>
    <definedName name="USF">#REF!</definedName>
    <definedName name="VOL_COMP2" localSheetId="0">#REF!</definedName>
    <definedName name="VOL_COMP2" localSheetId="1">#REF!</definedName>
    <definedName name="VOL_COMP2">#REF!</definedName>
    <definedName name="VOL_COMPARISON" localSheetId="0">#REF!</definedName>
    <definedName name="VOL_COMPARISON" localSheetId="1">#REF!</definedName>
    <definedName name="VOL_COMPARISON">#REF!</definedName>
    <definedName name="WCSUM" localSheetId="0">#REF!</definedName>
    <definedName name="WCSUM" localSheetId="1">#REF!</definedName>
    <definedName name="WCSUM">#REF!</definedName>
    <definedName name="wit">'[18]Operating Income Summary C-1'!$M$9</definedName>
    <definedName name="Witness">[16]Input!$B$8</definedName>
    <definedName name="WORKAREA">'[7]ATTACH REH-5A REV'!$B$52:$K$169</definedName>
    <definedName name="WorkingDaysPerYear">210</definedName>
    <definedName name="Xref">'[35]xref acct'!$A$3:$C$167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5" i="17" l="1"/>
  <c r="R125" i="17"/>
  <c r="O126" i="17"/>
  <c r="O125" i="17"/>
  <c r="O127" i="17" s="1"/>
  <c r="P127" i="17" s="1"/>
  <c r="P126" i="17"/>
  <c r="P125" i="17"/>
  <c r="P124" i="17"/>
  <c r="P123" i="17"/>
  <c r="P122" i="17"/>
  <c r="P121" i="17"/>
  <c r="P120" i="17"/>
  <c r="P119" i="17"/>
  <c r="P118" i="17"/>
  <c r="P117" i="17"/>
  <c r="P116" i="17"/>
  <c r="O123" i="17"/>
  <c r="N123" i="17"/>
  <c r="O118" i="17"/>
  <c r="O116" i="17"/>
  <c r="N126" i="17"/>
  <c r="N125" i="17"/>
  <c r="N127" i="17" s="1"/>
  <c r="N121" i="17"/>
  <c r="M126" i="17"/>
  <c r="M125" i="17"/>
  <c r="M127" i="17" s="1"/>
  <c r="M123" i="17"/>
  <c r="R102" i="17"/>
  <c r="P105" i="17"/>
  <c r="P110" i="17"/>
  <c r="P109" i="17"/>
  <c r="P111" i="17" s="1"/>
  <c r="P107" i="17"/>
  <c r="P106" i="17"/>
  <c r="P104" i="17"/>
  <c r="P103" i="17"/>
  <c r="P102" i="17"/>
  <c r="P101" i="17"/>
  <c r="P100" i="17"/>
  <c r="O110" i="17"/>
  <c r="N110" i="17"/>
  <c r="O109" i="17"/>
  <c r="O111" i="17" s="1"/>
  <c r="N109" i="17"/>
  <c r="N111" i="17" s="1"/>
  <c r="O107" i="17"/>
  <c r="N107" i="17"/>
  <c r="M111" i="17"/>
  <c r="M110" i="17"/>
  <c r="M109" i="17"/>
  <c r="M107" i="17"/>
  <c r="H109" i="17"/>
  <c r="D109" i="17"/>
  <c r="B109" i="17"/>
  <c r="AK26" i="15" l="1"/>
  <c r="D12" i="32" l="1"/>
  <c r="F8" i="32"/>
  <c r="E8" i="32"/>
  <c r="D8" i="32"/>
  <c r="AC8" i="11"/>
  <c r="AC10" i="11"/>
  <c r="AC6" i="11"/>
  <c r="AC4" i="11"/>
  <c r="AK11" i="15"/>
  <c r="Y42" i="11"/>
  <c r="H43" i="34" l="1"/>
  <c r="N138" i="14" s="1"/>
  <c r="E11" i="34"/>
  <c r="D23" i="33"/>
  <c r="C20" i="33"/>
  <c r="D21" i="33" s="1"/>
  <c r="E24" i="33" s="1"/>
  <c r="B19" i="33"/>
  <c r="E8" i="33"/>
  <c r="D1048576" i="33"/>
  <c r="E25" i="33" l="1"/>
  <c r="H23" i="34"/>
  <c r="H25" i="34"/>
  <c r="H26" i="34"/>
  <c r="G32" i="34"/>
  <c r="G35" i="34" s="1"/>
  <c r="E17" i="34"/>
  <c r="F11" i="34" s="1"/>
  <c r="H11" i="34" s="1"/>
  <c r="H28" i="34"/>
  <c r="H32" i="34" s="1"/>
  <c r="H34" i="34" s="1"/>
  <c r="H35" i="34" s="1"/>
  <c r="F15" i="34" l="1"/>
  <c r="H15" i="34" s="1"/>
  <c r="F13" i="34"/>
  <c r="H13" i="34" s="1"/>
  <c r="H17" i="34" s="1"/>
  <c r="H18" i="32" l="1"/>
  <c r="I18" i="32" s="1"/>
  <c r="G28" i="32"/>
  <c r="G31" i="32" s="1"/>
  <c r="G33" i="32" s="1"/>
  <c r="F28" i="32"/>
  <c r="F31" i="32" s="1"/>
  <c r="F33" i="32" s="1"/>
  <c r="E28" i="32"/>
  <c r="D28" i="32"/>
  <c r="J18" i="32" l="1"/>
  <c r="AF6" i="15" l="1"/>
  <c r="D28" i="31"/>
  <c r="D20" i="31"/>
  <c r="C18" i="31"/>
  <c r="C20" i="31" s="1"/>
  <c r="E20" i="31" s="1"/>
  <c r="D12" i="31"/>
  <c r="D8" i="31" l="1"/>
  <c r="E8" i="31" s="1"/>
  <c r="B9" i="30"/>
  <c r="B8" i="30"/>
  <c r="B10" i="30" l="1"/>
  <c r="B11" i="30" s="1"/>
  <c r="C23" i="29"/>
  <c r="C22" i="29"/>
  <c r="C25" i="29" s="1"/>
  <c r="E28" i="29" s="1"/>
  <c r="C10" i="27"/>
  <c r="C12" i="27" s="1"/>
  <c r="E14" i="29" l="1"/>
  <c r="E30" i="29" s="1"/>
  <c r="C32" i="29"/>
  <c r="C33" i="29" s="1"/>
  <c r="E32" i="29" l="1"/>
  <c r="E33" i="29"/>
  <c r="E103" i="24"/>
  <c r="O25" i="26"/>
  <c r="M25" i="26"/>
  <c r="L25" i="26"/>
  <c r="K25" i="26"/>
  <c r="J25" i="26"/>
  <c r="I25" i="26"/>
  <c r="H25" i="26"/>
  <c r="G25" i="26"/>
  <c r="F18" i="26"/>
  <c r="P18" i="26"/>
  <c r="F20" i="26"/>
  <c r="F19" i="26"/>
  <c r="F25" i="26" s="1"/>
  <c r="P17" i="26"/>
  <c r="F17" i="26"/>
  <c r="F16" i="26"/>
  <c r="P15" i="26"/>
  <c r="F15" i="26"/>
  <c r="M14" i="26"/>
  <c r="P14" i="26" s="1"/>
  <c r="E14" i="26"/>
  <c r="D14" i="26"/>
  <c r="F14" i="26" s="1"/>
  <c r="P13" i="26"/>
  <c r="F13" i="26"/>
  <c r="E12" i="26"/>
  <c r="D12" i="26"/>
  <c r="F12" i="26" s="1"/>
  <c r="P11" i="26"/>
  <c r="F11" i="26"/>
  <c r="O10" i="26"/>
  <c r="N10" i="26"/>
  <c r="M10" i="26"/>
  <c r="K10" i="26"/>
  <c r="E10" i="26"/>
  <c r="D10" i="26"/>
  <c r="F9" i="26"/>
  <c r="F8" i="26"/>
  <c r="F39" i="1"/>
  <c r="G103" i="17"/>
  <c r="K10" i="1"/>
  <c r="E34" i="29" l="1"/>
  <c r="F10" i="26"/>
  <c r="Q14" i="26"/>
  <c r="I121" i="14"/>
  <c r="G101" i="17"/>
  <c r="E34" i="17" l="1"/>
  <c r="J121" i="14"/>
  <c r="E75" i="24"/>
  <c r="E104" i="24" l="1"/>
  <c r="G39" i="24"/>
  <c r="E113" i="24"/>
  <c r="E116" i="24" s="1"/>
  <c r="E117" i="24" s="1"/>
  <c r="E112" i="24"/>
  <c r="G115" i="24"/>
  <c r="G114" i="24"/>
  <c r="G112" i="24"/>
  <c r="G110" i="24"/>
  <c r="G111" i="24" s="1"/>
  <c r="G109" i="24"/>
  <c r="G108" i="24"/>
  <c r="G107" i="24"/>
  <c r="G105" i="24"/>
  <c r="G106" i="24" s="1"/>
  <c r="G102" i="24"/>
  <c r="G101" i="24"/>
  <c r="G99" i="24"/>
  <c r="G98" i="24"/>
  <c r="G97" i="24"/>
  <c r="G96" i="24"/>
  <c r="G95" i="24"/>
  <c r="G94" i="24"/>
  <c r="G93" i="24"/>
  <c r="G100" i="24" s="1"/>
  <c r="G92" i="24"/>
  <c r="G91" i="24"/>
  <c r="G88" i="24"/>
  <c r="G87" i="24"/>
  <c r="G86" i="24"/>
  <c r="G85" i="24"/>
  <c r="G84" i="24"/>
  <c r="G83" i="24"/>
  <c r="G79" i="24"/>
  <c r="G78" i="24"/>
  <c r="G77" i="24"/>
  <c r="G76" i="24"/>
  <c r="G73" i="24"/>
  <c r="G72" i="24"/>
  <c r="G71" i="24"/>
  <c r="G70" i="24"/>
  <c r="G68" i="24"/>
  <c r="G67" i="24"/>
  <c r="G66" i="24"/>
  <c r="G65" i="24"/>
  <c r="G64" i="24"/>
  <c r="G63" i="24"/>
  <c r="G62" i="24"/>
  <c r="G61" i="24"/>
  <c r="G60" i="24"/>
  <c r="G59" i="24"/>
  <c r="G57" i="24"/>
  <c r="G56" i="24"/>
  <c r="G55" i="24"/>
  <c r="G58" i="24" s="1"/>
  <c r="G53" i="24"/>
  <c r="G52" i="24"/>
  <c r="G51" i="24"/>
  <c r="G50" i="24"/>
  <c r="G49" i="24"/>
  <c r="G48" i="24"/>
  <c r="G54" i="24" s="1"/>
  <c r="G46" i="24"/>
  <c r="G45" i="24"/>
  <c r="G44" i="24"/>
  <c r="G47" i="24" s="1"/>
  <c r="G41" i="24"/>
  <c r="G40" i="24"/>
  <c r="G38" i="24"/>
  <c r="G37" i="24"/>
  <c r="G36" i="24"/>
  <c r="G42" i="24" s="1"/>
  <c r="G43" i="24" s="1"/>
  <c r="G35" i="24"/>
  <c r="G32" i="24"/>
  <c r="G31" i="24"/>
  <c r="G30" i="24"/>
  <c r="G33" i="24" s="1"/>
  <c r="G27" i="24"/>
  <c r="G26" i="24"/>
  <c r="G28" i="24" s="1"/>
  <c r="G29" i="24" s="1"/>
  <c r="G25" i="24"/>
  <c r="G24" i="24"/>
  <c r="G23" i="24"/>
  <c r="G22" i="24"/>
  <c r="G18" i="24"/>
  <c r="G17" i="24"/>
  <c r="G15" i="24"/>
  <c r="G14" i="24"/>
  <c r="G12" i="24"/>
  <c r="G11" i="24"/>
  <c r="G13" i="24" s="1"/>
  <c r="G80" i="24" l="1"/>
  <c r="G81" i="24" s="1"/>
  <c r="G82" i="24" s="1"/>
  <c r="G89" i="24"/>
  <c r="G90" i="24" s="1"/>
  <c r="G103" i="24"/>
  <c r="G34" i="24"/>
  <c r="F4" i="25"/>
  <c r="H4" i="25" s="1"/>
  <c r="J4" i="25" s="1"/>
  <c r="A3" i="25"/>
  <c r="A4" i="25" s="1"/>
  <c r="A5" i="25" s="1"/>
  <c r="A6" i="25" s="1"/>
  <c r="A7" i="25" s="1"/>
  <c r="A8" i="25" s="1"/>
  <c r="W37" i="1"/>
  <c r="F45" i="1"/>
  <c r="A8" i="24"/>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5" i="24" s="1"/>
  <c r="A106" i="24" s="1"/>
  <c r="A107" i="24" s="1"/>
  <c r="A108" i="24" s="1"/>
  <c r="A109" i="24" s="1"/>
  <c r="A110" i="24" s="1"/>
  <c r="A111" i="24" s="1"/>
  <c r="A112" i="24" s="1"/>
  <c r="A113" i="24" s="1"/>
  <c r="A114" i="24" s="1"/>
  <c r="A115" i="24" s="1"/>
  <c r="A116" i="24" s="1"/>
  <c r="A117" i="24" s="1"/>
  <c r="A9" i="25" l="1"/>
  <c r="K22" i="23" l="1"/>
  <c r="W6" i="1"/>
  <c r="I3" i="25" s="1"/>
  <c r="I5" i="25" s="1"/>
  <c r="J18" i="23"/>
  <c r="J22" i="23" s="1"/>
  <c r="G18" i="23"/>
  <c r="T15" i="21"/>
  <c r="G22" i="23" l="1"/>
  <c r="T3" i="21" s="1"/>
  <c r="T6" i="21" s="1"/>
  <c r="T8" i="21" s="1"/>
  <c r="T21" i="21" s="1"/>
  <c r="T24" i="21" s="1"/>
  <c r="AA36" i="21"/>
  <c r="F121" i="14"/>
  <c r="R38" i="21"/>
  <c r="R37" i="21"/>
  <c r="R36" i="21"/>
  <c r="R35" i="21"/>
  <c r="R33" i="21"/>
  <c r="R25" i="21"/>
  <c r="R23" i="21"/>
  <c r="R19" i="21"/>
  <c r="W19" i="21" s="1"/>
  <c r="R18" i="21"/>
  <c r="W18" i="21" s="1"/>
  <c r="R17" i="21"/>
  <c r="W17" i="21" s="1"/>
  <c r="R14" i="21"/>
  <c r="R12" i="21"/>
  <c r="W12" i="21" s="1"/>
  <c r="R11" i="21"/>
  <c r="W11" i="21" s="1"/>
  <c r="R10" i="21"/>
  <c r="W10" i="21" s="1"/>
  <c r="R5" i="21"/>
  <c r="R4" i="21"/>
  <c r="R3" i="21"/>
  <c r="P13" i="21"/>
  <c r="R13" i="21" s="1"/>
  <c r="W13" i="21" s="1"/>
  <c r="P7" i="21"/>
  <c r="R7" i="21" s="1"/>
  <c r="W7" i="21" s="1"/>
  <c r="H16" i="1" l="1"/>
  <c r="Y13" i="21"/>
  <c r="W28" i="1" l="1"/>
  <c r="W32" i="1" s="1"/>
  <c r="V45" i="1"/>
  <c r="X45" i="1" s="1"/>
  <c r="N19" i="26" l="1"/>
  <c r="W5" i="21"/>
  <c r="X6" i="21"/>
  <c r="X8" i="21" s="1"/>
  <c r="V6" i="21"/>
  <c r="V8" i="21" s="1"/>
  <c r="Q6" i="21"/>
  <c r="Q8" i="21" s="1"/>
  <c r="Q21" i="21" s="1"/>
  <c r="Q24" i="21" s="1"/>
  <c r="Q34" i="21" s="1"/>
  <c r="P6" i="21"/>
  <c r="O6" i="21"/>
  <c r="O8" i="21" s="1"/>
  <c r="N6" i="21"/>
  <c r="N8" i="21" s="1"/>
  <c r="P22" i="21"/>
  <c r="E41" i="22"/>
  <c r="X15" i="21"/>
  <c r="U15" i="21"/>
  <c r="S15" i="21"/>
  <c r="P15" i="21"/>
  <c r="R15" i="21" s="1"/>
  <c r="O15" i="21"/>
  <c r="N15" i="21"/>
  <c r="N25" i="26" l="1"/>
  <c r="P19" i="26"/>
  <c r="R22" i="21"/>
  <c r="W22" i="21" s="1"/>
  <c r="Y22" i="21" s="1"/>
  <c r="N21" i="21"/>
  <c r="N24" i="21" s="1"/>
  <c r="N34" i="21" s="1"/>
  <c r="P8" i="21"/>
  <c r="R8" i="21" s="1"/>
  <c r="R6" i="21"/>
  <c r="O21" i="21"/>
  <c r="O24" i="21" s="1"/>
  <c r="O34" i="21" s="1"/>
  <c r="X21" i="21"/>
  <c r="X24" i="21" s="1"/>
  <c r="X34" i="21" s="1"/>
  <c r="P21" i="21"/>
  <c r="E40" i="22"/>
  <c r="E42" i="22" s="1"/>
  <c r="P25" i="26" l="1"/>
  <c r="Q19" i="26"/>
  <c r="Q25" i="26" s="1"/>
  <c r="P24" i="21"/>
  <c r="R21" i="21"/>
  <c r="P30" i="21"/>
  <c r="P32" i="21" s="1"/>
  <c r="G148" i="14"/>
  <c r="C18" i="22"/>
  <c r="P34" i="21" l="1"/>
  <c r="R34" i="21" s="1"/>
  <c r="R24" i="21"/>
  <c r="C19" i="22"/>
  <c r="C21" i="22" s="1"/>
  <c r="E43" i="22" s="1"/>
  <c r="E44" i="22" s="1"/>
  <c r="E5" i="22"/>
  <c r="E24" i="22" l="1"/>
  <c r="C28" i="22"/>
  <c r="C29" i="22" s="1"/>
  <c r="J35" i="19"/>
  <c r="F45" i="19"/>
  <c r="F44" i="19"/>
  <c r="F46" i="19" s="1"/>
  <c r="F19" i="19" s="1"/>
  <c r="G9" i="19"/>
  <c r="G13" i="19" s="1"/>
  <c r="F23" i="19" l="1"/>
  <c r="G25" i="19"/>
  <c r="J33" i="19" s="1"/>
  <c r="J37" i="19" s="1"/>
  <c r="M105" i="14" l="1"/>
  <c r="M16" i="26" s="1"/>
  <c r="P18" i="1"/>
  <c r="O12" i="1"/>
  <c r="E12" i="1"/>
  <c r="E10" i="1"/>
  <c r="D10" i="1"/>
  <c r="D12" i="1"/>
  <c r="Q12" i="12" l="1"/>
  <c r="R42" i="11" l="1"/>
  <c r="Q42" i="11"/>
  <c r="P42" i="11"/>
  <c r="O42" i="11"/>
  <c r="N42" i="11"/>
  <c r="L42" i="11"/>
  <c r="K42" i="11"/>
  <c r="J42" i="11"/>
  <c r="I42" i="11"/>
  <c r="H42" i="11"/>
  <c r="G42" i="11"/>
  <c r="F42" i="11"/>
  <c r="R35" i="11"/>
  <c r="Q35" i="11"/>
  <c r="P35" i="11"/>
  <c r="O35" i="11"/>
  <c r="N35" i="11"/>
  <c r="L35" i="11"/>
  <c r="K35" i="11"/>
  <c r="J35" i="11"/>
  <c r="I35" i="11"/>
  <c r="H35" i="11"/>
  <c r="G35" i="11"/>
  <c r="F35" i="11"/>
  <c r="T35" i="11" s="1"/>
  <c r="S8" i="1"/>
  <c r="P8" i="1"/>
  <c r="P20" i="1" s="1"/>
  <c r="P22" i="1" s="1"/>
  <c r="O8" i="1"/>
  <c r="N8" i="1"/>
  <c r="Q8" i="1"/>
  <c r="T42" i="11" l="1"/>
  <c r="P24" i="1"/>
  <c r="AF15" i="15"/>
  <c r="C24" i="31" s="1"/>
  <c r="C26" i="31" s="1"/>
  <c r="C28" i="31" s="1"/>
  <c r="E28" i="31" s="1"/>
  <c r="L34" i="11"/>
  <c r="K34" i="11"/>
  <c r="J34" i="11"/>
  <c r="I34" i="11"/>
  <c r="H34" i="11"/>
  <c r="G34" i="11"/>
  <c r="F34" i="11"/>
  <c r="T34" i="11" s="1"/>
  <c r="Z34" i="11" s="1"/>
  <c r="AA34" i="11" s="1"/>
  <c r="L20" i="11"/>
  <c r="K20" i="11"/>
  <c r="J20" i="11"/>
  <c r="I20" i="11"/>
  <c r="H20" i="11"/>
  <c r="G20" i="11"/>
  <c r="F20" i="11"/>
  <c r="F148" i="14"/>
  <c r="Y18" i="21"/>
  <c r="Y17" i="21"/>
  <c r="Y12" i="21"/>
  <c r="Y11" i="21"/>
  <c r="Y10" i="21"/>
  <c r="Y7" i="21"/>
  <c r="F15" i="14" s="1"/>
  <c r="F19" i="24" s="1"/>
  <c r="G19" i="24" s="1"/>
  <c r="W14" i="21"/>
  <c r="W4" i="21" l="1"/>
  <c r="Y4" i="21" s="1"/>
  <c r="S6" i="21"/>
  <c r="W3" i="21"/>
  <c r="Y3" i="21" s="1"/>
  <c r="F7" i="14" s="1"/>
  <c r="U6" i="21"/>
  <c r="U8" i="21" s="1"/>
  <c r="V15" i="21"/>
  <c r="W15" i="21" s="1"/>
  <c r="Y5" i="21"/>
  <c r="X42" i="11"/>
  <c r="F33" i="11"/>
  <c r="F36" i="11" s="1"/>
  <c r="F25" i="11"/>
  <c r="G33" i="11"/>
  <c r="G25" i="11"/>
  <c r="H33" i="11"/>
  <c r="H25" i="11"/>
  <c r="I33" i="11"/>
  <c r="I25" i="11"/>
  <c r="J33" i="11"/>
  <c r="J25" i="11"/>
  <c r="K33" i="11"/>
  <c r="K25" i="11"/>
  <c r="L33" i="11"/>
  <c r="L25" i="11"/>
  <c r="R24" i="12"/>
  <c r="R27" i="12" s="1"/>
  <c r="R29" i="12" s="1"/>
  <c r="Q24" i="12"/>
  <c r="Q27" i="12" s="1"/>
  <c r="Q29" i="12" s="1"/>
  <c r="P24" i="12"/>
  <c r="O24" i="12"/>
  <c r="S8" i="21" l="1"/>
  <c r="W8" i="21" s="1"/>
  <c r="W6" i="21"/>
  <c r="U21" i="21"/>
  <c r="U24" i="21" s="1"/>
  <c r="U34" i="21" s="1"/>
  <c r="Y14" i="21"/>
  <c r="F12" i="14" s="1"/>
  <c r="F8" i="14"/>
  <c r="AA42" i="11"/>
  <c r="L36" i="11"/>
  <c r="L38" i="11" s="1"/>
  <c r="K36" i="11"/>
  <c r="K38" i="11" s="1"/>
  <c r="J36" i="11"/>
  <c r="J38" i="11" s="1"/>
  <c r="I36" i="11"/>
  <c r="I38" i="11" s="1"/>
  <c r="H36" i="11"/>
  <c r="H38" i="11" s="1"/>
  <c r="G36" i="11"/>
  <c r="G38" i="11" s="1"/>
  <c r="S21" i="21"/>
  <c r="H8" i="26" l="1"/>
  <c r="H10" i="26" s="1"/>
  <c r="F16" i="24"/>
  <c r="G16" i="24" s="1"/>
  <c r="G20" i="24" s="1"/>
  <c r="G21" i="24" s="1"/>
  <c r="S24" i="21"/>
  <c r="S34" i="21" s="1"/>
  <c r="Y24" i="21"/>
  <c r="H6" i="1"/>
  <c r="H8" i="1" s="1"/>
  <c r="F146" i="14"/>
  <c r="F149" i="14" s="1"/>
  <c r="F38" i="11"/>
  <c r="G147" i="18" l="1"/>
  <c r="E28" i="17"/>
  <c r="E32" i="17" s="1"/>
  <c r="E36" i="17" s="1"/>
  <c r="J65" i="14" s="1"/>
  <c r="J148" i="14"/>
  <c r="I148" i="14"/>
  <c r="L16" i="1"/>
  <c r="I146" i="14" l="1"/>
  <c r="I149" i="14" s="1"/>
  <c r="K16" i="1"/>
  <c r="J146" i="14" l="1"/>
  <c r="J149" i="14" s="1"/>
  <c r="L10" i="1"/>
  <c r="O14" i="1" l="1"/>
  <c r="O20" i="1" s="1"/>
  <c r="O22" i="1" s="1"/>
  <c r="C156" i="18"/>
  <c r="B156" i="18"/>
  <c r="F143" i="18"/>
  <c r="E143" i="18"/>
  <c r="F142" i="18"/>
  <c r="E142" i="18"/>
  <c r="F141" i="18"/>
  <c r="E141" i="18"/>
  <c r="F140" i="18"/>
  <c r="E140" i="18"/>
  <c r="F139" i="18"/>
  <c r="E139" i="18"/>
  <c r="F138" i="18"/>
  <c r="E138" i="18"/>
  <c r="F137" i="18"/>
  <c r="E137" i="18"/>
  <c r="F136" i="18"/>
  <c r="E136" i="18"/>
  <c r="F135" i="18"/>
  <c r="E135" i="18"/>
  <c r="F134" i="18"/>
  <c r="E134" i="18"/>
  <c r="F133" i="18"/>
  <c r="E133" i="18"/>
  <c r="F132" i="18"/>
  <c r="E132" i="18"/>
  <c r="F131" i="18"/>
  <c r="E131" i="18"/>
  <c r="F130" i="18"/>
  <c r="E130" i="18"/>
  <c r="F129" i="18"/>
  <c r="E129" i="18"/>
  <c r="F128" i="18"/>
  <c r="E128" i="18"/>
  <c r="F127" i="18"/>
  <c r="E127" i="18"/>
  <c r="F126" i="18"/>
  <c r="E126" i="18"/>
  <c r="F125" i="18"/>
  <c r="E125" i="18"/>
  <c r="F124" i="18"/>
  <c r="E124" i="18"/>
  <c r="F123" i="18"/>
  <c r="E123" i="18"/>
  <c r="F122" i="18"/>
  <c r="E122" i="18"/>
  <c r="F121" i="18"/>
  <c r="E121" i="18"/>
  <c r="F120" i="18"/>
  <c r="E120" i="18"/>
  <c r="F119" i="18"/>
  <c r="E119" i="18"/>
  <c r="F118" i="18"/>
  <c r="E118" i="18"/>
  <c r="F117" i="18"/>
  <c r="E117" i="18"/>
  <c r="F116" i="18"/>
  <c r="E116" i="18"/>
  <c r="F115" i="18"/>
  <c r="E115" i="18"/>
  <c r="F114" i="18"/>
  <c r="E114" i="18"/>
  <c r="F113" i="18"/>
  <c r="E113" i="18"/>
  <c r="F112" i="18"/>
  <c r="E112" i="18"/>
  <c r="F111" i="18"/>
  <c r="E111" i="18"/>
  <c r="F110" i="18"/>
  <c r="E110" i="18"/>
  <c r="F109" i="18"/>
  <c r="E109" i="18"/>
  <c r="F108" i="18"/>
  <c r="E108" i="18"/>
  <c r="F107" i="18"/>
  <c r="E107" i="18"/>
  <c r="F106" i="18"/>
  <c r="E106" i="18"/>
  <c r="F105" i="18"/>
  <c r="E105" i="18"/>
  <c r="F104" i="18"/>
  <c r="E104" i="18"/>
  <c r="F103" i="18"/>
  <c r="E103" i="18"/>
  <c r="F102" i="18"/>
  <c r="E102" i="18"/>
  <c r="F101" i="18"/>
  <c r="E101" i="18"/>
  <c r="F100" i="18"/>
  <c r="E100" i="18"/>
  <c r="F99" i="18"/>
  <c r="E99" i="18"/>
  <c r="F98" i="18"/>
  <c r="E98" i="18"/>
  <c r="F97" i="18"/>
  <c r="E97" i="18"/>
  <c r="F96" i="18"/>
  <c r="E96" i="18"/>
  <c r="F95" i="18"/>
  <c r="E95" i="18"/>
  <c r="F94" i="18"/>
  <c r="E94" i="18"/>
  <c r="F93" i="18"/>
  <c r="E93" i="18"/>
  <c r="F92" i="18"/>
  <c r="E92" i="18"/>
  <c r="F91" i="18"/>
  <c r="E91" i="18"/>
  <c r="F90" i="18"/>
  <c r="E90" i="18"/>
  <c r="F89" i="18"/>
  <c r="E89" i="18"/>
  <c r="F88" i="18"/>
  <c r="E88" i="18"/>
  <c r="F87" i="18"/>
  <c r="E87" i="18"/>
  <c r="F86" i="18"/>
  <c r="E86" i="18"/>
  <c r="F85" i="18"/>
  <c r="E85" i="18"/>
  <c r="F84" i="18"/>
  <c r="E84" i="18"/>
  <c r="F83" i="18"/>
  <c r="E83" i="18"/>
  <c r="F82" i="18"/>
  <c r="E82" i="18"/>
  <c r="F81" i="18"/>
  <c r="E81" i="18"/>
  <c r="F80" i="18"/>
  <c r="E80" i="18"/>
  <c r="F79" i="18"/>
  <c r="E79" i="18"/>
  <c r="F78" i="18"/>
  <c r="E78" i="18"/>
  <c r="F77" i="18"/>
  <c r="E77" i="18"/>
  <c r="F76" i="18"/>
  <c r="E76" i="18"/>
  <c r="F75" i="18"/>
  <c r="E75" i="18"/>
  <c r="F74" i="18"/>
  <c r="E74" i="18"/>
  <c r="F73" i="18"/>
  <c r="E73" i="18"/>
  <c r="F72" i="18"/>
  <c r="E72" i="18"/>
  <c r="F71" i="18"/>
  <c r="E71" i="18"/>
  <c r="F70" i="18"/>
  <c r="E70" i="18"/>
  <c r="F69" i="18"/>
  <c r="E69" i="18"/>
  <c r="F68" i="18"/>
  <c r="E68" i="18"/>
  <c r="F67" i="18"/>
  <c r="E67" i="18"/>
  <c r="F66" i="18"/>
  <c r="E66" i="18"/>
  <c r="F65" i="18"/>
  <c r="E65" i="18"/>
  <c r="F64" i="18"/>
  <c r="E64" i="18"/>
  <c r="F63" i="18"/>
  <c r="E63" i="18"/>
  <c r="F62" i="18"/>
  <c r="E62" i="18"/>
  <c r="F61" i="18"/>
  <c r="E61" i="18"/>
  <c r="F60" i="18"/>
  <c r="E60" i="18"/>
  <c r="F59" i="18"/>
  <c r="E59" i="18"/>
  <c r="F58" i="18"/>
  <c r="E58" i="18"/>
  <c r="F57" i="18"/>
  <c r="E57" i="18"/>
  <c r="F56" i="18"/>
  <c r="E56" i="18"/>
  <c r="F55" i="18"/>
  <c r="E55" i="18"/>
  <c r="F54" i="18"/>
  <c r="E54" i="18"/>
  <c r="F53" i="18"/>
  <c r="E53" i="18"/>
  <c r="F52" i="18"/>
  <c r="E52" i="18"/>
  <c r="F51" i="18"/>
  <c r="E51" i="18"/>
  <c r="F50" i="18"/>
  <c r="E50" i="18"/>
  <c r="F49" i="18"/>
  <c r="E49" i="18"/>
  <c r="F48" i="18"/>
  <c r="E48" i="18"/>
  <c r="F47" i="18"/>
  <c r="E47" i="18"/>
  <c r="F46" i="18"/>
  <c r="E46" i="18"/>
  <c r="F45" i="18"/>
  <c r="E45" i="18"/>
  <c r="F44" i="18"/>
  <c r="E44" i="18"/>
  <c r="F43" i="18"/>
  <c r="E43" i="18"/>
  <c r="F42" i="18"/>
  <c r="E42" i="18"/>
  <c r="F41" i="18"/>
  <c r="E41" i="18"/>
  <c r="F40" i="18"/>
  <c r="E40" i="18"/>
  <c r="F39" i="18"/>
  <c r="E39" i="18"/>
  <c r="F38" i="18"/>
  <c r="E38" i="18"/>
  <c r="F37" i="18"/>
  <c r="E37" i="18"/>
  <c r="F36" i="18"/>
  <c r="E36" i="18"/>
  <c r="F35" i="18"/>
  <c r="E35" i="18"/>
  <c r="F34" i="18"/>
  <c r="E34" i="18"/>
  <c r="F33" i="18"/>
  <c r="E33" i="18"/>
  <c r="F32" i="18"/>
  <c r="E32" i="18"/>
  <c r="F31" i="18"/>
  <c r="E31" i="18"/>
  <c r="F30" i="18"/>
  <c r="E30" i="18"/>
  <c r="F29" i="18"/>
  <c r="E29" i="18"/>
  <c r="F28" i="18"/>
  <c r="E28" i="18"/>
  <c r="F27" i="18"/>
  <c r="E27" i="18"/>
  <c r="F26" i="18"/>
  <c r="E26" i="18"/>
  <c r="F25" i="18"/>
  <c r="E25" i="18"/>
  <c r="F24" i="18"/>
  <c r="E24" i="18"/>
  <c r="F23" i="18"/>
  <c r="E23" i="18"/>
  <c r="F22" i="18"/>
  <c r="E22" i="18"/>
  <c r="F21" i="18"/>
  <c r="E21" i="18"/>
  <c r="F20" i="18"/>
  <c r="E20" i="18"/>
  <c r="F19" i="18"/>
  <c r="E19" i="18"/>
  <c r="F18" i="18"/>
  <c r="E18" i="18"/>
  <c r="F17" i="18"/>
  <c r="E17" i="18"/>
  <c r="F16" i="18"/>
  <c r="E16" i="18"/>
  <c r="F15" i="18"/>
  <c r="E15" i="18"/>
  <c r="F14" i="18"/>
  <c r="E14" i="18"/>
  <c r="F13" i="18"/>
  <c r="E13" i="18"/>
  <c r="F12" i="18"/>
  <c r="E12" i="18"/>
  <c r="F11" i="18"/>
  <c r="E11" i="18"/>
  <c r="F10" i="18"/>
  <c r="E10" i="18"/>
  <c r="F9" i="18"/>
  <c r="E9" i="18"/>
  <c r="F8" i="18"/>
  <c r="E8" i="18"/>
  <c r="F7" i="18"/>
  <c r="E7" i="18"/>
  <c r="F6" i="18"/>
  <c r="E6" i="18"/>
  <c r="F5" i="18"/>
  <c r="E5" i="18"/>
  <c r="F4" i="18"/>
  <c r="E4" i="18"/>
  <c r="E145" i="18" l="1"/>
  <c r="O24" i="1"/>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5" i="18"/>
  <c r="AI14" i="15" s="1"/>
  <c r="F145" i="18"/>
  <c r="G149" i="18" l="1"/>
  <c r="C12" i="31"/>
  <c r="E12" i="31" s="1"/>
  <c r="E30" i="31" s="1"/>
  <c r="Q65" i="14"/>
  <c r="E36" i="7"/>
  <c r="E40" i="7" s="1"/>
  <c r="Q146" i="14" l="1"/>
  <c r="S10" i="1"/>
  <c r="S20" i="1" s="1"/>
  <c r="S22" i="1" s="1"/>
  <c r="R62" i="14"/>
  <c r="D53" i="15"/>
  <c r="W22" i="15"/>
  <c r="L22" i="15"/>
  <c r="W21" i="15"/>
  <c r="L21" i="15"/>
  <c r="R18" i="15"/>
  <c r="Q18" i="15"/>
  <c r="P18" i="15"/>
  <c r="O18" i="15"/>
  <c r="N18" i="15"/>
  <c r="L18" i="15"/>
  <c r="K18" i="15"/>
  <c r="J18" i="15"/>
  <c r="I18" i="15"/>
  <c r="H18" i="15"/>
  <c r="G18" i="15"/>
  <c r="F18" i="15"/>
  <c r="D18" i="15"/>
  <c r="D57" i="15" s="1"/>
  <c r="D58" i="15" s="1"/>
  <c r="AC17" i="15"/>
  <c r="AB17" i="15"/>
  <c r="AA17" i="15"/>
  <c r="S17" i="15"/>
  <c r="M17" i="15"/>
  <c r="AC16" i="15"/>
  <c r="AB16" i="15"/>
  <c r="AA16" i="15"/>
  <c r="S16" i="15"/>
  <c r="M16" i="15"/>
  <c r="AC15" i="15"/>
  <c r="AB15" i="15"/>
  <c r="AA15" i="15"/>
  <c r="S15" i="15"/>
  <c r="M15" i="15"/>
  <c r="AC14" i="15"/>
  <c r="AB14" i="15"/>
  <c r="AA14" i="15"/>
  <c r="S14" i="15"/>
  <c r="M14" i="15"/>
  <c r="AC13" i="15"/>
  <c r="AB13" i="15"/>
  <c r="AA13" i="15"/>
  <c r="AD13" i="15" s="1"/>
  <c r="S13" i="15"/>
  <c r="M13" i="15"/>
  <c r="AC12" i="15"/>
  <c r="AB12" i="15"/>
  <c r="AA12" i="15"/>
  <c r="S12" i="15"/>
  <c r="M12" i="15"/>
  <c r="AC11" i="15"/>
  <c r="AB11" i="15"/>
  <c r="AA11" i="15"/>
  <c r="S11" i="15"/>
  <c r="M11" i="15"/>
  <c r="T11" i="15" s="1"/>
  <c r="AI11" i="15" s="1"/>
  <c r="AM11" i="15" s="1"/>
  <c r="AC10" i="15"/>
  <c r="AB10" i="15"/>
  <c r="AA10" i="15"/>
  <c r="AD10" i="15" s="1"/>
  <c r="S10" i="15"/>
  <c r="M10" i="15"/>
  <c r="AC9" i="15"/>
  <c r="AB9" i="15"/>
  <c r="AA9" i="15"/>
  <c r="S9" i="15"/>
  <c r="M9" i="15"/>
  <c r="T9" i="15" s="1"/>
  <c r="AI9" i="15" s="1"/>
  <c r="AC8" i="15"/>
  <c r="AB8" i="15"/>
  <c r="AA8" i="15"/>
  <c r="AD8" i="15" s="1"/>
  <c r="S8" i="15"/>
  <c r="M8" i="15"/>
  <c r="AC7" i="15"/>
  <c r="AB7" i="15"/>
  <c r="AA7" i="15"/>
  <c r="S7" i="15"/>
  <c r="M7" i="15"/>
  <c r="T7" i="15" s="1"/>
  <c r="AI7" i="15" s="1"/>
  <c r="AG6" i="15"/>
  <c r="AH6" i="15" s="1"/>
  <c r="AI6" i="15" s="1"/>
  <c r="AI23" i="15" s="1"/>
  <c r="AC6" i="15"/>
  <c r="AB6" i="15"/>
  <c r="AA6" i="15"/>
  <c r="S6" i="15"/>
  <c r="M6" i="15"/>
  <c r="T6" i="15" s="1"/>
  <c r="AC5" i="15"/>
  <c r="AB5" i="15"/>
  <c r="AA5" i="15"/>
  <c r="S5" i="15"/>
  <c r="M5" i="15"/>
  <c r="T5" i="15" s="1"/>
  <c r="AI5" i="15" s="1"/>
  <c r="AF4" i="15"/>
  <c r="AG4" i="15" s="1"/>
  <c r="AH4" i="15" s="1"/>
  <c r="AI4" i="15" s="1"/>
  <c r="AC4" i="15"/>
  <c r="AB4" i="15"/>
  <c r="AA4" i="15"/>
  <c r="S4" i="15"/>
  <c r="M4" i="15"/>
  <c r="T4" i="15" s="1"/>
  <c r="AK4" i="15" s="1"/>
  <c r="AI22" i="15" l="1"/>
  <c r="AK5" i="15"/>
  <c r="AK22" i="15" s="1"/>
  <c r="AM5" i="15"/>
  <c r="T10" i="15"/>
  <c r="AI10" i="15" s="1"/>
  <c r="AD4" i="15"/>
  <c r="AK9" i="15"/>
  <c r="AM9" i="15"/>
  <c r="AM7" i="15"/>
  <c r="AK7" i="15"/>
  <c r="AD17" i="15"/>
  <c r="T10" i="1"/>
  <c r="O12" i="26"/>
  <c r="S24" i="1"/>
  <c r="AM4" i="15"/>
  <c r="T13" i="15"/>
  <c r="AK13" i="15" s="1"/>
  <c r="AM13" i="15" s="1"/>
  <c r="AD6" i="15"/>
  <c r="T14" i="15"/>
  <c r="AK14" i="15" s="1"/>
  <c r="AM14" i="15" s="1"/>
  <c r="AD5" i="15"/>
  <c r="AD7" i="15"/>
  <c r="T17" i="15"/>
  <c r="AI17" i="15" s="1"/>
  <c r="T8" i="15"/>
  <c r="AI8" i="15" s="1"/>
  <c r="AI18" i="15" s="1"/>
  <c r="AD12" i="15"/>
  <c r="T15" i="15"/>
  <c r="AK6" i="15" s="1"/>
  <c r="AD15" i="15"/>
  <c r="S18" i="15"/>
  <c r="AD11" i="15"/>
  <c r="T16" i="15"/>
  <c r="AI16" i="15" s="1"/>
  <c r="AD16" i="15"/>
  <c r="AD9" i="15"/>
  <c r="T12" i="15"/>
  <c r="AI12" i="15" s="1"/>
  <c r="AI25" i="15" s="1"/>
  <c r="AD14" i="15"/>
  <c r="M18" i="15"/>
  <c r="AI26" i="15" l="1"/>
  <c r="AK17" i="15"/>
  <c r="AK10" i="15"/>
  <c r="AM10" i="15" s="1"/>
  <c r="AK16" i="15"/>
  <c r="AM16" i="15"/>
  <c r="AK18" i="15"/>
  <c r="AK19" i="15" s="1"/>
  <c r="AM6" i="15"/>
  <c r="K12" i="26" s="1"/>
  <c r="AK23" i="15"/>
  <c r="AK12" i="15"/>
  <c r="AM12" i="15"/>
  <c r="AI24" i="15"/>
  <c r="AK8" i="15"/>
  <c r="AK24" i="15" s="1"/>
  <c r="AI27" i="15"/>
  <c r="O65" i="14"/>
  <c r="AD18" i="15"/>
  <c r="T18" i="15"/>
  <c r="P65" i="14" l="1"/>
  <c r="AK25" i="15"/>
  <c r="AK27" i="15" s="1"/>
  <c r="AM8" i="15"/>
  <c r="AM18" i="15" s="1"/>
  <c r="AM17" i="15"/>
  <c r="O146" i="14"/>
  <c r="Q10" i="1"/>
  <c r="Q20" i="1" s="1"/>
  <c r="Q22" i="1" s="1"/>
  <c r="P146" i="14"/>
  <c r="R10" i="1"/>
  <c r="M146" i="14"/>
  <c r="H67" i="14"/>
  <c r="J12" i="26" s="1"/>
  <c r="T69" i="14"/>
  <c r="U69" i="14" s="1"/>
  <c r="J88" i="11"/>
  <c r="J87" i="11"/>
  <c r="J86" i="11"/>
  <c r="J85" i="11"/>
  <c r="J84" i="11"/>
  <c r="J83" i="11"/>
  <c r="G90" i="11"/>
  <c r="D90" i="11"/>
  <c r="H10" i="14"/>
  <c r="S148" i="14"/>
  <c r="R148" i="14"/>
  <c r="N148" i="14"/>
  <c r="M148" i="14"/>
  <c r="K148" i="14"/>
  <c r="H148" i="14"/>
  <c r="E148" i="14"/>
  <c r="D148" i="14"/>
  <c r="D149" i="14" s="1"/>
  <c r="S146" i="14"/>
  <c r="R146" i="14"/>
  <c r="N146" i="14"/>
  <c r="T142" i="14"/>
  <c r="U142" i="14" s="1"/>
  <c r="U143" i="14" s="1"/>
  <c r="T140" i="14"/>
  <c r="U140" i="14" s="1"/>
  <c r="U141" i="14" s="1"/>
  <c r="T138" i="14"/>
  <c r="U138" i="14" s="1"/>
  <c r="U139" i="14" s="1"/>
  <c r="T136" i="14"/>
  <c r="U136" i="14" s="1"/>
  <c r="U137" i="14" s="1"/>
  <c r="T131" i="14"/>
  <c r="U131" i="14" s="1"/>
  <c r="U132" i="14" s="1"/>
  <c r="T129" i="14"/>
  <c r="U129" i="14" s="1"/>
  <c r="U130" i="14" s="1"/>
  <c r="T127" i="14"/>
  <c r="U127" i="14" s="1"/>
  <c r="U128" i="14" s="1"/>
  <c r="T125" i="14"/>
  <c r="U125" i="14" s="1"/>
  <c r="U126" i="14" s="1"/>
  <c r="T121" i="14"/>
  <c r="U121" i="14" s="1"/>
  <c r="U122" i="14" s="1"/>
  <c r="T119" i="14"/>
  <c r="U119" i="14" s="1"/>
  <c r="U120" i="14" s="1"/>
  <c r="T117" i="14"/>
  <c r="U117" i="14" s="1"/>
  <c r="U118" i="14" s="1"/>
  <c r="T115" i="14"/>
  <c r="U115" i="14" s="1"/>
  <c r="U116" i="14" s="1"/>
  <c r="T109" i="14"/>
  <c r="U109" i="14" s="1"/>
  <c r="U110" i="14" s="1"/>
  <c r="T107" i="14"/>
  <c r="U107" i="14" s="1"/>
  <c r="U108" i="14" s="1"/>
  <c r="U148" i="14" s="1"/>
  <c r="T103" i="14"/>
  <c r="U103" i="14" s="1"/>
  <c r="T102" i="14"/>
  <c r="U102" i="14" s="1"/>
  <c r="U104" i="14" s="1"/>
  <c r="T100" i="14"/>
  <c r="U100" i="14" s="1"/>
  <c r="U101" i="14" s="1"/>
  <c r="V104" i="14" s="1"/>
  <c r="T97" i="14"/>
  <c r="U97" i="14" s="1"/>
  <c r="U98" i="14" s="1"/>
  <c r="T95" i="14"/>
  <c r="U95" i="14" s="1"/>
  <c r="T94" i="14"/>
  <c r="U94" i="14" s="1"/>
  <c r="T93" i="14"/>
  <c r="U93" i="14" s="1"/>
  <c r="T92" i="14"/>
  <c r="U92" i="14" s="1"/>
  <c r="T91" i="14"/>
  <c r="U91" i="14" s="1"/>
  <c r="T90" i="14"/>
  <c r="U90" i="14" s="1"/>
  <c r="T87" i="14"/>
  <c r="U87" i="14" s="1"/>
  <c r="U88" i="14" s="1"/>
  <c r="T84" i="14"/>
  <c r="U84" i="14" s="1"/>
  <c r="T83" i="14"/>
  <c r="U83" i="14" s="1"/>
  <c r="T82" i="14"/>
  <c r="U82" i="14" s="1"/>
  <c r="T80" i="14"/>
  <c r="U80" i="14" s="1"/>
  <c r="T74" i="14"/>
  <c r="U74" i="14" s="1"/>
  <c r="T68" i="14"/>
  <c r="U68" i="14" s="1"/>
  <c r="T66" i="14"/>
  <c r="U66" i="14" s="1"/>
  <c r="T65" i="14"/>
  <c r="T64" i="14"/>
  <c r="U64" i="14" s="1"/>
  <c r="T63" i="14"/>
  <c r="U63" i="14" s="1"/>
  <c r="T62" i="14"/>
  <c r="U62" i="14" s="1"/>
  <c r="T61" i="14"/>
  <c r="U61" i="14" s="1"/>
  <c r="T60" i="14"/>
  <c r="U60" i="14" s="1"/>
  <c r="T57" i="14"/>
  <c r="U57" i="14" s="1"/>
  <c r="U58" i="14" s="1"/>
  <c r="T55" i="14"/>
  <c r="U55" i="14" s="1"/>
  <c r="U56" i="14" s="1"/>
  <c r="T53" i="14"/>
  <c r="U53" i="14" s="1"/>
  <c r="T51" i="14"/>
  <c r="U51" i="14" s="1"/>
  <c r="T49" i="14"/>
  <c r="U49" i="14" s="1"/>
  <c r="T48" i="14"/>
  <c r="U48" i="14" s="1"/>
  <c r="T47" i="14"/>
  <c r="U47" i="14" s="1"/>
  <c r="T46" i="14"/>
  <c r="U46" i="14" s="1"/>
  <c r="T44" i="14"/>
  <c r="U44" i="14" s="1"/>
  <c r="T42" i="14"/>
  <c r="U42" i="14" s="1"/>
  <c r="T40" i="14"/>
  <c r="U40" i="14" s="1"/>
  <c r="T37" i="14"/>
  <c r="U37" i="14" s="1"/>
  <c r="T36" i="14"/>
  <c r="U36" i="14" s="1"/>
  <c r="T35" i="14"/>
  <c r="U35" i="14" s="1"/>
  <c r="T34" i="14"/>
  <c r="U34" i="14" s="1"/>
  <c r="T33" i="14"/>
  <c r="U33" i="14" s="1"/>
  <c r="T28" i="14"/>
  <c r="U28" i="14" s="1"/>
  <c r="E7" i="22" s="1"/>
  <c r="T27" i="14"/>
  <c r="U27" i="14" s="1"/>
  <c r="E6" i="22" s="1"/>
  <c r="T23" i="14"/>
  <c r="U23" i="14" s="1"/>
  <c r="E4" i="22" s="1"/>
  <c r="T15" i="14"/>
  <c r="U15" i="14" s="1"/>
  <c r="T14" i="14"/>
  <c r="U14" i="14" s="1"/>
  <c r="T11" i="14"/>
  <c r="U11" i="14" s="1"/>
  <c r="T10" i="14"/>
  <c r="U10" i="14" s="1"/>
  <c r="D154" i="14"/>
  <c r="X29" i="21" l="1"/>
  <c r="J8" i="26"/>
  <c r="J10" i="26" s="1"/>
  <c r="U65" i="14"/>
  <c r="F69" i="24"/>
  <c r="J6" i="1"/>
  <c r="J8" i="1" s="1"/>
  <c r="T67" i="14"/>
  <c r="U67" i="14" s="1"/>
  <c r="J10" i="1"/>
  <c r="Q24" i="1"/>
  <c r="J90" i="11"/>
  <c r="E85" i="11" s="1"/>
  <c r="N149" i="14"/>
  <c r="U144" i="14"/>
  <c r="V144" i="14" s="1"/>
  <c r="U123" i="14"/>
  <c r="U133" i="14"/>
  <c r="M149" i="14"/>
  <c r="R149" i="14"/>
  <c r="S149" i="14"/>
  <c r="H146" i="14"/>
  <c r="K87" i="11"/>
  <c r="D155" i="14"/>
  <c r="X6" i="12"/>
  <c r="V5" i="12"/>
  <c r="U5" i="12"/>
  <c r="T5" i="12"/>
  <c r="S5" i="12"/>
  <c r="R5" i="12"/>
  <c r="P5" i="12"/>
  <c r="O5" i="12"/>
  <c r="N5" i="12"/>
  <c r="M5" i="12"/>
  <c r="L5" i="12"/>
  <c r="K5" i="12"/>
  <c r="J5" i="12"/>
  <c r="I5" i="12"/>
  <c r="H5" i="12"/>
  <c r="G5" i="12"/>
  <c r="F5" i="12"/>
  <c r="E5" i="12"/>
  <c r="W4" i="12"/>
  <c r="X4" i="12" s="1"/>
  <c r="Q4" i="12"/>
  <c r="W3" i="12"/>
  <c r="X3" i="12" s="1"/>
  <c r="Q3" i="12"/>
  <c r="D66" i="11"/>
  <c r="S24" i="11"/>
  <c r="M24" i="11"/>
  <c r="R20" i="11"/>
  <c r="Q20" i="11"/>
  <c r="P20" i="11"/>
  <c r="P33" i="11" s="1"/>
  <c r="O20" i="11"/>
  <c r="O33" i="11" s="1"/>
  <c r="N20" i="11"/>
  <c r="L40" i="11"/>
  <c r="L41" i="11" s="1"/>
  <c r="K26" i="11"/>
  <c r="J26" i="11"/>
  <c r="I40" i="11"/>
  <c r="I41" i="11" s="1"/>
  <c r="H26" i="11"/>
  <c r="G26" i="11"/>
  <c r="F26" i="11"/>
  <c r="D20" i="11"/>
  <c r="S19" i="11"/>
  <c r="M19" i="11"/>
  <c r="S18" i="11"/>
  <c r="M18" i="11"/>
  <c r="T18" i="11" s="1"/>
  <c r="Y18" i="11" s="1"/>
  <c r="AA18" i="11" s="1"/>
  <c r="S17" i="11"/>
  <c r="M17" i="11"/>
  <c r="S16" i="11"/>
  <c r="M16" i="11"/>
  <c r="S15" i="11"/>
  <c r="M15" i="11"/>
  <c r="S14" i="11"/>
  <c r="M14" i="11"/>
  <c r="S13" i="11"/>
  <c r="M13" i="11"/>
  <c r="S12" i="11"/>
  <c r="M12" i="11"/>
  <c r="T12" i="11" s="1"/>
  <c r="X12" i="11" s="1"/>
  <c r="AA12" i="11" s="1"/>
  <c r="S11" i="11"/>
  <c r="M11" i="11"/>
  <c r="S10" i="11"/>
  <c r="M10" i="11"/>
  <c r="S9" i="11"/>
  <c r="M9" i="11"/>
  <c r="S8" i="11"/>
  <c r="M8" i="11"/>
  <c r="S7" i="11"/>
  <c r="M7" i="11"/>
  <c r="S6" i="11"/>
  <c r="M6" i="11"/>
  <c r="S5" i="11"/>
  <c r="M5" i="11"/>
  <c r="S4" i="11"/>
  <c r="M4" i="11"/>
  <c r="S3" i="11"/>
  <c r="M3" i="11"/>
  <c r="S2" i="11"/>
  <c r="M2" i="11"/>
  <c r="K83" i="11" l="1"/>
  <c r="K84" i="11"/>
  <c r="H84" i="11"/>
  <c r="E83" i="11"/>
  <c r="H85" i="11"/>
  <c r="J95" i="11"/>
  <c r="E84" i="11"/>
  <c r="E86" i="11"/>
  <c r="H87" i="11"/>
  <c r="E87" i="11"/>
  <c r="K88" i="11"/>
  <c r="E88" i="11"/>
  <c r="H88" i="11"/>
  <c r="H83" i="11"/>
  <c r="K85" i="11"/>
  <c r="K86" i="11"/>
  <c r="G69" i="24"/>
  <c r="G74" i="24" s="1"/>
  <c r="G75" i="24" s="1"/>
  <c r="G104" i="24" s="1"/>
  <c r="U134" i="14"/>
  <c r="V134" i="14" s="1"/>
  <c r="I43" i="11"/>
  <c r="L43" i="11"/>
  <c r="O36" i="11"/>
  <c r="O38" i="11" s="1"/>
  <c r="O40" i="11" s="1"/>
  <c r="O41" i="11" s="1"/>
  <c r="P36" i="11"/>
  <c r="P38" i="11" s="1"/>
  <c r="N33" i="11"/>
  <c r="N36" i="11" s="1"/>
  <c r="Q33" i="11"/>
  <c r="R33" i="11"/>
  <c r="T7" i="11"/>
  <c r="Z7" i="11" s="1"/>
  <c r="T13" i="11"/>
  <c r="Y13" i="11" s="1"/>
  <c r="AA13" i="11" s="1"/>
  <c r="T2" i="11"/>
  <c r="V2" i="11" s="1"/>
  <c r="AA2" i="11" s="1"/>
  <c r="T8" i="11"/>
  <c r="Z8" i="11" s="1"/>
  <c r="AA8" i="11" s="1"/>
  <c r="T14" i="11"/>
  <c r="X14" i="11" s="1"/>
  <c r="AA14" i="11" s="1"/>
  <c r="T9" i="11"/>
  <c r="T15" i="11"/>
  <c r="X15" i="11" s="1"/>
  <c r="AA15" i="11" s="1"/>
  <c r="T4" i="11"/>
  <c r="W4" i="11" s="1"/>
  <c r="AA4" i="11" s="1"/>
  <c r="T10" i="11"/>
  <c r="X10" i="11" s="1"/>
  <c r="AA10" i="11" s="1"/>
  <c r="D25" i="11"/>
  <c r="D70" i="11" s="1"/>
  <c r="D71" i="11" s="1"/>
  <c r="H86" i="11"/>
  <c r="T5" i="11"/>
  <c r="Y5" i="11" s="1"/>
  <c r="AA5" i="11" s="1"/>
  <c r="T11" i="11"/>
  <c r="Y11" i="11" s="1"/>
  <c r="AA11" i="11" s="1"/>
  <c r="O9" i="12"/>
  <c r="G9" i="12"/>
  <c r="R9" i="12"/>
  <c r="E9" i="12"/>
  <c r="V9" i="12"/>
  <c r="L9" i="12"/>
  <c r="W7" i="12"/>
  <c r="X7" i="12" s="1"/>
  <c r="H149" i="14"/>
  <c r="T16" i="11"/>
  <c r="Y16" i="11" s="1"/>
  <c r="AA16" i="11" s="1"/>
  <c r="T17" i="11"/>
  <c r="Y17" i="11" s="1"/>
  <c r="AA17" i="11" s="1"/>
  <c r="P22" i="11"/>
  <c r="O22" i="11"/>
  <c r="S20" i="11"/>
  <c r="T24" i="11"/>
  <c r="Q5" i="12"/>
  <c r="T3" i="11"/>
  <c r="Y3" i="11" s="1"/>
  <c r="T6" i="11"/>
  <c r="W6" i="11" s="1"/>
  <c r="AA6" i="11" s="1"/>
  <c r="T19" i="11"/>
  <c r="Y19" i="11" s="1"/>
  <c r="AA19" i="11" s="1"/>
  <c r="N22" i="11"/>
  <c r="H9" i="12"/>
  <c r="L30" i="11"/>
  <c r="O25" i="11"/>
  <c r="O28" i="11" s="1"/>
  <c r="J9" i="12"/>
  <c r="Q22" i="11"/>
  <c r="P25" i="11"/>
  <c r="P28" i="11" s="1"/>
  <c r="T9" i="12"/>
  <c r="I9" i="12"/>
  <c r="Q25" i="11"/>
  <c r="Q28" i="11" s="1"/>
  <c r="R22" i="11"/>
  <c r="I26" i="11"/>
  <c r="P40" i="11"/>
  <c r="P41" i="11" s="1"/>
  <c r="L26" i="11"/>
  <c r="U9" i="12"/>
  <c r="S9" i="12"/>
  <c r="K9" i="12"/>
  <c r="Q7" i="12"/>
  <c r="S21" i="11"/>
  <c r="N9" i="12"/>
  <c r="P9" i="12"/>
  <c r="M9" i="12"/>
  <c r="F9" i="12"/>
  <c r="W5" i="12"/>
  <c r="M20" i="11"/>
  <c r="R25" i="11"/>
  <c r="G30" i="11"/>
  <c r="F40" i="11"/>
  <c r="F41" i="11" s="1"/>
  <c r="H30" i="11"/>
  <c r="I30" i="11"/>
  <c r="H40" i="11"/>
  <c r="H41" i="11" s="1"/>
  <c r="G40" i="11"/>
  <c r="G41" i="11" s="1"/>
  <c r="J30" i="11"/>
  <c r="K30" i="11"/>
  <c r="J40" i="11"/>
  <c r="J41" i="11" s="1"/>
  <c r="K40" i="11"/>
  <c r="K41" i="11" s="1"/>
  <c r="N25" i="11"/>
  <c r="E90" i="11" l="1"/>
  <c r="AA3" i="11"/>
  <c r="K90" i="11"/>
  <c r="H90" i="11"/>
  <c r="P12" i="12"/>
  <c r="L44" i="11"/>
  <c r="L45" i="11" s="1"/>
  <c r="M12" i="12"/>
  <c r="I44" i="11"/>
  <c r="I45" i="11" s="1"/>
  <c r="K43" i="11"/>
  <c r="J43" i="11"/>
  <c r="G43" i="11"/>
  <c r="H43" i="11"/>
  <c r="F43" i="11"/>
  <c r="P43" i="11"/>
  <c r="O43" i="11"/>
  <c r="Y9" i="11"/>
  <c r="AA9" i="11" s="1"/>
  <c r="R36" i="11"/>
  <c r="R38" i="11" s="1"/>
  <c r="R40" i="11" s="1"/>
  <c r="R41" i="11" s="1"/>
  <c r="Q36" i="11"/>
  <c r="Q38" i="11" s="1"/>
  <c r="Q40" i="11" s="1"/>
  <c r="Q41" i="11" s="1"/>
  <c r="Q43" i="11" s="1"/>
  <c r="AA7" i="11"/>
  <c r="Z20" i="11"/>
  <c r="Z36" i="11" s="1"/>
  <c r="W20" i="11"/>
  <c r="V20" i="11"/>
  <c r="T33" i="11"/>
  <c r="T36" i="11" s="1"/>
  <c r="Q9" i="12"/>
  <c r="S22" i="11"/>
  <c r="T20" i="11"/>
  <c r="Q30" i="11"/>
  <c r="W9" i="12"/>
  <c r="X5" i="12"/>
  <c r="X30" i="12" s="1"/>
  <c r="R28" i="11"/>
  <c r="M25" i="11"/>
  <c r="F30" i="11"/>
  <c r="O30" i="11"/>
  <c r="N28" i="11"/>
  <c r="S25" i="11"/>
  <c r="P30" i="11"/>
  <c r="Y20" i="11" l="1"/>
  <c r="X20" i="11"/>
  <c r="X35" i="11" s="1"/>
  <c r="V36" i="11"/>
  <c r="W36" i="11"/>
  <c r="E11" i="32"/>
  <c r="X36" i="11"/>
  <c r="X41" i="11" s="1"/>
  <c r="X43" i="11" s="1"/>
  <c r="Z41" i="11"/>
  <c r="Z43" i="11" s="1"/>
  <c r="G8" i="32"/>
  <c r="U12" i="12"/>
  <c r="Q44" i="11"/>
  <c r="Q45" i="11" s="1"/>
  <c r="S12" i="12"/>
  <c r="O44" i="11"/>
  <c r="O45" i="11" s="1"/>
  <c r="T12" i="12"/>
  <c r="P44" i="11"/>
  <c r="P45" i="11" s="1"/>
  <c r="J12" i="12"/>
  <c r="F44" i="11"/>
  <c r="L12" i="12"/>
  <c r="H44" i="11"/>
  <c r="H45" i="11" s="1"/>
  <c r="K12" i="12"/>
  <c r="G44" i="11"/>
  <c r="G45" i="11" s="1"/>
  <c r="N12" i="12"/>
  <c r="J44" i="11"/>
  <c r="J45" i="11" s="1"/>
  <c r="O12" i="12"/>
  <c r="K44" i="11"/>
  <c r="K45" i="11" s="1"/>
  <c r="R43" i="11"/>
  <c r="AA20" i="11"/>
  <c r="N38" i="11"/>
  <c r="N40" i="11" s="1"/>
  <c r="R30" i="11"/>
  <c r="X9" i="12"/>
  <c r="S28" i="11"/>
  <c r="T28" i="11" s="1"/>
  <c r="I8" i="32" s="1"/>
  <c r="M30" i="11"/>
  <c r="T25" i="11"/>
  <c r="N30" i="11"/>
  <c r="Y35" i="11" l="1"/>
  <c r="G9" i="32"/>
  <c r="H9" i="32" s="1"/>
  <c r="F10" i="32"/>
  <c r="H10" i="32" s="1"/>
  <c r="D11" i="32"/>
  <c r="H8" i="32"/>
  <c r="V12" i="12"/>
  <c r="R44" i="11"/>
  <c r="R45" i="11" s="1"/>
  <c r="F45" i="11"/>
  <c r="S30" i="11"/>
  <c r="T30" i="11" s="1"/>
  <c r="U30" i="11" s="1"/>
  <c r="N41" i="11"/>
  <c r="N43" i="11" s="1"/>
  <c r="T40" i="11"/>
  <c r="AA35" i="11" l="1"/>
  <c r="AA36" i="11" s="1"/>
  <c r="Y36" i="11"/>
  <c r="G11" i="32"/>
  <c r="G14" i="32" s="1"/>
  <c r="F11" i="32"/>
  <c r="F14" i="32" s="1"/>
  <c r="H11" i="32"/>
  <c r="J8" i="32"/>
  <c r="R12" i="12"/>
  <c r="N44" i="11"/>
  <c r="W40" i="11"/>
  <c r="V40" i="11"/>
  <c r="X12" i="12"/>
  <c r="T41" i="11"/>
  <c r="Y40" i="11" l="1"/>
  <c r="Y41" i="11" s="1"/>
  <c r="Y43" i="11" s="1"/>
  <c r="W41" i="11"/>
  <c r="W43" i="11" s="1"/>
  <c r="E12" i="32"/>
  <c r="N45" i="11"/>
  <c r="T44" i="11"/>
  <c r="I14" i="32" s="1"/>
  <c r="T43" i="11"/>
  <c r="V41" i="11"/>
  <c r="V43" i="11" s="1"/>
  <c r="AA40" i="11"/>
  <c r="AA41" i="11" s="1"/>
  <c r="AA43" i="11" s="1"/>
  <c r="P17" i="12"/>
  <c r="P27" i="12" s="1"/>
  <c r="P29" i="12" s="1"/>
  <c r="O17" i="12"/>
  <c r="O27" i="12" s="1"/>
  <c r="O29" i="12" s="1"/>
  <c r="S29" i="12" l="1"/>
  <c r="X29" i="12" s="1"/>
  <c r="X31" i="12" s="1"/>
  <c r="E14" i="32"/>
  <c r="H12" i="32"/>
  <c r="T45" i="11"/>
  <c r="U44" i="11"/>
  <c r="X32" i="12" s="1"/>
  <c r="X33" i="12" s="1"/>
  <c r="L16" i="26" l="1"/>
  <c r="P16" i="26" s="1"/>
  <c r="Q16" i="26" s="1"/>
  <c r="L105" i="14"/>
  <c r="N14" i="1" s="1"/>
  <c r="N20" i="1" s="1"/>
  <c r="N22" i="1" s="1"/>
  <c r="U45" i="11"/>
  <c r="T48" i="11"/>
  <c r="L146" i="14"/>
  <c r="T105" i="14"/>
  <c r="U105" i="14" s="1"/>
  <c r="U106" i="14" s="1"/>
  <c r="V106" i="14" s="1"/>
  <c r="N24" i="1" l="1"/>
  <c r="L90" i="11"/>
  <c r="L149" i="14"/>
  <c r="L85" i="11" l="1"/>
  <c r="L84" i="11"/>
  <c r="L83" i="11"/>
  <c r="L87" i="11"/>
  <c r="L88" i="11"/>
  <c r="F84" i="11"/>
  <c r="K32" i="14" s="1"/>
  <c r="F85" i="11"/>
  <c r="K41" i="14" s="1"/>
  <c r="T41" i="14" s="1"/>
  <c r="U41" i="14" s="1"/>
  <c r="U43" i="14" s="1"/>
  <c r="L86" i="11"/>
  <c r="F88" i="11"/>
  <c r="K59" i="14" s="1"/>
  <c r="T59" i="14" s="1"/>
  <c r="U59" i="14" s="1"/>
  <c r="U70" i="14" s="1"/>
  <c r="F83" i="11"/>
  <c r="F86" i="11"/>
  <c r="K45" i="14" s="1"/>
  <c r="T45" i="14" s="1"/>
  <c r="U45" i="14" s="1"/>
  <c r="U50" i="14" s="1"/>
  <c r="F87" i="11"/>
  <c r="K52" i="14" s="1"/>
  <c r="T52" i="14" s="1"/>
  <c r="U52" i="14" s="1"/>
  <c r="U54" i="14" s="1"/>
  <c r="I83" i="11"/>
  <c r="I86" i="11"/>
  <c r="K89" i="14" s="1"/>
  <c r="T89" i="14" s="1"/>
  <c r="U89" i="14" s="1"/>
  <c r="U96" i="14" s="1"/>
  <c r="I88" i="11"/>
  <c r="I85" i="11"/>
  <c r="I87" i="11"/>
  <c r="I84" i="11"/>
  <c r="K81" i="14" s="1"/>
  <c r="T81" i="14" s="1"/>
  <c r="U81" i="14" s="1"/>
  <c r="U85" i="14" s="1"/>
  <c r="U86" i="14" s="1"/>
  <c r="T32" i="14" l="1"/>
  <c r="U32" i="14" s="1"/>
  <c r="U38" i="14" s="1"/>
  <c r="U39" i="14" s="1"/>
  <c r="I90" i="11"/>
  <c r="K75" i="14"/>
  <c r="L12" i="26" s="1"/>
  <c r="P12" i="26" s="1"/>
  <c r="Q12" i="26" s="1"/>
  <c r="K22" i="14"/>
  <c r="L9" i="26" s="1"/>
  <c r="L10" i="26" s="1"/>
  <c r="F90" i="11"/>
  <c r="M7" i="1" l="1"/>
  <c r="T22" i="14"/>
  <c r="U22" i="14" s="1"/>
  <c r="K146" i="14"/>
  <c r="M10" i="1"/>
  <c r="T75" i="14"/>
  <c r="U75" i="14" s="1"/>
  <c r="U76" i="14" s="1"/>
  <c r="U77" i="14" s="1"/>
  <c r="U78" i="14" s="1"/>
  <c r="U99" i="14" s="1"/>
  <c r="T12" i="14"/>
  <c r="U12" i="14" s="1"/>
  <c r="U16" i="14" s="1"/>
  <c r="K149" i="14" l="1"/>
  <c r="U24" i="14"/>
  <c r="U25" i="14" s="1"/>
  <c r="E3" i="22"/>
  <c r="L25" i="6" l="1"/>
  <c r="L17" i="6"/>
  <c r="L26" i="6" s="1"/>
  <c r="L28" i="6" l="1"/>
  <c r="AB11" i="4" l="1"/>
  <c r="AA23" i="4"/>
  <c r="E26" i="14" s="1"/>
  <c r="AA10" i="4"/>
  <c r="AA8" i="4"/>
  <c r="E8" i="14" s="1"/>
  <c r="AA6" i="4"/>
  <c r="E9" i="22" l="1"/>
  <c r="G9" i="26"/>
  <c r="AB231" i="4"/>
  <c r="B6" i="30"/>
  <c r="B13" i="30" s="1"/>
  <c r="E10" i="22"/>
  <c r="E26" i="22" s="1"/>
  <c r="I8" i="26" s="1"/>
  <c r="G7" i="1"/>
  <c r="AA231" i="4"/>
  <c r="E7" i="14"/>
  <c r="G8" i="26" s="1"/>
  <c r="G10" i="26" s="1"/>
  <c r="W8" i="1"/>
  <c r="W20" i="1" s="1"/>
  <c r="I9" i="26" l="1"/>
  <c r="P8" i="26"/>
  <c r="G26" i="14"/>
  <c r="T26" i="14" s="1"/>
  <c r="U26" i="14" s="1"/>
  <c r="U29" i="14" s="1"/>
  <c r="U30" i="14" s="1"/>
  <c r="V30" i="14" s="1"/>
  <c r="E29" i="22"/>
  <c r="G8" i="14" s="1"/>
  <c r="T8" i="14" s="1"/>
  <c r="U8" i="14" s="1"/>
  <c r="I6" i="1"/>
  <c r="I7" i="1" s="1"/>
  <c r="I8" i="1" s="1"/>
  <c r="I20" i="1" s="1"/>
  <c r="E28" i="22"/>
  <c r="G7" i="14" s="1"/>
  <c r="G146" i="14" s="1"/>
  <c r="G149" i="14" s="1"/>
  <c r="W22" i="1"/>
  <c r="W31" i="1" s="1"/>
  <c r="W33" i="1" s="1"/>
  <c r="I10" i="25" s="1"/>
  <c r="I11" i="25" s="1"/>
  <c r="I12" i="25" s="1"/>
  <c r="W27" i="1"/>
  <c r="W29" i="1" s="1"/>
  <c r="G6" i="1"/>
  <c r="X30" i="21"/>
  <c r="X32" i="21" s="1"/>
  <c r="E146" i="14"/>
  <c r="E30" i="22" l="1"/>
  <c r="W35" i="21" s="1"/>
  <c r="Q8" i="26"/>
  <c r="I10" i="26"/>
  <c r="P9" i="26"/>
  <c r="Q9" i="26" s="1"/>
  <c r="W36" i="1"/>
  <c r="W38" i="1" s="1"/>
  <c r="W24" i="1"/>
  <c r="U71" i="14"/>
  <c r="U111" i="14" s="1"/>
  <c r="T7" i="14"/>
  <c r="U7" i="14" s="1"/>
  <c r="U9" i="14" s="1"/>
  <c r="U17" i="14" s="1"/>
  <c r="W37" i="21" s="1"/>
  <c r="W34" i="1"/>
  <c r="I22" i="1"/>
  <c r="I24" i="1" s="1"/>
  <c r="E149" i="14"/>
  <c r="U7" i="1"/>
  <c r="R8" i="1"/>
  <c r="R20" i="1" s="1"/>
  <c r="R22" i="1" s="1"/>
  <c r="T8" i="1"/>
  <c r="T20" i="1" s="1"/>
  <c r="T22" i="1" s="1"/>
  <c r="M8" i="1"/>
  <c r="M20" i="1" s="1"/>
  <c r="M22" i="1" s="1"/>
  <c r="U18" i="1"/>
  <c r="U37" i="1" s="1"/>
  <c r="U17" i="1"/>
  <c r="U16" i="1"/>
  <c r="U28" i="1" s="1"/>
  <c r="U32" i="1" s="1"/>
  <c r="U15" i="1"/>
  <c r="U14" i="1"/>
  <c r="U13" i="1"/>
  <c r="U12" i="1"/>
  <c r="G8" i="25" s="1"/>
  <c r="U11" i="1"/>
  <c r="U9" i="1"/>
  <c r="U6" i="1"/>
  <c r="L8" i="1"/>
  <c r="L20" i="1" s="1"/>
  <c r="L22" i="1" s="1"/>
  <c r="K8" i="1"/>
  <c r="K20" i="1" s="1"/>
  <c r="K22" i="1" s="1"/>
  <c r="J20" i="1"/>
  <c r="J22" i="1" s="1"/>
  <c r="U10" i="1"/>
  <c r="G8" i="1"/>
  <c r="G20" i="1" s="1"/>
  <c r="G22" i="1" s="1"/>
  <c r="E8" i="1"/>
  <c r="E20" i="1" s="1"/>
  <c r="E22" i="1" s="1"/>
  <c r="D8" i="1"/>
  <c r="D20" i="1" s="1"/>
  <c r="D22" i="1" s="1"/>
  <c r="F19" i="1"/>
  <c r="F18" i="1"/>
  <c r="F37" i="1" s="1"/>
  <c r="F17" i="1"/>
  <c r="F16" i="1"/>
  <c r="F28" i="1" s="1"/>
  <c r="F32" i="1" s="1"/>
  <c r="F15" i="1"/>
  <c r="F14" i="1"/>
  <c r="F9" i="25" s="1"/>
  <c r="F13" i="1"/>
  <c r="F12" i="1"/>
  <c r="F8" i="25" s="1"/>
  <c r="F11" i="1"/>
  <c r="F10" i="1"/>
  <c r="F9" i="1"/>
  <c r="F7" i="1"/>
  <c r="F6" i="1"/>
  <c r="F3" i="25" s="1"/>
  <c r="F5" i="25" s="1"/>
  <c r="V99" i="14" l="1"/>
  <c r="T146" i="14"/>
  <c r="T148" i="14" s="1"/>
  <c r="Q10" i="26"/>
  <c r="P10" i="26"/>
  <c r="F7" i="25"/>
  <c r="H8" i="25"/>
  <c r="J8" i="25" s="1"/>
  <c r="G3" i="25"/>
  <c r="G9" i="25"/>
  <c r="H9" i="25" s="1"/>
  <c r="J9" i="25" s="1"/>
  <c r="G7" i="25"/>
  <c r="U112" i="14"/>
  <c r="U145" i="14" s="1"/>
  <c r="U146" i="14" s="1"/>
  <c r="U149" i="14" s="1"/>
  <c r="V17" i="14"/>
  <c r="V149" i="14" s="1"/>
  <c r="V50" i="1" s="1"/>
  <c r="F8" i="1"/>
  <c r="V16" i="1"/>
  <c r="V28" i="1" s="1"/>
  <c r="V32" i="1" s="1"/>
  <c r="V6" i="1"/>
  <c r="K24" i="1"/>
  <c r="G24" i="1"/>
  <c r="R24" i="1"/>
  <c r="F20" i="1"/>
  <c r="D24" i="1"/>
  <c r="E24" i="1"/>
  <c r="V18" i="1"/>
  <c r="V10" i="1"/>
  <c r="X10" i="1" s="1"/>
  <c r="T24" i="1"/>
  <c r="V12" i="1"/>
  <c r="X12" i="1" s="1"/>
  <c r="M24" i="1"/>
  <c r="U8" i="1"/>
  <c r="U20" i="1" s="1"/>
  <c r="L24" i="1"/>
  <c r="V14" i="1"/>
  <c r="X14" i="1" s="1"/>
  <c r="V7" i="1"/>
  <c r="X7" i="1" s="1"/>
  <c r="J24" i="1"/>
  <c r="H20" i="1"/>
  <c r="H22" i="1" s="1"/>
  <c r="T149" i="14" l="1"/>
  <c r="H7" i="25"/>
  <c r="J7" i="25" s="1"/>
  <c r="G5" i="25"/>
  <c r="H3" i="25"/>
  <c r="U22" i="1"/>
  <c r="U31" i="1" s="1"/>
  <c r="U33" i="1" s="1"/>
  <c r="U27" i="1"/>
  <c r="U29" i="1" s="1"/>
  <c r="X18" i="1"/>
  <c r="X37" i="1" s="1"/>
  <c r="V37" i="1"/>
  <c r="F22" i="1"/>
  <c r="F31" i="1" s="1"/>
  <c r="F33" i="1" s="1"/>
  <c r="F10" i="25" s="1"/>
  <c r="F11" i="25" s="1"/>
  <c r="F12" i="25" s="1"/>
  <c r="F41" i="1" s="1"/>
  <c r="F27" i="1"/>
  <c r="F29" i="1" s="1"/>
  <c r="F36" i="1" s="1"/>
  <c r="F38" i="1" s="1"/>
  <c r="D151" i="14"/>
  <c r="D152" i="14" s="1"/>
  <c r="X16" i="1"/>
  <c r="X28" i="1" s="1"/>
  <c r="X32" i="1" s="1"/>
  <c r="H24" i="1"/>
  <c r="V8" i="1"/>
  <c r="X8" i="1" s="1"/>
  <c r="X6" i="1"/>
  <c r="Y6" i="1"/>
  <c r="F24" i="1"/>
  <c r="F42" i="1" l="1"/>
  <c r="G10" i="25"/>
  <c r="H10" i="25" s="1"/>
  <c r="F113" i="24"/>
  <c r="U36" i="1"/>
  <c r="U38" i="1" s="1"/>
  <c r="H5" i="25"/>
  <c r="J5" i="25" s="1"/>
  <c r="J3" i="25"/>
  <c r="U24" i="1"/>
  <c r="G11" i="25"/>
  <c r="H11" i="25" s="1"/>
  <c r="U34" i="1"/>
  <c r="F34" i="1"/>
  <c r="V20" i="1"/>
  <c r="X20" i="1" s="1"/>
  <c r="G113" i="24" l="1"/>
  <c r="F117" i="24"/>
  <c r="U39" i="1" s="1"/>
  <c r="G12" i="25"/>
  <c r="F40" i="1"/>
  <c r="V49" i="1"/>
  <c r="V51" i="1" s="1"/>
  <c r="X22" i="1"/>
  <c r="X31" i="1" s="1"/>
  <c r="X33" i="1" s="1"/>
  <c r="X27" i="1"/>
  <c r="X29" i="1" s="1"/>
  <c r="V22" i="1"/>
  <c r="V27" i="1"/>
  <c r="V29" i="1" s="1"/>
  <c r="X24" i="1"/>
  <c r="V21" i="21"/>
  <c r="H12" i="25" l="1"/>
  <c r="V41" i="1" s="1"/>
  <c r="U41" i="1"/>
  <c r="U42" i="1" s="1"/>
  <c r="G116" i="24"/>
  <c r="J10" i="25"/>
  <c r="J11" i="25" s="1"/>
  <c r="J12" i="25" s="1"/>
  <c r="X36" i="1"/>
  <c r="X38" i="1" s="1"/>
  <c r="V24" i="21"/>
  <c r="V34" i="21" s="1"/>
  <c r="W21" i="21"/>
  <c r="X34" i="1"/>
  <c r="V31" i="1"/>
  <c r="V33" i="1" s="1"/>
  <c r="V34" i="1" s="1"/>
  <c r="V24" i="1"/>
  <c r="G117" i="24" l="1"/>
  <c r="V39" i="1" s="1"/>
  <c r="U40" i="1"/>
  <c r="X46" i="1"/>
  <c r="V36" i="1"/>
  <c r="W24" i="21"/>
  <c r="W34" i="21" s="1"/>
  <c r="W36" i="21" s="1"/>
  <c r="AB36" i="21" s="1"/>
  <c r="Y34" i="21"/>
  <c r="V46" i="1" l="1"/>
  <c r="V38" i="1"/>
  <c r="W38" i="21"/>
  <c r="V40" i="1" l="1"/>
  <c r="V42" i="1"/>
  <c r="Q21" i="26"/>
  <c r="P21" i="26"/>
  <c r="G21" i="26"/>
  <c r="G23" i="26"/>
  <c r="I21" i="26"/>
  <c r="I23" i="26" s="1"/>
  <c r="O21" i="26"/>
  <c r="O23" i="26"/>
  <c r="N21" i="26"/>
  <c r="N23" i="26" s="1"/>
  <c r="M21" i="26"/>
  <c r="M23" i="26" s="1"/>
  <c r="K21" i="26"/>
  <c r="K23" i="26" s="1"/>
  <c r="E21" i="26"/>
  <c r="E23" i="26"/>
  <c r="L21" i="26"/>
  <c r="L23" i="26" s="1"/>
  <c r="J21" i="26"/>
  <c r="J23" i="26"/>
  <c r="H21" i="26"/>
  <c r="H23" i="26" s="1"/>
  <c r="D21" i="26"/>
  <c r="F21" i="26" s="1"/>
  <c r="D23" i="26"/>
  <c r="H27" i="26" l="1"/>
  <c r="L27" i="26"/>
  <c r="K27" i="26"/>
  <c r="M27" i="26"/>
  <c r="N27" i="26"/>
  <c r="O27" i="26"/>
  <c r="I27" i="26"/>
  <c r="G27" i="26"/>
  <c r="J27" i="26"/>
  <c r="P23" i="26"/>
  <c r="P27" i="26" s="1"/>
  <c r="Q23" i="26"/>
  <c r="Q27" i="26" s="1"/>
  <c r="F23" i="26" l="1"/>
  <c r="F27" i="26" s="1"/>
  <c r="D14" i="32"/>
  <c r="H13" i="32"/>
  <c r="H14" i="32" s="1"/>
  <c r="E21" i="32" l="1"/>
  <c r="E31" i="32" s="1"/>
  <c r="E33" i="32" s="1"/>
  <c r="D21" i="32"/>
  <c r="D31" i="32" s="1"/>
  <c r="D33" i="32" s="1"/>
  <c r="J14" i="32"/>
  <c r="K15" i="32" s="1"/>
  <c r="H33" i="32" l="1"/>
  <c r="H34" i="32"/>
  <c r="I33" i="32"/>
  <c r="J33" i="32" s="1"/>
  <c r="K34" i="32" s="1"/>
  <c r="K35" i="32" s="1"/>
</calcChain>
</file>

<file path=xl/comments1.xml><?xml version="1.0" encoding="utf-8"?>
<comments xmlns="http://schemas.openxmlformats.org/spreadsheetml/2006/main">
  <authors>
    <author>Author</author>
  </authors>
  <commentList>
    <comment ref="A1" authorId="0" shapeId="0">
      <text>
        <r>
          <rPr>
            <b/>
            <sz val="9"/>
            <color indexed="81"/>
            <rFont val="Tahoma"/>
            <family val="2"/>
          </rPr>
          <t>Pers.No.</t>
        </r>
      </text>
    </comment>
    <comment ref="B1" authorId="0" shapeId="0">
      <text>
        <r>
          <rPr>
            <b/>
            <sz val="9"/>
            <color indexed="81"/>
            <rFont val="Tahoma"/>
            <family val="2"/>
          </rPr>
          <t>PSubarea</t>
        </r>
      </text>
    </comment>
    <comment ref="C1" authorId="0" shapeId="0">
      <text>
        <r>
          <rPr>
            <b/>
            <sz val="9"/>
            <color indexed="81"/>
            <rFont val="Tahoma"/>
            <family val="2"/>
          </rPr>
          <t>Personnel Subarea</t>
        </r>
      </text>
    </comment>
  </commentList>
</comments>
</file>

<file path=xl/sharedStrings.xml><?xml version="1.0" encoding="utf-8"?>
<sst xmlns="http://schemas.openxmlformats.org/spreadsheetml/2006/main" count="2773" uniqueCount="1041">
  <si>
    <t>Adjustment</t>
  </si>
  <si>
    <t>Billed Basis</t>
  </si>
  <si>
    <t>Disallowed Accounts</t>
  </si>
  <si>
    <t>Operating Revenues</t>
  </si>
  <si>
    <t>Payroll Tax</t>
  </si>
  <si>
    <t>Medical</t>
  </si>
  <si>
    <t>Dental</t>
  </si>
  <si>
    <t>401k</t>
  </si>
  <si>
    <t>Property Tax</t>
  </si>
  <si>
    <t>Interest Expense</t>
  </si>
  <si>
    <t>Rate Case Expense</t>
  </si>
  <si>
    <t>Per Income Statement Detail</t>
  </si>
  <si>
    <t>Difference</t>
  </si>
  <si>
    <t>Subtotal</t>
  </si>
  <si>
    <t>Pension</t>
  </si>
  <si>
    <t>Line Number</t>
  </si>
  <si>
    <t>Base Period 12ME 8/31/21 (7 Actual + 5 Budget)</t>
  </si>
  <si>
    <t>Adjustments</t>
  </si>
  <si>
    <t>Forecast Period at Current Rates</t>
  </si>
  <si>
    <t>Proposed Increase</t>
  </si>
  <si>
    <t>Forecast Period at Proposed Rates</t>
  </si>
  <si>
    <t xml:space="preserve"> </t>
  </si>
  <si>
    <t>Gas Sales Revenues</t>
  </si>
  <si>
    <t>Other Operating Revenues</t>
  </si>
  <si>
    <t>Total Operating Revenues</t>
  </si>
  <si>
    <t>Operating Expenses</t>
  </si>
  <si>
    <t>Operating and Maintenance Expense</t>
  </si>
  <si>
    <t>Depreciation and Amortization</t>
  </si>
  <si>
    <t>Taxes Other Than Income Taxes</t>
  </si>
  <si>
    <t>Total Income Taxes</t>
  </si>
  <si>
    <t>Total Operating Expenses</t>
  </si>
  <si>
    <t>Net Operating Income</t>
  </si>
  <si>
    <t>Delta Natural Gas Company, Inc.</t>
  </si>
  <si>
    <t>Schedule D-1</t>
  </si>
  <si>
    <t>Case No. 2021-00185</t>
  </si>
  <si>
    <t>Summary of Utility Jurisdictional Adjustments to</t>
  </si>
  <si>
    <t xml:space="preserve">Operating Income by Major Accounts </t>
  </si>
  <si>
    <t>Acct. No.</t>
  </si>
  <si>
    <t>Account Title</t>
  </si>
  <si>
    <t>Description of the Adjustment</t>
  </si>
  <si>
    <t>INCOME STATEMENT</t>
  </si>
  <si>
    <t xml:space="preserve"> INCOME BEFORE EXTRAORDINARY INCOME</t>
  </si>
  <si>
    <t xml:space="preserve">  UTILITY OPERATING INCOME</t>
  </si>
  <si>
    <t xml:space="preserve">   Operating Revenues (400)</t>
  </si>
  <si>
    <t>9480000 Residential Sales</t>
  </si>
  <si>
    <t>Increase gas cost to current GCR rate, PRP increase and Peoples KY rate increase</t>
  </si>
  <si>
    <t>9481000 Commercial and Industrial Sales</t>
  </si>
  <si>
    <t>Increase gas cost to current GCR rate, PRP increase</t>
  </si>
  <si>
    <t xml:space="preserve">    Sales of Gas (480-484)</t>
  </si>
  <si>
    <t>9487000 Forfeited Discounts</t>
  </si>
  <si>
    <t>Variance not significant</t>
  </si>
  <si>
    <t>9488000 Miscellaneous Service Revenues</t>
  </si>
  <si>
    <t>9489300 Revs from Transp of Gas of Others thru Distri Fac.</t>
  </si>
  <si>
    <t>Reduction for some non-recurring revenue in base period</t>
  </si>
  <si>
    <t>9490000 Sales of Products Extracted from Natural Gas</t>
  </si>
  <si>
    <t>9495000 Other Gas Revenues</t>
  </si>
  <si>
    <t>9496000 Provision for Rate Refunds</t>
  </si>
  <si>
    <t>Balance to consumption analysis</t>
  </si>
  <si>
    <t xml:space="preserve">    Other Operating Revenues (485-496)</t>
  </si>
  <si>
    <t xml:space="preserve">       Total Operating Revenues (400)</t>
  </si>
  <si>
    <t xml:space="preserve">   Operating Expenses:</t>
  </si>
  <si>
    <t xml:space="preserve">    Operation Expenses (401)</t>
  </si>
  <si>
    <t xml:space="preserve">     Gas Production Operating Expense:</t>
  </si>
  <si>
    <t xml:space="preserve">      Natural Gas Production Oper Exp:</t>
  </si>
  <si>
    <t>9753000 Nat Gas Prod/Gath Op - Field Lines Expenses</t>
  </si>
  <si>
    <t>Labor</t>
  </si>
  <si>
    <t>9754000 Nat Gas Prod/Gath Op - Field Compressor Sta Exps</t>
  </si>
  <si>
    <t xml:space="preserve">       Natural Gas Prod &amp; Gath Operation Exp</t>
  </si>
  <si>
    <t xml:space="preserve">        Total Natural Gas Production Oper Exp</t>
  </si>
  <si>
    <t>9803000 Oth Gas Supply Op - Nat Gas Transm Line Pur</t>
  </si>
  <si>
    <t>Increase gas cost to current GCR rate</t>
  </si>
  <si>
    <t>9805100 Oth Gas Supply Op - Pur Gas Cost Adjustments</t>
  </si>
  <si>
    <t>9813000 Oth Gas Supply Op - Other Gas Suppl</t>
  </si>
  <si>
    <t xml:space="preserve">       Other Gas Supply Operation Expenses</t>
  </si>
  <si>
    <t xml:space="preserve">         Total Gas Production Operating Exp</t>
  </si>
  <si>
    <t xml:space="preserve">     Nat Gas Storage, Term &amp; Proc Oper Exp:</t>
  </si>
  <si>
    <t>9816000 UG Storage Op - Well Expenses</t>
  </si>
  <si>
    <t>9818000 UG Storage Op - Compressor Station Expenses</t>
  </si>
  <si>
    <t>9821000 UG Storage Op - Purification Expenses</t>
  </si>
  <si>
    <t>9823000 Gas Losses</t>
  </si>
  <si>
    <t>9824000 UG Storage Op - Other Expenses</t>
  </si>
  <si>
    <t>9825000 UG Storage Op - Storage Well Royalties</t>
  </si>
  <si>
    <t xml:space="preserve">      Underground Storage Operation Expense</t>
  </si>
  <si>
    <t xml:space="preserve">       Ttl Nat Gas Strg, Term &amp; Proc Oper Exp</t>
  </si>
  <si>
    <t>9851000 Gas Transmission Op - Sys Control &amp; Load Dispatch</t>
  </si>
  <si>
    <t>9856000 Gas Transmission Op - Mains Expenses</t>
  </si>
  <si>
    <t>9858000 Gas Transmission Op - Transm/Compres Gas by Others</t>
  </si>
  <si>
    <t xml:space="preserve">     Gas Transmission Operations Exp</t>
  </si>
  <si>
    <t>9870000 Gas Distribution Op - Supervision and Engineering</t>
  </si>
  <si>
    <t>9872000 Gas Distribution Op - Compr Sta Labor &amp; Expense</t>
  </si>
  <si>
    <t>9874000 Gas Distribution Op - Mains and Services Exps</t>
  </si>
  <si>
    <t>9878000 Gas Distribution Op - Meter/House Reg Exps</t>
  </si>
  <si>
    <t>9879000 Gas Distribution Op - Customer Installations Exps</t>
  </si>
  <si>
    <t>9880000 Gas Distribution Op - Other Expenses</t>
  </si>
  <si>
    <t xml:space="preserve">     Gas Distribution Operations Exp</t>
  </si>
  <si>
    <t>9902000 Customer Accounts - Meter Reading Expenses</t>
  </si>
  <si>
    <t>9903000 Customer Accounts - Customer Records &amp; Collections</t>
  </si>
  <si>
    <t>9904000 Customer Accounts - Uncollectible Accounts</t>
  </si>
  <si>
    <t xml:space="preserve">     Customer Accounts Expense</t>
  </si>
  <si>
    <t>9909000 Customer Service/Info - Info &amp; Instructional Adver</t>
  </si>
  <si>
    <t xml:space="preserve">     Customer Service and Informational Expen</t>
  </si>
  <si>
    <t>9912000 Sales Expense - Demonstrating &amp; Selling</t>
  </si>
  <si>
    <t xml:space="preserve">     Sales Expense</t>
  </si>
  <si>
    <t>9920000 Admin &amp; General - Salaries</t>
  </si>
  <si>
    <t>9921000 Admin &amp; General - Office Supplies &amp; Expenses</t>
  </si>
  <si>
    <t>9922000 Admin &amp; General - Admin Exp Transferred - Credit</t>
  </si>
  <si>
    <t>9923000 Admin &amp; General - Outside Services Employed</t>
  </si>
  <si>
    <t>Rate case expenses less lobbying expenses removed</t>
  </si>
  <si>
    <t>9924000 Admin &amp; General - Property Insurance</t>
  </si>
  <si>
    <t>9925000 Admin &amp; General - Injuries &amp; Damages</t>
  </si>
  <si>
    <t>9926000 Admin &amp; General - Employee Benefits</t>
  </si>
  <si>
    <t>Increase in medical, 401k and dental offset by reduction in pension expense</t>
  </si>
  <si>
    <t>9928000 Admin &amp; General - Regulatory Commission Expenses</t>
  </si>
  <si>
    <t>9930100 Admin &amp; General - General Advertising Expenses</t>
  </si>
  <si>
    <t>Advertising expense removed</t>
  </si>
  <si>
    <t>9930200 Admin &amp; General - Miscellaneous Expenses</t>
  </si>
  <si>
    <t>9931000 Admin &amp; General - Rents</t>
  </si>
  <si>
    <t xml:space="preserve">     Administrative &amp; General Operations Exp</t>
  </si>
  <si>
    <t xml:space="preserve">          Total Operation Expenses (401)</t>
  </si>
  <si>
    <t xml:space="preserve">    Maintenance Expenses (402)</t>
  </si>
  <si>
    <t xml:space="preserve">     Gas Production Maintenance Expenses</t>
  </si>
  <si>
    <t>9764000 Nat Gas Prod/Gath Maint - Field Lines</t>
  </si>
  <si>
    <t>9765000 Nat Gas Prod/Gath Maint - Fld Compres Sta Equip</t>
  </si>
  <si>
    <t xml:space="preserve">       Natural Gas Prod &amp; Gath Maint Exp</t>
  </si>
  <si>
    <t xml:space="preserve">        Total Nat Gas Production Maint Exp</t>
  </si>
  <si>
    <t xml:space="preserve">         Total Gas Production Maintenance Exp</t>
  </si>
  <si>
    <t xml:space="preserve">     Nat Gas Storage, Term &amp; Proc Maint Exp</t>
  </si>
  <si>
    <t>9831000 UG Storage Maint - Structures/Improvements</t>
  </si>
  <si>
    <t>9832000 UG Storage Maint - Reservoirs and Wells</t>
  </si>
  <si>
    <t>9834000 UG Storage Maint - Compressor Station Equipment</t>
  </si>
  <si>
    <t>9835000 UG Main Meas/Reg Equip</t>
  </si>
  <si>
    <t>9837000 UG Storage Maint - Other Equipment</t>
  </si>
  <si>
    <t xml:space="preserve">      Underground Storage Maintenance Exp</t>
  </si>
  <si>
    <t xml:space="preserve">         Ttl Nat Gas Stor, Term &amp; Proc Maint</t>
  </si>
  <si>
    <t>9863000 Gas Transmission Maint - Mains</t>
  </si>
  <si>
    <t xml:space="preserve">     Gas Transmission Maintenance Expense</t>
  </si>
  <si>
    <t>9885000 Gas Distribution Maint - Supervision &amp; Engineering</t>
  </si>
  <si>
    <t>9886000 Gas Distribution Maint - Structures/Improvements</t>
  </si>
  <si>
    <t>9887000 Gas Distribution Maint - Mains</t>
  </si>
  <si>
    <t>9889000 Gas Distribution Maint - Main Meas/Reg Eq-Gen</t>
  </si>
  <si>
    <t>9892000 Gas Distribution Maint - Services</t>
  </si>
  <si>
    <t>9893000 Gas Distribution Maint - Meters/House Regulators</t>
  </si>
  <si>
    <t>9894000 Gas Distribution Maint - Other Equipment</t>
  </si>
  <si>
    <t xml:space="preserve">     Gas Distribution Maintenance Expense</t>
  </si>
  <si>
    <t>9932000 Admin &amp; General Maint -Other General Plant -Gas</t>
  </si>
  <si>
    <t xml:space="preserve">     Administrative &amp; General Maintenance Exp</t>
  </si>
  <si>
    <t xml:space="preserve">          Total Maintenance Expenses (402)</t>
  </si>
  <si>
    <t>Operations and Maintenance Expenses</t>
  </si>
  <si>
    <t>9403000 Depreciation Expense - Utility Plant</t>
  </si>
  <si>
    <t>Increase primarily due to increased plant in service</t>
  </si>
  <si>
    <t xml:space="preserve">    Depreciation Expense (403)</t>
  </si>
  <si>
    <t>9404000 Amortization Expense - Utility Plant</t>
  </si>
  <si>
    <t>9404200 Amort &amp; Depl of UG Storage Land &amp; Land Rights</t>
  </si>
  <si>
    <t xml:space="preserve">    Amort &amp; Depletion of Util Plnt (404-405)</t>
  </si>
  <si>
    <t>9408100 Taxes Other than Income Taxes - Utility Operating</t>
  </si>
  <si>
    <t>Increase in property tax due to increased plant in service</t>
  </si>
  <si>
    <t xml:space="preserve">    Taxes Other than Income Taxes (408.1)</t>
  </si>
  <si>
    <t>9409100 Income Taxes - Utility Operating Income</t>
  </si>
  <si>
    <t xml:space="preserve">    Income Taxes (409.1)</t>
  </si>
  <si>
    <t>9410100 Provision for Deferred Income Taxes - Utility Op I</t>
  </si>
  <si>
    <t xml:space="preserve">    Prov for Deferred Income Taxes (410.1)</t>
  </si>
  <si>
    <t xml:space="preserve">       Total Operating Expenses</t>
  </si>
  <si>
    <t xml:space="preserve">        NET UTILITY OPERATING INCOME</t>
  </si>
  <si>
    <t>Tab 57 - Schedule D-2</t>
  </si>
  <si>
    <t>Schedule D-2</t>
  </si>
  <si>
    <t xml:space="preserve">Witness: John B. Brown </t>
  </si>
  <si>
    <t>Adjustments by Account</t>
  </si>
  <si>
    <t>Forecast Test Period 12 ME 12/31/22 Base Period 12 ME 8/31/21</t>
  </si>
  <si>
    <t>D-2.1</t>
  </si>
  <si>
    <t>D-2.2</t>
  </si>
  <si>
    <t>D-2.3</t>
  </si>
  <si>
    <t>D-2.4</t>
  </si>
  <si>
    <t>D-2.5</t>
  </si>
  <si>
    <t>D-2.6</t>
  </si>
  <si>
    <t>D-2.7</t>
  </si>
  <si>
    <t>D-2.8</t>
  </si>
  <si>
    <t>D-2.9</t>
  </si>
  <si>
    <t>7 Mos Actual 3/31/21</t>
  </si>
  <si>
    <t>5 Mos Budget 8/31/21</t>
  </si>
  <si>
    <t>Base Period 12 Mos Ended 8/31/21</t>
  </si>
  <si>
    <t>Revenue</t>
  </si>
  <si>
    <t>Gas Cost</t>
  </si>
  <si>
    <t>Removed Amounts</t>
  </si>
  <si>
    <t>Benefits</t>
  </si>
  <si>
    <t>Property Related</t>
  </si>
  <si>
    <t>Total Adjustments</t>
  </si>
  <si>
    <t>2022 Forecasted Test Year</t>
  </si>
  <si>
    <t>Purchased Gas</t>
  </si>
  <si>
    <t>Gross Margin</t>
  </si>
  <si>
    <t>Operation &amp; Maintenance</t>
  </si>
  <si>
    <t>Depreciation &amp; Amortization</t>
  </si>
  <si>
    <t>Other Taxes</t>
  </si>
  <si>
    <t>Net Income Before Income Taxes</t>
  </si>
  <si>
    <t>Taxes at 24.95%</t>
  </si>
  <si>
    <t>Add back Interest Expense</t>
  </si>
  <si>
    <t>Tab 57 - Schedule D-2.1</t>
  </si>
  <si>
    <t>Income Statement Impact of Unbilled</t>
  </si>
  <si>
    <t>7 Months Ended 3/31/21</t>
  </si>
  <si>
    <t>Residential Gas Sales - Unbilled</t>
  </si>
  <si>
    <t>Commercial Gas Sales - Unbilled</t>
  </si>
  <si>
    <t>Industrial Gas Sales - Unbilled</t>
  </si>
  <si>
    <t>Purchased Gas Cost Adjustments - Unbilled Revenue</t>
  </si>
  <si>
    <t>Delta completes its consumption and revenue analysis on the billed revenue method.</t>
  </si>
  <si>
    <t>Delta makes this adjustment to remove the amount of unbilled revenues recorded during the base period to arrive at revenues for the 7 billed months ending 3/31/21 so that the base period represents 7 actual billed months and 5 budgeted months.</t>
  </si>
  <si>
    <t>Tab 57 - Schedule D-2.2</t>
  </si>
  <si>
    <t>Calendar 2020</t>
  </si>
  <si>
    <t>Delta</t>
  </si>
  <si>
    <t>PKY</t>
  </si>
  <si>
    <t>Combined</t>
  </si>
  <si>
    <t>Remove CEP</t>
  </si>
  <si>
    <t>Adj for Rev Present Rates</t>
  </si>
  <si>
    <t>Balance to Consumption Study</t>
  </si>
  <si>
    <t>Temp Norm</t>
  </si>
  <si>
    <t>Projected Increase in Use</t>
  </si>
  <si>
    <t>Grand Total 2022 Pro Forma</t>
  </si>
  <si>
    <t>Base Period 7+5</t>
  </si>
  <si>
    <t>ADJUST</t>
  </si>
  <si>
    <t>Residental Gas Sales - Billed</t>
  </si>
  <si>
    <t>Commercial Gas Sales - Billed</t>
  </si>
  <si>
    <t>Industrial Gas Sales - Billed</t>
  </si>
  <si>
    <t>GROSS BILLED</t>
  </si>
  <si>
    <t xml:space="preserve">Provision for Rate Refunds ** </t>
  </si>
  <si>
    <t>TOTAL RETAIL</t>
  </si>
  <si>
    <t xml:space="preserve"> -   </t>
  </si>
  <si>
    <t>Rev from Transp of Gas - Commercial</t>
  </si>
  <si>
    <t>Rev from Transp of Gas - Industrial</t>
  </si>
  <si>
    <t>Rev from Transp of Gas - Residential</t>
  </si>
  <si>
    <t>Transm &amp; Compr of Gas by Affil - 1600</t>
  </si>
  <si>
    <t>TOTAL ON SYSTEM</t>
  </si>
  <si>
    <t>Rev from Transp of Gas - Off System</t>
  </si>
  <si>
    <t>TOTAL OFF SYSTEM</t>
  </si>
  <si>
    <t>TOTAL GAS AND TRANSPORTATION</t>
  </si>
  <si>
    <t>Miscellaneous Revenue</t>
  </si>
  <si>
    <t xml:space="preserve">     ** booked in same account</t>
  </si>
  <si>
    <t>TOTAL OPERATING INCOME (BILLED BASIS)</t>
  </si>
  <si>
    <t>Tab 57 - Schedule D-2.3</t>
  </si>
  <si>
    <t>Base Period</t>
  </si>
  <si>
    <t>Remove Unbilled</t>
  </si>
  <si>
    <t>Gas Cost in Base Period</t>
  </si>
  <si>
    <t>Gas Cost in Forecasted Period</t>
  </si>
  <si>
    <t>Residential</t>
  </si>
  <si>
    <t>Less:  temp norm</t>
  </si>
  <si>
    <t>Small  Non Res</t>
  </si>
  <si>
    <t>Large Non Res</t>
  </si>
  <si>
    <t>Interruptible</t>
  </si>
  <si>
    <t>Farm Tap</t>
  </si>
  <si>
    <t>Current GCR</t>
  </si>
  <si>
    <t>Pro Forma Gas Cost</t>
  </si>
  <si>
    <t>Adjustment for Change in GCR Rate</t>
  </si>
  <si>
    <t>Res + Farm Tap</t>
  </si>
  <si>
    <t>Others</t>
  </si>
  <si>
    <t>Tab 57 - Schedule D-2.4</t>
  </si>
  <si>
    <t>Forfeited Discounts - Gas</t>
  </si>
  <si>
    <t>Advertising</t>
  </si>
  <si>
    <t>Lobbying</t>
  </si>
  <si>
    <t>Increase of cash surrender value of life insurance s/b below the line</t>
  </si>
  <si>
    <t>Total</t>
  </si>
  <si>
    <t>Tab 57 - Schedule D-2.5</t>
  </si>
  <si>
    <t>2022 Test Year Expense</t>
  </si>
  <si>
    <t>Base Year Expense</t>
  </si>
  <si>
    <t>Pension benefit frozen 5/1/21 resulting in income from the pension plan during the test year</t>
  </si>
  <si>
    <t>401K</t>
  </si>
  <si>
    <t>Increase due to raising employer contribution due to freezing the pension plan</t>
  </si>
  <si>
    <t>Three months ended 3/31/21</t>
  </si>
  <si>
    <t>Annualized</t>
  </si>
  <si>
    <t>Expected increase</t>
  </si>
  <si>
    <t>Total Adjustments for Benefits</t>
  </si>
  <si>
    <t>Tab 57 - Schedule D-2.6</t>
  </si>
  <si>
    <t>Gross Payroll - 12 Months ended 8/31/21</t>
  </si>
  <si>
    <t>Straight</t>
  </si>
  <si>
    <t>OT</t>
  </si>
  <si>
    <t>Incentive</t>
  </si>
  <si>
    <t>Non-recurring Vacation Accrual</t>
  </si>
  <si>
    <t>Capitalized</t>
  </si>
  <si>
    <t>Expensed</t>
  </si>
  <si>
    <t>Reversal of non-recurring vacation accrual</t>
  </si>
  <si>
    <t>Reversal of incentive</t>
  </si>
  <si>
    <t xml:space="preserve">Cost of living/ merit raises/ mkt adjustments </t>
  </si>
  <si>
    <t>Incentive compensation estimate</t>
  </si>
  <si>
    <t>Net Payroll Adjustment</t>
  </si>
  <si>
    <t>Payroll Tax Adjustment</t>
  </si>
  <si>
    <t>Base Period Payroll Tax</t>
  </si>
  <si>
    <t>FICA</t>
  </si>
  <si>
    <t>Medicare</t>
  </si>
  <si>
    <t>FUTA</t>
  </si>
  <si>
    <t>SUTA</t>
  </si>
  <si>
    <t>Dep Care</t>
  </si>
  <si>
    <t>Health Care</t>
  </si>
  <si>
    <t>Vision</t>
  </si>
  <si>
    <t>FICA Exempt</t>
  </si>
  <si>
    <t>Exemptions</t>
  </si>
  <si>
    <t>Taxable Amount</t>
  </si>
  <si>
    <t>Tax Rate</t>
  </si>
  <si>
    <t>Tab 57 - Schedule D-2.7</t>
  </si>
  <si>
    <t xml:space="preserve">Pro Forma Depreciation Expense </t>
  </si>
  <si>
    <t>(see Tab 55 Page 10)</t>
  </si>
  <si>
    <t>Base Year</t>
  </si>
  <si>
    <t>Tax Year 2020 Property Tax</t>
  </si>
  <si>
    <t>Gross Plant</t>
  </si>
  <si>
    <t>Actual at 12/31/2019</t>
  </si>
  <si>
    <t>Projected at 12/31/2021</t>
  </si>
  <si>
    <t>Increase factor</t>
  </si>
  <si>
    <t>Pro Forma Property Tax</t>
  </si>
  <si>
    <t>Amounts</t>
  </si>
  <si>
    <t>Ratios</t>
  </si>
  <si>
    <t>Cost Rates</t>
  </si>
  <si>
    <t>Weighted Cost of Capital</t>
  </si>
  <si>
    <t>Equity</t>
  </si>
  <si>
    <t>Pro Forma</t>
  </si>
  <si>
    <t>Long Term Debt</t>
  </si>
  <si>
    <t>Short Term Debt</t>
  </si>
  <si>
    <t>Calculation of Pro Forma Interest Expense and Adjustment</t>
  </si>
  <si>
    <t>LTD</t>
  </si>
  <si>
    <t>Debt Expense Amortization</t>
  </si>
  <si>
    <t>Annual Long Term Debt Expense</t>
  </si>
  <si>
    <t>Rate</t>
  </si>
  <si>
    <t>Total Calculated Interest Expense</t>
  </si>
  <si>
    <t>Per Books</t>
  </si>
  <si>
    <t>Tab 57 - Schedule D-2.9</t>
  </si>
  <si>
    <t>Estimated</t>
  </si>
  <si>
    <t xml:space="preserve">Billed Hours </t>
  </si>
  <si>
    <t xml:space="preserve">Company </t>
  </si>
  <si>
    <t xml:space="preserve">Estimated </t>
  </si>
  <si>
    <t>Description of Expense</t>
  </si>
  <si>
    <t>If Applicable</t>
  </si>
  <si>
    <t>Vendor</t>
  </si>
  <si>
    <t>Contact</t>
  </si>
  <si>
    <t>Expense</t>
  </si>
  <si>
    <t>Regulatory</t>
  </si>
  <si>
    <t>Peoples Regulatory/Legal</t>
  </si>
  <si>
    <t>Victoria Green</t>
  </si>
  <si>
    <t>Aqua Service - Rate Dept.</t>
  </si>
  <si>
    <t>Aqua Services, Inc.</t>
  </si>
  <si>
    <t>Danny Allen</t>
  </si>
  <si>
    <t>Expenses</t>
  </si>
  <si>
    <t>Case Preparation Assistance</t>
  </si>
  <si>
    <t>The Prime Group LLC.</t>
  </si>
  <si>
    <t>Steve Seelye</t>
  </si>
  <si>
    <t>Billing Analysis/Rate Design</t>
  </si>
  <si>
    <t>Depreciation Study</t>
  </si>
  <si>
    <t>Rate of Return</t>
  </si>
  <si>
    <t>Verizon</t>
  </si>
  <si>
    <t>Paul Moul</t>
  </si>
  <si>
    <t>Legal</t>
  </si>
  <si>
    <t>Stoll Keenon Ogden</t>
  </si>
  <si>
    <t>Monica Braun</t>
  </si>
  <si>
    <t>Cost of Service Study</t>
  </si>
  <si>
    <t>Tax Consulting</t>
  </si>
  <si>
    <t>Regulated Capital Consultants</t>
  </si>
  <si>
    <t>Panpilis Fischer</t>
  </si>
  <si>
    <t>Travel Expenses</t>
  </si>
  <si>
    <t>Other Expenses:</t>
  </si>
  <si>
    <t>supplies, conference calls,</t>
  </si>
  <si>
    <t xml:space="preserve">transcripts, notification, </t>
  </si>
  <si>
    <t>Delta Natural Gas Company</t>
  </si>
  <si>
    <t>Emily Bennett</t>
  </si>
  <si>
    <t>printing, copying, postage, etc.</t>
  </si>
  <si>
    <t xml:space="preserve">Projected </t>
  </si>
  <si>
    <t>Amortization Period</t>
  </si>
  <si>
    <t>Pro Forma Costs</t>
  </si>
  <si>
    <t>Income Statement Summary Base, Adjustments, and Projection</t>
  </si>
  <si>
    <t>ADJ-1</t>
  </si>
  <si>
    <t>ADJ-2</t>
  </si>
  <si>
    <t>ADJ-3</t>
  </si>
  <si>
    <t>ADJ-4</t>
  </si>
  <si>
    <t>ADJ-5</t>
  </si>
  <si>
    <t>ADJ-6</t>
  </si>
  <si>
    <t>ADJ-7</t>
  </si>
  <si>
    <t>ADJ-8</t>
  </si>
  <si>
    <t>ADJ-9</t>
  </si>
  <si>
    <t>ADJ-10</t>
  </si>
  <si>
    <t>ADJ-11</t>
  </si>
  <si>
    <t>ADJ-12</t>
  </si>
  <si>
    <t>ADJ-13</t>
  </si>
  <si>
    <t>ADJ-14</t>
  </si>
  <si>
    <t>CSV Life Insurance</t>
  </si>
  <si>
    <t>Increase</t>
  </si>
  <si>
    <t>2022 with Implemented Rates</t>
  </si>
  <si>
    <t>% Increase</t>
  </si>
  <si>
    <t>Other Income, Net</t>
  </si>
  <si>
    <t>Net Income</t>
  </si>
  <si>
    <t>Net income before income taxes</t>
  </si>
  <si>
    <t>Below the line income</t>
  </si>
  <si>
    <t>Utility</t>
  </si>
  <si>
    <t>Income taxes</t>
  </si>
  <si>
    <t>Below the line income taxes</t>
  </si>
  <si>
    <t xml:space="preserve">Utility </t>
  </si>
  <si>
    <t>Effective rate</t>
  </si>
  <si>
    <t>Utility net income</t>
  </si>
  <si>
    <t>Per Tab 57</t>
  </si>
  <si>
    <t>Per Tab 56</t>
  </si>
  <si>
    <t>Return on Equity</t>
  </si>
  <si>
    <t>Pre tax check figure</t>
  </si>
  <si>
    <t>Pre tax per detail</t>
  </si>
  <si>
    <t>Company Code</t>
  </si>
  <si>
    <t>Account Number</t>
  </si>
  <si>
    <t>Text for B/S P&amp;L Item</t>
  </si>
  <si>
    <t>12 Months Ended 8/31/21 (7+5)</t>
  </si>
  <si>
    <t>Adjust Gas Cost to Current</t>
  </si>
  <si>
    <t>CSV increase Life Insurance</t>
  </si>
  <si>
    <t>PER SUMMARY</t>
  </si>
  <si>
    <t>TOTAL STATE COMBINED FERC BASIS</t>
  </si>
  <si>
    <t>****</t>
  </si>
  <si>
    <t xml:space="preserve">  OTHER INCOME &amp; DEDUCTIONS</t>
  </si>
  <si>
    <t xml:space="preserve">   Other Income:</t>
  </si>
  <si>
    <t>9415000 Revenues from Merchandising,Jobbing &amp; Contract Wor</t>
  </si>
  <si>
    <t xml:space="preserve">    Rev - Mrchndsng/Jobbng/Contrct Wrk (415)</t>
  </si>
  <si>
    <t>9416000 Costs &amp; Expenses of Merchandising, Jobbing &amp; Contr</t>
  </si>
  <si>
    <t xml:space="preserve">    Cst - Mrchndsng/Jobbng/Contrct Wrk (416)</t>
  </si>
  <si>
    <t>9419000 Interest &amp; Dividend Income</t>
  </si>
  <si>
    <t xml:space="preserve">    Interest and Dividend Income (419)</t>
  </si>
  <si>
    <t>9421000 Miscellaneous Nonoperating Income</t>
  </si>
  <si>
    <t xml:space="preserve">    Miscellaneous Nonoperating Income (421)</t>
  </si>
  <si>
    <t xml:space="preserve">       Total Other Income</t>
  </si>
  <si>
    <t xml:space="preserve">   Other Income Deductions:</t>
  </si>
  <si>
    <t>9421200 Loss on Disposition of Property</t>
  </si>
  <si>
    <t xml:space="preserve">    Loss on Disp of Property (421.2)</t>
  </si>
  <si>
    <t>9426100 Other Income Deductions - Donations</t>
  </si>
  <si>
    <t xml:space="preserve">    Donations (426.1)</t>
  </si>
  <si>
    <t>9426300 Other Income Deductions - Penalties</t>
  </si>
  <si>
    <t xml:space="preserve">    Penalties (426.3)</t>
  </si>
  <si>
    <t>9426400 Other Income Deductions - Civic/Political Activity</t>
  </si>
  <si>
    <t xml:space="preserve">    Exp Certain Civic, Pol &amp; Rel Activ(426.4)</t>
  </si>
  <si>
    <t xml:space="preserve">       Total Other Income Deductions</t>
  </si>
  <si>
    <t xml:space="preserve">        NET OTHER INCOME &amp; DEDUCTIONS</t>
  </si>
  <si>
    <t xml:space="preserve">  INTEREST CHARGES</t>
  </si>
  <si>
    <t>9428000 Amortization of Debt Discount &amp; Exp</t>
  </si>
  <si>
    <t xml:space="preserve">   Amort of Debt Discount &amp; Expense (428)</t>
  </si>
  <si>
    <t>9430000 Interest on Debt to Associated Companies</t>
  </si>
  <si>
    <t xml:space="preserve">   Interest on Debt to Assoc. Companies (430)</t>
  </si>
  <si>
    <t>9431000 Other Interest Expense</t>
  </si>
  <si>
    <t xml:space="preserve">   Other Interest Expense (431)</t>
  </si>
  <si>
    <t>9432000 Allowance Borrowed Funds Used During Construction</t>
  </si>
  <si>
    <t xml:space="preserve">   Allow-Brrwed Fnds Usd Durng Const-Cr (432)</t>
  </si>
  <si>
    <t xml:space="preserve">        NET INTEREST CHARGES</t>
  </si>
  <si>
    <t xml:space="preserve">         TOTAL INC. BEFORE EXTRAORDINARY INC.</t>
  </si>
  <si>
    <t>NET INCOME</t>
  </si>
  <si>
    <t>Income Taxes</t>
  </si>
  <si>
    <t>Pretax</t>
  </si>
  <si>
    <t>Pre Tax Net Income Check Figure from April 27, 2021 Version</t>
  </si>
  <si>
    <t>Pre Tax Net Income Check Figure from Natural Tab</t>
  </si>
  <si>
    <t>w</t>
  </si>
  <si>
    <t>Income Statement (Natural Accounts) KY STATE TOTAL 12 Months Actual Ending 3/21 Plus 5 Months Forecasted Ending 8/21</t>
  </si>
  <si>
    <t>Monthly detail hidden</t>
  </si>
  <si>
    <t>Unbilled Reversal</t>
  </si>
  <si>
    <t>Actual 12 Mo Total</t>
  </si>
  <si>
    <t>Actual 7 Mo Total</t>
  </si>
  <si>
    <t>Budget 5 Mo Total</t>
  </si>
  <si>
    <t>7 + 5</t>
  </si>
  <si>
    <t>OPERATING REVENUES</t>
  </si>
  <si>
    <t>Residential Gas Sales - Billed</t>
  </si>
  <si>
    <t>Misc Gas Service Revenues</t>
  </si>
  <si>
    <t>Rev From Trans of Gas-Distr Facil-Commercial</t>
  </si>
  <si>
    <t>Rev From Trans of Gas-Distr Facil-Industrial</t>
  </si>
  <si>
    <t>Rev From Trans of Gas-Distr Facil-Off System</t>
  </si>
  <si>
    <t>Rev From Trans of Gas-Off System-Affil-1800</t>
  </si>
  <si>
    <t>Rev From Trans of Gas-Distr Facil-Residential</t>
  </si>
  <si>
    <t>Rev From Trans of Gas-Distr Facil-Affil-1700-DR</t>
  </si>
  <si>
    <t>Provision for Rate Refunds</t>
  </si>
  <si>
    <t>Revenues from M &amp; J and Contract Work</t>
  </si>
  <si>
    <t>Don't need because FERC below the line JB 5/2/21</t>
  </si>
  <si>
    <t>OPERATING REVENUES Total</t>
  </si>
  <si>
    <t xml:space="preserve">  Purchased Gas</t>
  </si>
  <si>
    <t>Nat Gas Trans Line Purch-Interstate-Gas Costs</t>
  </si>
  <si>
    <t>Unrecovered Purchased Gas Cost Adjustments</t>
  </si>
  <si>
    <t>Transportation of Gas - Commodity Charges</t>
  </si>
  <si>
    <t xml:space="preserve">  Purchased Gas Total</t>
  </si>
  <si>
    <t xml:space="preserve">  Other Operations &amp; Maintenance</t>
  </si>
  <si>
    <t>Salaried - Straight-Time Wages</t>
  </si>
  <si>
    <t>Salaried - Straight-Time Wages-2200</t>
  </si>
  <si>
    <t>Salaried - Overtime Wages</t>
  </si>
  <si>
    <t>Salaried - Overtime Wages-2200</t>
  </si>
  <si>
    <t>Salaried - Supplemental Pay</t>
  </si>
  <si>
    <t>Salaried - Vacation Accrual</t>
  </si>
  <si>
    <t>Salaried - Vacation Accrual 2200</t>
  </si>
  <si>
    <t>Salaried - Severance JE - 2200</t>
  </si>
  <si>
    <t>Salaried - Incentives / Bonuses</t>
  </si>
  <si>
    <t>Salaried - Incentives / Bonuses 2200</t>
  </si>
  <si>
    <t>Salaried - Annual Incentive</t>
  </si>
  <si>
    <t>Salaried - Annual Incentive - 2200</t>
  </si>
  <si>
    <t>Performance Share Unit Amortization</t>
  </si>
  <si>
    <t>Restricted Stock Unit Amortization</t>
  </si>
  <si>
    <t>Hourly - Straight-Time Wages - 2200</t>
  </si>
  <si>
    <t>Hourly - Overtime Wages - 2200</t>
  </si>
  <si>
    <t>Hourly - Incentives / Bonuses 2200</t>
  </si>
  <si>
    <t>Hourly - Annual Incentive - 2200</t>
  </si>
  <si>
    <t>Capitalized Labor &amp; Benefits-PROJ SETTLMT USE ONLY</t>
  </si>
  <si>
    <t>Employee Benefits - Medical</t>
  </si>
  <si>
    <t>Employee Benefits - Medical-HSA Contributions</t>
  </si>
  <si>
    <t>Employee Benefits - Dental / Vision</t>
  </si>
  <si>
    <t>Employee Benefits - Life Insurance</t>
  </si>
  <si>
    <t>Employee Benefits - Disability</t>
  </si>
  <si>
    <t>Employee Benefits - OPEB</t>
  </si>
  <si>
    <t>Employee Benefits - OPEB Def</t>
  </si>
  <si>
    <t>Employee Benefits - NonService Costs Benefits Recl</t>
  </si>
  <si>
    <t>Employee Benefits - Plan Administration</t>
  </si>
  <si>
    <t>Employee Benefits - Pensions</t>
  </si>
  <si>
    <t>Employee Benefits - Savings Plan</t>
  </si>
  <si>
    <t>Employee Benefits - Medical Dental Vision 2200</t>
  </si>
  <si>
    <t>Other Employee Benefits - Miscellaneous</t>
  </si>
  <si>
    <t>Other Employee Benefits - Miscellaneous - 2200</t>
  </si>
  <si>
    <t>Travel Expense</t>
  </si>
  <si>
    <t>Travel - Meals (50% Non-Deductible)</t>
  </si>
  <si>
    <t>Entertainment Expense</t>
  </si>
  <si>
    <t>Entertainment Expense - Non-Deductible</t>
  </si>
  <si>
    <t>Travel &amp; Entertainment Expense 2200</t>
  </si>
  <si>
    <t>Recruiting Expenses</t>
  </si>
  <si>
    <t>Tuition Reimbursement Expense</t>
  </si>
  <si>
    <t>Employee Relations Expense</t>
  </si>
  <si>
    <t>Safety Functions Expense</t>
  </si>
  <si>
    <t>Miscellaneous Employee-Related Expense</t>
  </si>
  <si>
    <t>Misc Employee-Related Expense 2200</t>
  </si>
  <si>
    <t>Contractor Labor - Straight Time</t>
  </si>
  <si>
    <t>Contractor Materials</t>
  </si>
  <si>
    <t>Contractor Services</t>
  </si>
  <si>
    <t>Contractor Services - Restoration</t>
  </si>
  <si>
    <t>Environmental  Services</t>
  </si>
  <si>
    <t>Office Equipment Maintenance Services</t>
  </si>
  <si>
    <t>Computer &amp; Software Maintenance Services</t>
  </si>
  <si>
    <t>Building &amp; Grounds Maintenance Services</t>
  </si>
  <si>
    <t>Security Equipment Maintenance Services</t>
  </si>
  <si>
    <t>Communications Equipment Maintenance Services</t>
  </si>
  <si>
    <t>Automobile Repairs/Maintenance</t>
  </si>
  <si>
    <t>Miscellaneous Repairs/Maintenance</t>
  </si>
  <si>
    <t>Accounting/Auditing Services</t>
  </si>
  <si>
    <t>Legal Services</t>
  </si>
  <si>
    <t>Consultant Services</t>
  </si>
  <si>
    <t>IT/Telecom Contractor Services</t>
  </si>
  <si>
    <t>Training Services</t>
  </si>
  <si>
    <t>Professional/Temporary Labor</t>
  </si>
  <si>
    <t>Collection Agency Services</t>
  </si>
  <si>
    <t>Changed to FERC balance 5/2/21 JB</t>
  </si>
  <si>
    <t>Security &amp; Investigative Services</t>
  </si>
  <si>
    <t>Testing Services</t>
  </si>
  <si>
    <t>Miscellaneous Outside Services</t>
  </si>
  <si>
    <t>Miscellaneous Outside Services 2200</t>
  </si>
  <si>
    <t>Capitalized Outside Services-PROJ SETTLMT USE ONLY</t>
  </si>
  <si>
    <t>Material Exp-Stock</t>
  </si>
  <si>
    <t>Material Exp-Inv Rvl</t>
  </si>
  <si>
    <t>Material Exp-Non Stk</t>
  </si>
  <si>
    <t>Auto Parts &amp; Supplies</t>
  </si>
  <si>
    <t>Meter/ERT Purchases</t>
  </si>
  <si>
    <t>Office Supplies</t>
  </si>
  <si>
    <t>Postage, Shipping, &amp; Freight</t>
  </si>
  <si>
    <t>Software/Hardware Purchases</t>
  </si>
  <si>
    <t>Office Furn &amp; Equip</t>
  </si>
  <si>
    <t>Promotion Supplies</t>
  </si>
  <si>
    <t>Pass.  Not on FERC stmt JB 5/2/21</t>
  </si>
  <si>
    <t>Small Tools &amp; Work Equipment</t>
  </si>
  <si>
    <t>Misc Supplies</t>
  </si>
  <si>
    <t>Purchasing Card Expenses-MC</t>
  </si>
  <si>
    <t>Gasoline</t>
  </si>
  <si>
    <t>Miscellaneous Materials &amp; Supplies-2200</t>
  </si>
  <si>
    <t>Capitalized M&amp;S-PROJ SETTLMT USE ONLY</t>
  </si>
  <si>
    <t>Injury Expenses</t>
  </si>
  <si>
    <t>Damages - Property</t>
  </si>
  <si>
    <t>Claims Reimburse</t>
  </si>
  <si>
    <t>Worker's Compensation Claim Expenses</t>
  </si>
  <si>
    <t>Worker's Compensation Admin</t>
  </si>
  <si>
    <t>Insurance-Directors&amp;Officers/Fiduciary/Crime</t>
  </si>
  <si>
    <t>Insurance-Excess Liability/Surty</t>
  </si>
  <si>
    <t>Insurance-General Property</t>
  </si>
  <si>
    <t>Insurance-Worker's Comp</t>
  </si>
  <si>
    <t>Insurance-Other</t>
  </si>
  <si>
    <t>Rent Expense - Buildings</t>
  </si>
  <si>
    <t>Rent Expense - Equipment (Office &amp; Other)</t>
  </si>
  <si>
    <t>Rent Expense - Land &amp; Land Rights</t>
  </si>
  <si>
    <t>Rent Expense - Miscellaneous</t>
  </si>
  <si>
    <t>Subscriptions</t>
  </si>
  <si>
    <t>Professional Dues</t>
  </si>
  <si>
    <t>Industry Assoc Dues</t>
  </si>
  <si>
    <t>Other Dues&amp;Membershp</t>
  </si>
  <si>
    <t>Misc Dues &amp; Subscriptions-2200</t>
  </si>
  <si>
    <t>Utilities - Electric and Gas</t>
  </si>
  <si>
    <t>Utilities - Phone</t>
  </si>
  <si>
    <t>Utilities - Wireless Services-Cell Phones &amp; Pagers</t>
  </si>
  <si>
    <t>Utilities - Water</t>
  </si>
  <si>
    <t>Utilities - Other</t>
  </si>
  <si>
    <t>Operating Permits</t>
  </si>
  <si>
    <t>Licensing Fees</t>
  </si>
  <si>
    <t>Regulatory Fees &amp; Assessments</t>
  </si>
  <si>
    <t>Directors Fees and Expenses</t>
  </si>
  <si>
    <t>Environmental Fees</t>
  </si>
  <si>
    <t>Bank Fees</t>
  </si>
  <si>
    <t>Miscellaneous Fees</t>
  </si>
  <si>
    <t>Misc Permits &amp; Fees-2200</t>
  </si>
  <si>
    <t>Uncollect Accts Exp</t>
  </si>
  <si>
    <t>Land Rights &amp; Right of Way Fees</t>
  </si>
  <si>
    <t>Underground Storage - Gas Losses</t>
  </si>
  <si>
    <t>Gas Lost</t>
  </si>
  <si>
    <t>Operating Gain/Loss-Disposition of Assets</t>
  </si>
  <si>
    <t>Lost Discount Exp</t>
  </si>
  <si>
    <t>Expense Reimbursements from Customers</t>
  </si>
  <si>
    <t>Vehicle Expenses-M4-Fleet System- Maintenance</t>
  </si>
  <si>
    <t>Vehicle Purchases</t>
  </si>
  <si>
    <t>Vehicle Usage - 2200</t>
  </si>
  <si>
    <t>Penalties - Operating - Non-deductible</t>
  </si>
  <si>
    <t>Not needed.  FERC shows Penalties below the line</t>
  </si>
  <si>
    <t>Miscellaneous Expense</t>
  </si>
  <si>
    <t>Lobbying See Separate Tab</t>
  </si>
  <si>
    <t>Miscellaneous Expense 2200</t>
  </si>
  <si>
    <t>Project Clearing Account - Entry</t>
  </si>
  <si>
    <t>Project Clearing Account - Settlement</t>
  </si>
  <si>
    <t>Capitalized Other-PROJ SETTLMT USE ONLY</t>
  </si>
  <si>
    <t>SVC Only-Essential Services-2200</t>
  </si>
  <si>
    <t>SVC Only-Essential Sundry-2200</t>
  </si>
  <si>
    <t>Inter-Company Operating Expenses-1000-Peoples</t>
  </si>
  <si>
    <t>Inter-Company Operating Expenses-1800-Delgasco</t>
  </si>
  <si>
    <t>Inter-Company Operating Expenses-1900-ENPRO</t>
  </si>
  <si>
    <t>PLANNED PROJ LABOR</t>
  </si>
  <si>
    <t>PLANNED VEHICLE COST</t>
  </si>
  <si>
    <t>FINANCE/ACCTING ST</t>
  </si>
  <si>
    <t>ENGINRING/DESIGN ST</t>
  </si>
  <si>
    <t>ENVIRONMENTAL</t>
  </si>
  <si>
    <t>MANAGEMENT</t>
  </si>
  <si>
    <t>INFO TECHNOLOGY ST</t>
  </si>
  <si>
    <t>FLD CUST  SVC - ST</t>
  </si>
  <si>
    <t>GAS OPERATIONS - ST</t>
  </si>
  <si>
    <t>TECHNICAL SALARY SPT</t>
  </si>
  <si>
    <t>FLD CUST  SVC - OT</t>
  </si>
  <si>
    <t>VEHICLE USAGE</t>
  </si>
  <si>
    <t>POWER OPERATED EQUIP</t>
  </si>
  <si>
    <t>SETTLEMENT AFFILIATE</t>
  </si>
  <si>
    <t>MATERIAL OVERHEAD</t>
  </si>
  <si>
    <t>BIN STK/UNDER 2 IN OH</t>
  </si>
  <si>
    <t>PROJ G&amp;A SURCHARGE</t>
  </si>
  <si>
    <t>Construction</t>
  </si>
  <si>
    <t>DEL FLEET OVERHEAD</t>
  </si>
  <si>
    <t xml:space="preserve">  Other Operations &amp; Maintenance Total</t>
  </si>
  <si>
    <t xml:space="preserve">  Depreciation and Amortization</t>
  </si>
  <si>
    <t>Depreciation Expense - Land Easements</t>
  </si>
  <si>
    <t>Depreciation Expense - Buildings</t>
  </si>
  <si>
    <t>Depreciation Exp-Generation, Prod &amp; Gath Plant</t>
  </si>
  <si>
    <t>Depreciation Exp-Nat Gas Storage &amp; Process Plant</t>
  </si>
  <si>
    <t>Depreciation Expense - Transmission</t>
  </si>
  <si>
    <t>Depreciation Expense - Distribution</t>
  </si>
  <si>
    <t>Depreciation Expense - Transportation Equipment</t>
  </si>
  <si>
    <t>Depreciation Expense - General Plant &amp; Equipment</t>
  </si>
  <si>
    <t>Amortization Expense - Intangible Property</t>
  </si>
  <si>
    <t>Amortization Expense - Land &amp; Land Rights</t>
  </si>
  <si>
    <t xml:space="preserve">  Depreciation and Amortization Total</t>
  </si>
  <si>
    <t xml:space="preserve">  Other Taxes</t>
  </si>
  <si>
    <t>Property Taxes</t>
  </si>
  <si>
    <t>Payroll Taxes</t>
  </si>
  <si>
    <t>Payroll Taxes - 2200</t>
  </si>
  <si>
    <t>Sales and Use Tax</t>
  </si>
  <si>
    <t>Other Miscellaneous Taxes</t>
  </si>
  <si>
    <t>Capitalized Other Taxes-PROJ SETTLMT USE ONLY</t>
  </si>
  <si>
    <t xml:space="preserve">  Other Taxes Total</t>
  </si>
  <si>
    <t>OTHER INCOME (EXPENSE), NET</t>
  </si>
  <si>
    <t>Interest Income - Miscellaneous</t>
  </si>
  <si>
    <t>Other Income - Miscellaneous</t>
  </si>
  <si>
    <t>Donations - 501(c)(3)</t>
  </si>
  <si>
    <t>Donations - Non 501(c)(3)</t>
  </si>
  <si>
    <t>Donation Dollar Energy Fund</t>
  </si>
  <si>
    <t>Civic/Politic Activities</t>
  </si>
  <si>
    <t>Penalties - Other</t>
  </si>
  <si>
    <t>Other Expense - Miscellaneous</t>
  </si>
  <si>
    <t>Life Insurance Premiums</t>
  </si>
  <si>
    <t>Other Expense - Non-Service Cost Benefits Reclass</t>
  </si>
  <si>
    <t>PNGC/6299101</t>
  </si>
  <si>
    <t>OTHER INCOME (EXPENSE), NET Total</t>
  </si>
  <si>
    <t xml:space="preserve">          Total Interest Expenses</t>
  </si>
  <si>
    <t>Amort Debt Disc &amp; Exp - Debentures</t>
  </si>
  <si>
    <t>Allowance for Funds Used Dur Constr-Debt</t>
  </si>
  <si>
    <t>Interco Interest Expense-2200-PNG Companies LLC</t>
  </si>
  <si>
    <t>Interest Expense - Deposits</t>
  </si>
  <si>
    <t>Interest Expense - Miscellaneous</t>
  </si>
  <si>
    <t xml:space="preserve">          Total Interest Expenses Total</t>
  </si>
  <si>
    <t>PROVISION FOR INCOME TAXES</t>
  </si>
  <si>
    <t>Federal Income Tax Expense</t>
  </si>
  <si>
    <t>State Income Tax Expense</t>
  </si>
  <si>
    <t>Defd Federal Income Tax Expense-Plant Noncurr Liab</t>
  </si>
  <si>
    <t>Defd Federal Income Tax Expense-EDIT Amortization</t>
  </si>
  <si>
    <t>Defd Federal Income Tax Expense-Other NC Liab</t>
  </si>
  <si>
    <t>Defd State Income Tax Expense-Plant Noncurr Liab</t>
  </si>
  <si>
    <t>Defd State Income Tax Expense-Other NC Liab</t>
  </si>
  <si>
    <t>PROVISION FOR INCOME TAXES Total</t>
  </si>
  <si>
    <t>Grand Total</t>
  </si>
  <si>
    <t>PRETAX</t>
  </si>
  <si>
    <t>Balance to</t>
  </si>
  <si>
    <t>Jan 2020</t>
  </si>
  <si>
    <t>Feb 2020</t>
  </si>
  <si>
    <t>Mar 2020</t>
  </si>
  <si>
    <t>Apr 2020</t>
  </si>
  <si>
    <t>May 2020</t>
  </si>
  <si>
    <t>Jun 2020</t>
  </si>
  <si>
    <t>Jul 2020</t>
  </si>
  <si>
    <t>Aug 2020</t>
  </si>
  <si>
    <t>Sep 2020</t>
  </si>
  <si>
    <t>Oct 2020</t>
  </si>
  <si>
    <t>Nov 2020</t>
  </si>
  <si>
    <t>Dec 2020</t>
  </si>
  <si>
    <t>Consumption Study</t>
  </si>
  <si>
    <t>App Harvest</t>
  </si>
  <si>
    <t>7+5</t>
  </si>
  <si>
    <t>Per Prime Group</t>
  </si>
  <si>
    <t>t</t>
  </si>
  <si>
    <t>Unbilled revenues</t>
  </si>
  <si>
    <t xml:space="preserve">  Residential</t>
  </si>
  <si>
    <t xml:space="preserve">  Commercial </t>
  </si>
  <si>
    <t xml:space="preserve">  Industrial</t>
  </si>
  <si>
    <t>Forfeited discounts - gas</t>
  </si>
  <si>
    <t>Per combined FERC F/S</t>
  </si>
  <si>
    <t>GCR change</t>
  </si>
  <si>
    <t>Delta Gas</t>
  </si>
  <si>
    <t>Summary</t>
  </si>
  <si>
    <t>For Year Ended December 2020</t>
  </si>
  <si>
    <t>Customer Class</t>
  </si>
  <si>
    <t>Mcf</t>
  </si>
  <si>
    <t>Revenue Per Books</t>
  </si>
  <si>
    <t>Test Year Rates Calculated Billings</t>
  </si>
  <si>
    <t>Percentage Difference</t>
  </si>
  <si>
    <t>Current Rates</t>
  </si>
  <si>
    <t>Proposed Rates</t>
  </si>
  <si>
    <t>Percentage Increase</t>
  </si>
  <si>
    <t>Small Non-Residential</t>
  </si>
  <si>
    <t>Large Non-Residential</t>
  </si>
  <si>
    <t>Special Contract</t>
  </si>
  <si>
    <t xml:space="preserve"> $-   </t>
  </si>
  <si>
    <t>Off-System</t>
  </si>
  <si>
    <t>Model</t>
  </si>
  <si>
    <t>Reasonable check of volumes</t>
  </si>
  <si>
    <t>Calendar 2020 Delta</t>
  </si>
  <si>
    <t>Temp Adj</t>
  </si>
  <si>
    <t>Per Calc</t>
  </si>
  <si>
    <t>Ledger</t>
  </si>
  <si>
    <t>G/L Account</t>
  </si>
  <si>
    <t>Assignment</t>
  </si>
  <si>
    <t>Document Header Text</t>
  </si>
  <si>
    <t>Document Number</t>
  </si>
  <si>
    <t>Document type</t>
  </si>
  <si>
    <t>Posting period</t>
  </si>
  <si>
    <t>Posting Date</t>
  </si>
  <si>
    <t>Posting Key</t>
  </si>
  <si>
    <t>Line item</t>
  </si>
  <si>
    <t>Company Code Currency Value</t>
  </si>
  <si>
    <t>Company Code Currency Key</t>
  </si>
  <si>
    <t>Item</t>
  </si>
  <si>
    <t>Name</t>
  </si>
  <si>
    <t>Name 2</t>
  </si>
  <si>
    <t>Offsetting Account</t>
  </si>
  <si>
    <t>Reference</t>
  </si>
  <si>
    <t>Text</t>
  </si>
  <si>
    <t>Cost Center</t>
  </si>
  <si>
    <t>Business Transaction</t>
  </si>
  <si>
    <t/>
  </si>
  <si>
    <t>USD</t>
  </si>
  <si>
    <t>0L</t>
  </si>
  <si>
    <t>1600</t>
  </si>
  <si>
    <t>5399900</t>
  </si>
  <si>
    <t>20201001</t>
  </si>
  <si>
    <t>10/2020</t>
  </si>
  <si>
    <t>1900004731</t>
  </si>
  <si>
    <t>KE</t>
  </si>
  <si>
    <t>10</t>
  </si>
  <si>
    <t>40</t>
  </si>
  <si>
    <t>3</t>
  </si>
  <si>
    <t>0</t>
  </si>
  <si>
    <t>CAPITAL LINK CONSULTANTS</t>
  </si>
  <si>
    <t>400003798</t>
  </si>
  <si>
    <t>169935</t>
  </si>
  <si>
    <t>COIN</t>
  </si>
  <si>
    <t>20201101</t>
  </si>
  <si>
    <t>11/2020</t>
  </si>
  <si>
    <t>1900005267</t>
  </si>
  <si>
    <t>11</t>
  </si>
  <si>
    <t>20201201</t>
  </si>
  <si>
    <t>12/2020</t>
  </si>
  <si>
    <t>1900005836</t>
  </si>
  <si>
    <t>12</t>
  </si>
  <si>
    <t>20210101</t>
  </si>
  <si>
    <t>1/2021</t>
  </si>
  <si>
    <t>1900000018</t>
  </si>
  <si>
    <t>1</t>
  </si>
  <si>
    <t>20210201</t>
  </si>
  <si>
    <t>2/2021</t>
  </si>
  <si>
    <t>1900000456</t>
  </si>
  <si>
    <t>2</t>
  </si>
  <si>
    <t>20200401</t>
  </si>
  <si>
    <t>4/2020</t>
  </si>
  <si>
    <t>1900001462</t>
  </si>
  <si>
    <t>4</t>
  </si>
  <si>
    <t>20200501</t>
  </si>
  <si>
    <t>5/2020</t>
  </si>
  <si>
    <t>1900001957</t>
  </si>
  <si>
    <t>5</t>
  </si>
  <si>
    <t>20200601</t>
  </si>
  <si>
    <t>6/2020</t>
  </si>
  <si>
    <t>1900002407</t>
  </si>
  <si>
    <t>6</t>
  </si>
  <si>
    <t>20200701</t>
  </si>
  <si>
    <t>7/2020</t>
  </si>
  <si>
    <t>1900003073</t>
  </si>
  <si>
    <t>7</t>
  </si>
  <si>
    <t>20200801</t>
  </si>
  <si>
    <t>8/2020</t>
  </si>
  <si>
    <t>1900003642</t>
  </si>
  <si>
    <t>8</t>
  </si>
  <si>
    <t>20200901</t>
  </si>
  <si>
    <t>9/2020</t>
  </si>
  <si>
    <t>1900004215</t>
  </si>
  <si>
    <t>9</t>
  </si>
  <si>
    <t>20210301</t>
  </si>
  <si>
    <t>3/2021</t>
  </si>
  <si>
    <t>1900000773</t>
  </si>
  <si>
    <t>Lobbying Expense</t>
  </si>
  <si>
    <t>Delta pays Capital Link Consultants for Greg Coker's services.  Greg is Delta's lieson to the public and press, monitors policy, helps with policy and strategy development and key stakeholder idenification.</t>
  </si>
  <si>
    <t>Greg estimates 20% of his time is spent in direct lobbying.</t>
  </si>
  <si>
    <t xml:space="preserve">Delta pays him $3,500 per month for his services.  </t>
  </si>
  <si>
    <t>Lobbying (above)</t>
  </si>
  <si>
    <t>Remainder booked to 5303310 Consult Svc</t>
  </si>
  <si>
    <t xml:space="preserve">PROPERTY TAXES  </t>
  </si>
  <si>
    <t>SAP - GL Acct 5702100</t>
  </si>
  <si>
    <t>from JB 3/16/21</t>
  </si>
  <si>
    <t>2021 Rate Case</t>
  </si>
  <si>
    <t>dea - 5/11/21</t>
  </si>
  <si>
    <t xml:space="preserve">Tax Year 2020 property taxes   </t>
  </si>
  <si>
    <t xml:space="preserve">   (based on property as of 12/31/19)</t>
  </si>
  <si>
    <t>Books:</t>
  </si>
  <si>
    <t>Tax detail not readily available - use book amount</t>
  </si>
  <si>
    <t>Detail:</t>
  </si>
  <si>
    <t>(Net Plant @ 12/31/19 $144,629,535 * Prop rate 1.996426%)</t>
  </si>
  <si>
    <t>Increase Factor</t>
  </si>
  <si>
    <t xml:space="preserve">Total Calculated Property Tax for 2022 </t>
  </si>
  <si>
    <t>Total Base Year Property Tax</t>
  </si>
  <si>
    <t>ADJ</t>
  </si>
  <si>
    <t>Delta - UPIS, CWIP and Gas stored</t>
  </si>
  <si>
    <t>PKY - UPIS and CWIP</t>
  </si>
  <si>
    <t>7 Mo 3/31</t>
  </si>
  <si>
    <t>SEP 2020</t>
  </si>
  <si>
    <t>OCT 2020</t>
  </si>
  <si>
    <t>NOV 2020</t>
  </si>
  <si>
    <t>DEC 2020</t>
  </si>
  <si>
    <t>JAN 2021</t>
  </si>
  <si>
    <t>FEB 2021</t>
  </si>
  <si>
    <t>MAR 2021</t>
  </si>
  <si>
    <t>7 Month Total</t>
  </si>
  <si>
    <t>APR 2021</t>
  </si>
  <si>
    <t>MAY 2021</t>
  </si>
  <si>
    <t>JUN 2021</t>
  </si>
  <si>
    <t>JUL 2021</t>
  </si>
  <si>
    <t>AUG 2021</t>
  </si>
  <si>
    <t>5 Month Total</t>
  </si>
  <si>
    <t>Corp Alloc</t>
  </si>
  <si>
    <t>Non-recurring vacation accrual</t>
  </si>
  <si>
    <t>5300110</t>
  </si>
  <si>
    <t>5300110 Salaried - Straight-Time Wages</t>
  </si>
  <si>
    <t>5300111</t>
  </si>
  <si>
    <t>5300111 Salaried - Straight-Time Wages-2200</t>
  </si>
  <si>
    <t>5300120</t>
  </si>
  <si>
    <t>5300120 Salaried - Overtime Wages</t>
  </si>
  <si>
    <t>5300121</t>
  </si>
  <si>
    <t>5300121 Salaried - Overtime Wages-2200</t>
  </si>
  <si>
    <t>1300</t>
  </si>
  <si>
    <t>5300130</t>
  </si>
  <si>
    <t>5300130 Salaried - Supplemental Pay</t>
  </si>
  <si>
    <t>5300150</t>
  </si>
  <si>
    <t>5300150 Salaried - Vacation Accrual</t>
  </si>
  <si>
    <t>5300151</t>
  </si>
  <si>
    <t>5300151 Salaried - Vacation Accrual 2200</t>
  </si>
  <si>
    <t>5300162</t>
  </si>
  <si>
    <t>5300162 Salaried - Severance JE - 2200</t>
  </si>
  <si>
    <t>5300170</t>
  </si>
  <si>
    <t>5300170 Salaried - Incentives / Bonuses</t>
  </si>
  <si>
    <t>5300171</t>
  </si>
  <si>
    <t>5300171 Salaried - Incentives / Bonuses 2200</t>
  </si>
  <si>
    <t>5300180</t>
  </si>
  <si>
    <t>5300180 Salaried - Annual Incentive</t>
  </si>
  <si>
    <t>5300181</t>
  </si>
  <si>
    <t>5300181 Salaried - Annual Incentive - 2200</t>
  </si>
  <si>
    <t>5300186</t>
  </si>
  <si>
    <t>5300186 Performance Share Unit Amortization</t>
  </si>
  <si>
    <t>5300187</t>
  </si>
  <si>
    <t>5300187 Restricted Stock Unit Amortization</t>
  </si>
  <si>
    <t>5300211</t>
  </si>
  <si>
    <t>5300211 Hourly - Straight-Time Wages - 2200</t>
  </si>
  <si>
    <t>5300221</t>
  </si>
  <si>
    <t>5300221 Hourly - Overtime Wages - 2200</t>
  </si>
  <si>
    <t>5300271</t>
  </si>
  <si>
    <t>5300271 Hourly - Incentives / Bonuses 2200</t>
  </si>
  <si>
    <t>5300281</t>
  </si>
  <si>
    <t>5300281 Hourly - Annual Incentive - 2200</t>
  </si>
  <si>
    <t>Total Wages</t>
  </si>
  <si>
    <t>Prior Year</t>
  </si>
  <si>
    <t>5300999</t>
  </si>
  <si>
    <t>5300999 Capitalized Labor &amp; Benefits-PROJ SETTLMT USE ONLY</t>
  </si>
  <si>
    <t>Average capitalization percentage</t>
  </si>
  <si>
    <t>Prior year capitalization %</t>
  </si>
  <si>
    <t>Estimate of capitalized labor &amp; benefits</t>
  </si>
  <si>
    <t>Net labor expense</t>
  </si>
  <si>
    <t>SEP 2022</t>
  </si>
  <si>
    <t>OCT 2022</t>
  </si>
  <si>
    <t>NOV 2022</t>
  </si>
  <si>
    <t>DEC 2022</t>
  </si>
  <si>
    <t>JAN 2022</t>
  </si>
  <si>
    <t>FEB 2022</t>
  </si>
  <si>
    <t>MAR 2022</t>
  </si>
  <si>
    <t>APR 2022</t>
  </si>
  <si>
    <t>MAY 2022</t>
  </si>
  <si>
    <t>JUN 2022</t>
  </si>
  <si>
    <t>JUL 2022</t>
  </si>
  <si>
    <t>AUG 2022</t>
  </si>
  <si>
    <t>Calc of Incentive</t>
  </si>
  <si>
    <t>REVERSAL OF ONE TIME VACATION ENTRY</t>
  </si>
  <si>
    <t>REMOVAL OF INCENTIVE</t>
  </si>
  <si>
    <t>Adjusted Wages</t>
  </si>
  <si>
    <t>AA$</t>
  </si>
  <si>
    <t>STI $</t>
  </si>
  <si>
    <t>LTI $</t>
  </si>
  <si>
    <t>Exec $</t>
  </si>
  <si>
    <t>Average raise</t>
  </si>
  <si>
    <t>Years</t>
  </si>
  <si>
    <t>W/PKY</t>
  </si>
  <si>
    <t>2022 gross payroll expense</t>
  </si>
  <si>
    <t>Calculated Incentive</t>
  </si>
  <si>
    <t>Capitalized labor &amp; benefits</t>
  </si>
  <si>
    <t>10 vacancies</t>
  </si>
  <si>
    <t>Benefits listed here for f/s caption check figure only</t>
  </si>
  <si>
    <t>5301010</t>
  </si>
  <si>
    <t>5301010 Employee Benefits - Medical</t>
  </si>
  <si>
    <t>5301011</t>
  </si>
  <si>
    <t>5301011 Employee Benefits - Medical-HSA Contributions</t>
  </si>
  <si>
    <t>5301020</t>
  </si>
  <si>
    <t>5301020 Employee Benefits - Dental / Vision</t>
  </si>
  <si>
    <t>5301030</t>
  </si>
  <si>
    <t>5301030 Employee Benefits - Life Insurance</t>
  </si>
  <si>
    <t>5301040</t>
  </si>
  <si>
    <t>5301040 Employee Benefits - Disability</t>
  </si>
  <si>
    <t>5301060</t>
  </si>
  <si>
    <t>5301060 Employee Benefits - OPEB</t>
  </si>
  <si>
    <t>5301080</t>
  </si>
  <si>
    <t>5301080 Employee Benefits - NonService Costs Benefits Recl</t>
  </si>
  <si>
    <t>5301090</t>
  </si>
  <si>
    <t>5301090 Employee Benefits - Plan Administration</t>
  </si>
  <si>
    <t>5301110</t>
  </si>
  <si>
    <t>5301110 Employee Benefits - Pensions</t>
  </si>
  <si>
    <t>5301130</t>
  </si>
  <si>
    <t>5301130 Employee Benefits - Savings Plan</t>
  </si>
  <si>
    <t>5301192</t>
  </si>
  <si>
    <t>5301192 Employee Benefits - Medical Dental Vision 2200</t>
  </si>
  <si>
    <t>5301990</t>
  </si>
  <si>
    <t>5301990 Other Employee Benefits - Miscellaneous</t>
  </si>
  <si>
    <t>5301991</t>
  </si>
  <si>
    <t>5301991 Other Employee Benefits - Miscellaneous - 2200</t>
  </si>
  <si>
    <t>Total Benefits</t>
  </si>
  <si>
    <t xml:space="preserve"> Salaries, Wages &amp; Benefits</t>
  </si>
  <si>
    <t>Check figure</t>
  </si>
  <si>
    <t>2020 FERC Annual Report for Adjustment Distribution</t>
  </si>
  <si>
    <t>Operations</t>
  </si>
  <si>
    <t>Maintenance</t>
  </si>
  <si>
    <t>Production</t>
  </si>
  <si>
    <t>Storage and Processing</t>
  </si>
  <si>
    <t>Transmission</t>
  </si>
  <si>
    <t>Distribution</t>
  </si>
  <si>
    <t>Customer Accounts</t>
  </si>
  <si>
    <t>Adminsitrative and General</t>
  </si>
  <si>
    <t>Merchandising</t>
  </si>
  <si>
    <t>CEP</t>
  </si>
  <si>
    <t>Affilated Companies</t>
  </si>
  <si>
    <t>PAYROLL TAXES</t>
  </si>
  <si>
    <t>APR 2020</t>
  </si>
  <si>
    <t>MAY 2020</t>
  </si>
  <si>
    <t>JUN 2020</t>
  </si>
  <si>
    <t>JUL 2020</t>
  </si>
  <si>
    <t>AUG 2020</t>
  </si>
  <si>
    <t>5703100</t>
  </si>
  <si>
    <t>5703101</t>
  </si>
  <si>
    <t>Gross Payroll</t>
  </si>
  <si>
    <t>Average %</t>
  </si>
  <si>
    <t>TOTAL</t>
  </si>
  <si>
    <t>TWELVE MONTH FORCASTED PAY</t>
  </si>
  <si>
    <t>Calculated Payroll Tax</t>
  </si>
  <si>
    <t>Adjustment to Base Period</t>
  </si>
  <si>
    <t>Expense/Capital %</t>
  </si>
  <si>
    <t>Expense adjustment</t>
  </si>
  <si>
    <t>Per Base Period</t>
  </si>
  <si>
    <t>Budget</t>
  </si>
  <si>
    <t>Fav (Unfav)</t>
  </si>
  <si>
    <t>Q1 actual 2021</t>
  </si>
  <si>
    <t>Current Actualized</t>
  </si>
  <si>
    <t>5% expected increase</t>
  </si>
  <si>
    <t>5301070</t>
  </si>
  <si>
    <t>5301070 OPEB Def</t>
  </si>
  <si>
    <t>2020 net payroll expense</t>
  </si>
  <si>
    <t>PSubarea</t>
  </si>
  <si>
    <t>Personnel Subarea</t>
  </si>
  <si>
    <t>New Annual Salary 5/1/2021</t>
  </si>
  <si>
    <t>100% match up to 6%</t>
  </si>
  <si>
    <t>Non Elective 3%</t>
  </si>
  <si>
    <t>Total Company Match</t>
  </si>
  <si>
    <t>Delta Nat. Gas</t>
  </si>
  <si>
    <t>Estimate based on revised company 401K matching contribution - 5/1/2021</t>
  </si>
  <si>
    <t xml:space="preserve">2020 Delta </t>
  </si>
  <si>
    <t>Actual</t>
  </si>
  <si>
    <t>Plan</t>
  </si>
  <si>
    <t xml:space="preserve">        5300110  Sal-ST Wages</t>
  </si>
  <si>
    <t xml:space="preserve">        5301130  Emp Ben-Savin</t>
  </si>
  <si>
    <t>Avg Rate</t>
  </si>
  <si>
    <t xml:space="preserve">Pension Employees: </t>
  </si>
  <si>
    <r>
      <t>Prior to May 1, 2021:</t>
    </r>
    <r>
      <rPr>
        <sz val="11"/>
        <color theme="1"/>
        <rFont val="Seconda"/>
      </rPr>
      <t xml:space="preserve"> 100% match of deferral contributions up to 4% of eligible compensation</t>
    </r>
  </si>
  <si>
    <r>
      <t xml:space="preserve">May 1, 2021: </t>
    </r>
    <r>
      <rPr>
        <sz val="11"/>
        <color theme="1"/>
        <rFont val="Seconda"/>
      </rPr>
      <t xml:space="preserve">100% match of deferral contributions up to 6% of eligible compensation; plus we put in a 3% non-elective company contribution on base salary (whether an employee is currently contributing to the Savings Plan or not), while they are an active eligible employee. </t>
    </r>
  </si>
  <si>
    <t>Non-Pension Employees:</t>
  </si>
  <si>
    <r>
      <t>Prior to May 1, 2021:</t>
    </r>
    <r>
      <rPr>
        <sz val="11"/>
        <color theme="1"/>
        <rFont val="Seconda"/>
      </rPr>
      <t xml:space="preserve"> 100% match of deferral contributions up to 4% of eligible compensation; plus a 4% non-elective company contribution.</t>
    </r>
  </si>
  <si>
    <r>
      <t xml:space="preserve">May 1, 2021: </t>
    </r>
    <r>
      <rPr>
        <sz val="11"/>
        <color theme="1"/>
        <rFont val="Seconda"/>
      </rPr>
      <t xml:space="preserve">100% match of deferral contributions up to 6% of eligible compensation; plus we changed to a 3% non-elective company contribution on base salary (whether an employee is currently contributing to the Savings Plan or not), while they are an active eligible employee. </t>
    </r>
  </si>
  <si>
    <t xml:space="preserve">Karen/Josh – </t>
  </si>
  <si>
    <t xml:space="preserve">We are currently estimating that the 2022 allocated pension expense/(income) for Delta will be approximately $(880,000). </t>
  </si>
  <si>
    <t>This estimate is based on the following</t>
  </si>
  <si>
    <r>
      <t>Pension Plan asset experience through February 28</t>
    </r>
    <r>
      <rPr>
        <vertAlign val="superscript"/>
        <sz val="10"/>
        <color theme="1"/>
        <rFont val="Arial"/>
        <family val="2"/>
      </rPr>
      <t>th</t>
    </r>
    <r>
      <rPr>
        <sz val="10"/>
        <color theme="1"/>
        <rFont val="Arial"/>
        <family val="2"/>
      </rPr>
      <t>, 2021, and expected return of 5.60% (net of expenses) for the remainder of the year</t>
    </r>
  </si>
  <si>
    <t>A discount rate of 3.19% based on Willis Towers Watson's BOND:Link model results reflecting market conditions as of March 31, 2021</t>
  </si>
  <si>
    <t xml:space="preserve">The benefit freeze for Delta participants as of May 1, 2021. </t>
  </si>
  <si>
    <t xml:space="preserve">The pension plan freeze is the primary driver of the decrease in pension expense/(income). The benefit freeze eliminates the Service Cost component of the calculation (i.e., the present value of the expected annual accrual is reduced to $0). For order of magnitude purposes, the Service Cost component for the Fiscal 2021 year is $954,135 (prior to the plan freeze). For fiscal 2022, this component is reduced to $0. </t>
  </si>
  <si>
    <t>Except as noted above, the data, methods, assumptions, and plan provisions are the same as those used in the actuarial valuation of the plans for determination of the 2021 benefit cost under US GAAP as documented in the allocation exhibit provided March 31, 2021 and the year-end 2020 financial disclosures provided February 7, 2021.</t>
  </si>
  <si>
    <t>Actual future results may differ significantly from this estimate. Please refer to the “Statement of Funding-related Risks of the Plan in Accordance with Actuarial Standard of Practice No. 51” report provided in April 2020 for additional details regarding the risks inherent in this estimate.</t>
  </si>
  <si>
    <r>
      <t>Thanks, Please let us know if you have any questions</t>
    </r>
    <r>
      <rPr>
        <sz val="10"/>
        <color rgb="FF091FBF"/>
        <rFont val="Arial"/>
        <family val="2"/>
      </rPr>
      <t>.</t>
    </r>
  </si>
  <si>
    <t>Jason Rohrer, FSA, EA</t>
  </si>
  <si>
    <t xml:space="preserve">Director, Retirement </t>
  </si>
  <si>
    <t xml:space="preserve">Willis Towers Watson </t>
  </si>
  <si>
    <t>1735 Market Street | Philadelphia, PA  19102-4790</t>
  </si>
  <si>
    <t xml:space="preserve">T +1 215 246 6455 | F +1 215 246 6251 </t>
  </si>
  <si>
    <t>Jason.rohrer@willistowerswatson.com</t>
  </si>
  <si>
    <t xml:space="preserve">willistowerswatson.com </t>
  </si>
  <si>
    <t>Willis Towers Watson is not authorized to provide accounting, tax or legal opinions.  Any accounting, tax or legal views shared are based on our experience working with other clients and should be independently verified.</t>
  </si>
  <si>
    <t>Base year periodic pension expense</t>
  </si>
  <si>
    <t>2022, per above</t>
  </si>
  <si>
    <t>Below the line reclass</t>
  </si>
  <si>
    <t>Total adjustment</t>
  </si>
  <si>
    <t xml:space="preserve">Say </t>
  </si>
  <si>
    <t>6299100 Other Expense - Non-Service Cost Benefits Reclass</t>
  </si>
  <si>
    <t>Pension adj</t>
  </si>
  <si>
    <t>6299101 Other Expense - Non-Service Cost OPEB</t>
  </si>
  <si>
    <t>Disability</t>
  </si>
  <si>
    <t>Retirement</t>
  </si>
  <si>
    <t>Other</t>
  </si>
  <si>
    <t>2022 Test Year</t>
  </si>
  <si>
    <t>Entry 1</t>
  </si>
  <si>
    <t>Pen Exp</t>
  </si>
  <si>
    <t>Entry 2</t>
  </si>
  <si>
    <t>SUMS</t>
  </si>
  <si>
    <t>(DISCLOSED IN FILING, INCORRECT)</t>
  </si>
  <si>
    <t>CORRECTED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</si>
</sst>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_);_(&quot;$&quot;* \(#,##0\);_(&quot;$&quot;* &quot;-&quot;??_);_(@_)"/>
    <numFmt numFmtId="168" formatCode="#,##0.00_-;#,##0.00\-;&quot; &quot;"/>
    <numFmt numFmtId="169" formatCode="\$#,##0"/>
    <numFmt numFmtId="170" formatCode="_(* #,##0.0_);_(* \(#,##0.0\);_(* &quot;-&quot;?_);_(@_)"/>
    <numFmt numFmtId="171" formatCode="_(* #,##0.0000_);_(* \(#,##0.0000\);_(* &quot;-&quot;??_);_(@_)"/>
    <numFmt numFmtId="172" formatCode="_(* #,##0.000_);_(* \(#,##0.000\);_(* &quot;-&quot;??_);_(@_)"/>
  </numFmts>
  <fonts count="106">
    <font>
      <sz val="11"/>
      <color theme="1"/>
      <name val="Calibri"/>
      <family val="2"/>
      <scheme val="minor"/>
    </font>
    <font>
      <sz val="11"/>
      <color theme="1"/>
      <name val="Calibri"/>
      <family val="2"/>
      <scheme val="minor"/>
    </font>
    <font>
      <b/>
      <sz val="11"/>
      <color theme="1"/>
      <name val="Calibri"/>
      <family val="2"/>
      <scheme val="minor"/>
    </font>
    <font>
      <u val="singleAccounting"/>
      <sz val="11"/>
      <color theme="1"/>
      <name val="Calibri"/>
      <family val="2"/>
      <scheme val="minor"/>
    </font>
    <font>
      <b/>
      <u val="singleAccounting"/>
      <sz val="11"/>
      <color theme="1"/>
      <name val="Calibri"/>
      <family val="2"/>
      <scheme val="minor"/>
    </font>
    <font>
      <u val="doubleAccounting"/>
      <sz val="11"/>
      <color theme="1"/>
      <name val="Calibri"/>
      <family val="2"/>
      <scheme val="minor"/>
    </font>
    <font>
      <b/>
      <u val="doubleAccounting"/>
      <sz val="11"/>
      <color theme="1"/>
      <name val="Calibri"/>
      <family val="2"/>
      <scheme val="minor"/>
    </font>
    <font>
      <sz val="11"/>
      <color theme="0"/>
      <name val="Calibri"/>
      <family val="2"/>
      <scheme val="minor"/>
    </font>
    <font>
      <sz val="8"/>
      <color rgb="FF333333"/>
      <name val="Arial Narrow"/>
      <family val="2"/>
    </font>
    <font>
      <u/>
      <sz val="8"/>
      <color rgb="FF333333"/>
      <name val="Arial Narrow"/>
      <family val="2"/>
    </font>
    <font>
      <b/>
      <i/>
      <sz val="8"/>
      <color rgb="FF333333"/>
      <name val="Arial Narrow"/>
      <family val="2"/>
    </font>
    <font>
      <b/>
      <i/>
      <sz val="8"/>
      <color rgb="FF000000"/>
      <name val="Arial Narrow"/>
      <family val="2"/>
    </font>
    <font>
      <b/>
      <sz val="8"/>
      <color rgb="FF333333"/>
      <name val="Arial Narrow"/>
      <family val="2"/>
    </font>
    <font>
      <sz val="8"/>
      <color rgb="FF000000"/>
      <name val="Arial Narrow"/>
      <family val="2"/>
    </font>
    <font>
      <sz val="8"/>
      <name val="Arial Narrow"/>
      <family val="2"/>
    </font>
    <font>
      <b/>
      <sz val="8"/>
      <name val="Arial Narrow"/>
      <family val="2"/>
    </font>
    <font>
      <sz val="11"/>
      <name val="Calibri"/>
      <family val="2"/>
      <scheme val="minor"/>
    </font>
    <font>
      <sz val="10"/>
      <name val="Arial"/>
      <family val="2"/>
    </font>
    <font>
      <sz val="10"/>
      <name val="Arial"/>
      <family val="2"/>
    </font>
    <font>
      <u val="singleAccounting"/>
      <sz val="10"/>
      <name val="Arial"/>
      <family val="2"/>
    </font>
    <font>
      <b/>
      <sz val="12"/>
      <name val="Times New Roman"/>
      <family val="1"/>
    </font>
    <font>
      <sz val="12"/>
      <name val="Times New Roman"/>
      <family val="1"/>
    </font>
    <font>
      <sz val="8"/>
      <color theme="1"/>
      <name val="Arial Narrow"/>
      <family val="2"/>
    </font>
    <font>
      <b/>
      <i/>
      <sz val="8"/>
      <color indexed="63"/>
      <name val="Arial Narrow"/>
      <family val="2"/>
    </font>
    <font>
      <b/>
      <i/>
      <sz val="8"/>
      <color indexed="8"/>
      <name val="Arial Narrow"/>
      <family val="2"/>
    </font>
    <font>
      <sz val="8"/>
      <color indexed="63"/>
      <name val="Arial Narrow"/>
      <family val="2"/>
    </font>
    <font>
      <sz val="8"/>
      <color indexed="8"/>
      <name val="Arial Narrow"/>
      <family val="2"/>
    </font>
    <font>
      <b/>
      <sz val="10"/>
      <name val="Arial"/>
      <family val="2"/>
    </font>
    <font>
      <sz val="10"/>
      <color rgb="FF000000"/>
      <name val="Arial"/>
      <family val="2"/>
    </font>
    <font>
      <b/>
      <i/>
      <sz val="9"/>
      <color rgb="FF000000"/>
      <name val="Arial"/>
      <family val="2"/>
    </font>
    <font>
      <sz val="10"/>
      <color rgb="FF0000FF"/>
      <name val="Arial"/>
      <family val="2"/>
    </font>
    <font>
      <u val="singleAccounting"/>
      <sz val="8"/>
      <color theme="1"/>
      <name val="Arial Narrow"/>
      <family val="2"/>
    </font>
    <font>
      <sz val="8"/>
      <name val="Arial"/>
      <family val="2"/>
    </font>
    <font>
      <sz val="10"/>
      <color theme="1"/>
      <name val="Arial"/>
      <family val="2"/>
    </font>
    <font>
      <vertAlign val="superscript"/>
      <sz val="10"/>
      <color theme="1"/>
      <name val="Arial"/>
      <family val="2"/>
    </font>
    <font>
      <sz val="10"/>
      <color rgb="FF091FBF"/>
      <name val="Arial"/>
      <family val="2"/>
    </font>
    <font>
      <b/>
      <sz val="9"/>
      <color theme="1"/>
      <name val="Arial"/>
      <family val="2"/>
    </font>
    <font>
      <sz val="9"/>
      <color theme="1"/>
      <name val="Arial"/>
      <family val="2"/>
    </font>
    <font>
      <i/>
      <sz val="8"/>
      <color theme="1"/>
      <name val="Arial"/>
      <family val="2"/>
    </font>
    <font>
      <u/>
      <sz val="11"/>
      <color theme="10"/>
      <name val="Calibri"/>
      <family val="2"/>
      <scheme val="minor"/>
    </font>
    <font>
      <sz val="10"/>
      <color indexed="8"/>
      <name val="Arial"/>
      <family val="2"/>
    </font>
    <font>
      <sz val="11"/>
      <color theme="1"/>
      <name val="Seconda"/>
    </font>
    <font>
      <b/>
      <sz val="11"/>
      <color theme="1"/>
      <name val="Seconda"/>
    </font>
    <font>
      <b/>
      <sz val="9"/>
      <color indexed="81"/>
      <name val="Tahoma"/>
      <family val="2"/>
    </font>
    <font>
      <sz val="9"/>
      <color indexed="63"/>
      <name val="Arial"/>
      <family val="2"/>
    </font>
    <font>
      <sz val="9"/>
      <color indexed="8"/>
      <name val="Arial"/>
      <family val="2"/>
    </font>
    <font>
      <sz val="10"/>
      <color theme="1"/>
      <name val="Times New Roman"/>
      <family val="1"/>
    </font>
    <font>
      <b/>
      <sz val="11"/>
      <color rgb="FF000000"/>
      <name val="Calibri"/>
      <family val="2"/>
    </font>
    <font>
      <sz val="11"/>
      <color rgb="FF000000"/>
      <name val="Calibri"/>
      <family val="2"/>
    </font>
    <font>
      <sz val="11"/>
      <color rgb="FFFF0000"/>
      <name val="Calibri"/>
      <family val="2"/>
      <scheme val="minor"/>
    </font>
    <font>
      <u/>
      <sz val="8"/>
      <color theme="1"/>
      <name val="Arial Narrow"/>
      <family val="2"/>
    </font>
    <font>
      <u val="doubleAccounting"/>
      <sz val="8"/>
      <color theme="1"/>
      <name val="Arial Narrow"/>
      <family val="2"/>
    </font>
    <font>
      <sz val="8"/>
      <color rgb="FF333333"/>
      <name val="Arial"/>
      <family val="2"/>
    </font>
    <font>
      <b/>
      <sz val="8"/>
      <color rgb="FF333333"/>
      <name val="Arial"/>
      <family val="2"/>
    </font>
    <font>
      <u val="singleAccounting"/>
      <sz val="8"/>
      <color rgb="FF333333"/>
      <name val="Arial"/>
      <family val="2"/>
    </font>
    <font>
      <b/>
      <u val="singleAccounting"/>
      <sz val="8"/>
      <color rgb="FF333333"/>
      <name val="Arial"/>
      <family val="2"/>
    </font>
    <font>
      <sz val="8"/>
      <color rgb="FF000000"/>
      <name val="Arial"/>
      <family val="2"/>
    </font>
    <font>
      <u val="singleAccounting"/>
      <sz val="8"/>
      <color rgb="FF000000"/>
      <name val="Arial"/>
      <family val="2"/>
    </font>
    <font>
      <u val="doubleAccounting"/>
      <sz val="8"/>
      <color rgb="FF000000"/>
      <name val="Arial"/>
      <family val="2"/>
    </font>
    <font>
      <u val="singleAccounting"/>
      <sz val="8"/>
      <name val="Arial"/>
      <family val="2"/>
    </font>
    <font>
      <u val="doubleAccounting"/>
      <sz val="8"/>
      <name val="Arial"/>
      <family val="2"/>
    </font>
    <font>
      <sz val="10"/>
      <name val="Arial"/>
      <family val="2"/>
    </font>
    <font>
      <u/>
      <sz val="10"/>
      <color theme="10"/>
      <name val="Arial"/>
      <family val="2"/>
    </font>
    <font>
      <sz val="8"/>
      <name val="Helv"/>
    </font>
    <font>
      <sz val="10"/>
      <color rgb="FF7030A0"/>
      <name val="Arial"/>
      <family val="2"/>
    </font>
    <font>
      <u/>
      <sz val="10"/>
      <name val="Arial"/>
      <family val="2"/>
    </font>
    <font>
      <u val="singleAccounting"/>
      <sz val="10"/>
      <color rgb="FF0000FF"/>
      <name val="Arial"/>
      <family val="2"/>
    </font>
    <font>
      <sz val="11"/>
      <name val="Times New Roman"/>
      <family val="1"/>
    </font>
    <font>
      <u val="doubleAccounting"/>
      <sz val="11"/>
      <name val="Times New Roman"/>
      <family val="1"/>
    </font>
    <font>
      <u val="singleAccounting"/>
      <sz val="9"/>
      <name val="Times New Roman"/>
      <family val="1"/>
    </font>
    <font>
      <sz val="9"/>
      <name val="Times New Roman"/>
      <family val="1"/>
    </font>
    <font>
      <b/>
      <u/>
      <sz val="9"/>
      <name val="Times New Roman"/>
      <family val="1"/>
    </font>
    <font>
      <b/>
      <sz val="9"/>
      <name val="Times New Roman"/>
      <family val="1"/>
    </font>
    <font>
      <u/>
      <sz val="9"/>
      <name val="Times New Roman"/>
      <family val="1"/>
    </font>
    <font>
      <u val="doubleAccounting"/>
      <sz val="9"/>
      <name val="Times New Roman"/>
      <family val="1"/>
    </font>
    <font>
      <sz val="9"/>
      <color rgb="FF000000"/>
      <name val="Arial"/>
      <family val="2"/>
    </font>
    <font>
      <sz val="9"/>
      <color theme="1"/>
      <name val="Calibri"/>
      <family val="2"/>
      <scheme val="minor"/>
    </font>
    <font>
      <sz val="11"/>
      <color theme="1"/>
      <name val="Times New Roman"/>
      <family val="1"/>
    </font>
    <font>
      <sz val="11"/>
      <color rgb="FF333333"/>
      <name val="Times New Roman"/>
      <family val="1"/>
    </font>
    <font>
      <u val="singleAccounting"/>
      <sz val="11"/>
      <color rgb="FF333333"/>
      <name val="Times New Roman"/>
      <family val="1"/>
    </font>
    <font>
      <u val="singleAccounting"/>
      <sz val="11"/>
      <color theme="1"/>
      <name val="Times New Roman"/>
      <family val="1"/>
    </font>
    <font>
      <u val="doubleAccounting"/>
      <sz val="11"/>
      <color theme="1"/>
      <name val="Times New Roman"/>
      <family val="1"/>
    </font>
    <font>
      <sz val="9"/>
      <color theme="1"/>
      <name val="Times New Roman"/>
      <family val="1"/>
    </font>
    <font>
      <sz val="9"/>
      <color rgb="FF333333"/>
      <name val="Times New Roman"/>
      <family val="1"/>
    </font>
    <font>
      <sz val="9"/>
      <color rgb="FF000000"/>
      <name val="Times New Roman"/>
      <family val="1"/>
    </font>
    <font>
      <u val="singleAccounting"/>
      <sz val="9"/>
      <color theme="1"/>
      <name val="Times New Roman"/>
      <family val="1"/>
    </font>
    <font>
      <u val="doubleAccounting"/>
      <sz val="9"/>
      <color theme="1"/>
      <name val="Times New Roman"/>
      <family val="1"/>
    </font>
    <font>
      <sz val="11"/>
      <color rgb="FF000000"/>
      <name val="Times New Roman"/>
      <family val="1"/>
    </font>
    <font>
      <u/>
      <sz val="11"/>
      <color theme="1"/>
      <name val="Times New Roman"/>
      <family val="1"/>
    </font>
    <font>
      <sz val="11"/>
      <color theme="0"/>
      <name val="Times New Roman"/>
      <family val="1"/>
    </font>
    <font>
      <u/>
      <sz val="9"/>
      <color theme="1"/>
      <name val="Times New Roman"/>
      <family val="1"/>
    </font>
    <font>
      <b/>
      <sz val="9"/>
      <color theme="1"/>
      <name val="Times New Roman"/>
      <family val="1"/>
    </font>
    <font>
      <b/>
      <u val="singleAccounting"/>
      <sz val="9"/>
      <color theme="1"/>
      <name val="Times New Roman"/>
      <family val="1"/>
    </font>
    <font>
      <b/>
      <u val="doubleAccounting"/>
      <sz val="9"/>
      <color theme="1"/>
      <name val="Times New Roman"/>
      <family val="1"/>
    </font>
    <font>
      <u val="singleAccounting"/>
      <sz val="12"/>
      <name val="Times New Roman"/>
      <family val="1"/>
    </font>
    <font>
      <u/>
      <sz val="12"/>
      <name val="Times New Roman"/>
      <family val="1"/>
    </font>
    <font>
      <u val="doubleAccounting"/>
      <sz val="12"/>
      <name val="Times New Roman"/>
      <family val="1"/>
    </font>
    <font>
      <sz val="10"/>
      <name val="Times New Roman"/>
      <family val="1"/>
    </font>
    <font>
      <sz val="11"/>
      <color rgb="FF000000"/>
      <name val="Calibri"/>
      <family val="2"/>
      <scheme val="minor"/>
    </font>
    <font>
      <b/>
      <sz val="11"/>
      <color theme="1"/>
      <name val="Times New Roman"/>
      <family val="1"/>
    </font>
    <font>
      <b/>
      <u val="singleAccounting"/>
      <sz val="11"/>
      <color theme="1"/>
      <name val="Times New Roman"/>
      <family val="1"/>
    </font>
    <font>
      <sz val="12"/>
      <color rgb="FF000000"/>
      <name val="Times New Roman"/>
      <family val="1"/>
    </font>
    <font>
      <u val="doubleAccounting"/>
      <sz val="12"/>
      <color rgb="FF000000"/>
      <name val="Times New Roman"/>
      <family val="1"/>
    </font>
    <font>
      <u val="singleAccounting"/>
      <sz val="12"/>
      <color rgb="FF000000"/>
      <name val="Times New Roman"/>
      <family val="1"/>
    </font>
    <font>
      <b/>
      <sz val="14"/>
      <name val="Times New Roman"/>
      <family val="1"/>
    </font>
    <font>
      <b/>
      <sz val="10"/>
      <name val="Times New Roman"/>
      <family val="1"/>
    </font>
  </fonts>
  <fills count="36">
    <fill>
      <patternFill patternType="none"/>
    </fill>
    <fill>
      <patternFill patternType="gray125"/>
    </fill>
    <fill>
      <patternFill patternType="solid">
        <fgColor theme="5"/>
      </patternFill>
    </fill>
    <fill>
      <patternFill patternType="solid">
        <fgColor rgb="FFFFFFFF"/>
        <bgColor rgb="FFFFFFFF"/>
      </patternFill>
    </fill>
    <fill>
      <patternFill patternType="solid">
        <fgColor rgb="FFF8FBFC"/>
        <bgColor rgb="FFFFFFFF"/>
      </patternFill>
    </fill>
    <fill>
      <patternFill patternType="solid">
        <fgColor rgb="FFFFFF99"/>
        <bgColor rgb="FFFFFFFF"/>
      </patternFill>
    </fill>
    <fill>
      <patternFill patternType="solid">
        <fgColor theme="7"/>
        <bgColor indexed="64"/>
      </patternFill>
    </fill>
    <fill>
      <patternFill patternType="solid">
        <fgColor theme="7"/>
        <bgColor rgb="FFFFFFFF"/>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indexed="33"/>
        <bgColor indexed="9"/>
      </patternFill>
    </fill>
    <fill>
      <patternFill patternType="solid">
        <fgColor indexed="43"/>
        <bgColor indexed="9"/>
      </patternFill>
    </fill>
    <fill>
      <patternFill patternType="solid">
        <fgColor rgb="FFFFFFFF"/>
        <bgColor rgb="FF000000"/>
      </patternFill>
    </fill>
    <fill>
      <patternFill patternType="solid">
        <fgColor rgb="FF99CCFF"/>
        <bgColor rgb="FF000000"/>
      </patternFill>
    </fill>
    <fill>
      <patternFill patternType="solid">
        <fgColor indexed="9"/>
        <bgColor indexed="9"/>
      </patternFill>
    </fill>
    <fill>
      <patternFill patternType="solid">
        <fgColor rgb="FF00B050"/>
        <bgColor indexed="64"/>
      </patternFill>
    </fill>
    <fill>
      <patternFill patternType="solid">
        <fgColor rgb="FFFFFF99"/>
        <bgColor rgb="FF000000"/>
      </patternFill>
    </fill>
    <fill>
      <patternFill patternType="solid">
        <fgColor rgb="FF808080"/>
        <bgColor rgb="FF000000"/>
      </patternFill>
    </fill>
    <fill>
      <patternFill patternType="solid">
        <fgColor rgb="FFFFFF00"/>
        <bgColor rgb="FF000000"/>
      </patternFill>
    </fill>
    <fill>
      <patternFill patternType="solid">
        <fgColor rgb="FFCCFFFF"/>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2" tint="-9.9978637043366805E-2"/>
        <bgColor rgb="FF000000"/>
      </patternFill>
    </fill>
    <fill>
      <patternFill patternType="solid">
        <fgColor theme="7" tint="0.79998168889431442"/>
        <bgColor rgb="FF000000"/>
      </patternFill>
    </fill>
    <fill>
      <patternFill patternType="solid">
        <fgColor theme="9" tint="0.79998168889431442"/>
        <bgColor rgb="FF000000"/>
      </patternFill>
    </fill>
    <fill>
      <patternFill patternType="solid">
        <fgColor rgb="FFFFFF99"/>
        <bgColor indexed="64"/>
      </patternFill>
    </fill>
    <fill>
      <patternFill patternType="solid">
        <fgColor theme="9"/>
        <bgColor rgb="FF000000"/>
      </patternFill>
    </fill>
    <fill>
      <patternFill patternType="solid">
        <fgColor theme="9"/>
        <bgColor indexed="64"/>
      </patternFill>
    </fill>
    <fill>
      <patternFill patternType="solid">
        <fgColor theme="9"/>
        <bgColor indexed="9"/>
      </patternFill>
    </fill>
    <fill>
      <patternFill patternType="solid">
        <fgColor theme="9"/>
        <bgColor rgb="FFFFFFFF"/>
      </patternFill>
    </fill>
    <fill>
      <patternFill patternType="solid">
        <fgColor indexed="49"/>
      </patternFill>
    </fill>
    <fill>
      <patternFill patternType="solid">
        <fgColor indexed="54"/>
      </patternFill>
    </fill>
    <fill>
      <patternFill patternType="solid">
        <fgColor indexed="43"/>
        <bgColor indexed="64"/>
      </patternFill>
    </fill>
    <fill>
      <patternFill patternType="solid">
        <fgColor indexed="43"/>
      </patternFill>
    </fill>
    <fill>
      <patternFill patternType="solid">
        <fgColor theme="9"/>
      </patternFill>
    </fill>
  </fills>
  <borders count="54">
    <border>
      <left/>
      <right/>
      <top/>
      <bottom/>
      <diagonal/>
    </border>
    <border>
      <left style="thin">
        <color rgb="FF000080"/>
      </left>
      <right style="thin">
        <color rgb="FF000080"/>
      </right>
      <top style="thin">
        <color rgb="FF000080"/>
      </top>
      <bottom style="thin">
        <color rgb="FF000080"/>
      </bottom>
      <diagonal/>
    </border>
    <border>
      <left style="thin">
        <color rgb="FF000080"/>
      </left>
      <right style="thin">
        <color rgb="FF000080"/>
      </right>
      <top style="thin">
        <color rgb="FF000080"/>
      </top>
      <bottom/>
      <diagonal/>
    </border>
    <border>
      <left style="thin">
        <color rgb="FF000080"/>
      </left>
      <right style="thin">
        <color rgb="FF000080"/>
      </right>
      <top/>
      <bottom/>
      <diagonal/>
    </border>
    <border>
      <left style="thin">
        <color rgb="FF000080"/>
      </left>
      <right style="thin">
        <color rgb="FF000080"/>
      </right>
      <top/>
      <bottom style="thin">
        <color rgb="FF00008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32"/>
      </left>
      <right style="thin">
        <color indexed="32"/>
      </right>
      <top style="thin">
        <color indexed="32"/>
      </top>
      <bottom style="thin">
        <color indexed="32"/>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32"/>
      </left>
      <right style="thin">
        <color indexed="32"/>
      </right>
      <top style="thin">
        <color indexed="32"/>
      </top>
      <bottom/>
      <diagonal/>
    </border>
    <border>
      <left style="thin">
        <color indexed="64"/>
      </left>
      <right style="thin">
        <color rgb="FF000000"/>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32"/>
      </right>
      <top style="thin">
        <color indexed="32"/>
      </top>
      <bottom/>
      <diagonal/>
    </border>
    <border>
      <left style="thin">
        <color indexed="64"/>
      </left>
      <right/>
      <top style="thin">
        <color indexed="64"/>
      </top>
      <bottom/>
      <diagonal/>
    </border>
    <border>
      <left/>
      <right style="thin">
        <color indexed="32"/>
      </right>
      <top style="thin">
        <color indexed="32"/>
      </top>
      <bottom style="thin">
        <color indexed="3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32"/>
      </right>
      <top/>
      <bottom style="thin">
        <color indexed="32"/>
      </bottom>
      <diagonal/>
    </border>
    <border>
      <left style="thin">
        <color indexed="32"/>
      </left>
      <right style="thin">
        <color indexed="32"/>
      </right>
      <top/>
      <bottom style="thin">
        <color indexed="32"/>
      </bottom>
      <diagonal/>
    </border>
    <border>
      <left style="thin">
        <color indexed="32"/>
      </left>
      <right style="thin">
        <color indexed="64"/>
      </right>
      <top/>
      <bottom style="thin">
        <color indexed="32"/>
      </bottom>
      <diagonal/>
    </border>
    <border>
      <left style="thin">
        <color indexed="64"/>
      </left>
      <right style="thin">
        <color rgb="FF000000"/>
      </right>
      <top/>
      <bottom/>
      <diagonal/>
    </border>
    <border>
      <left/>
      <right style="thin">
        <color rgb="FF000000"/>
      </right>
      <top/>
      <bottom/>
      <diagonal/>
    </border>
    <border>
      <left style="thin">
        <color indexed="32"/>
      </left>
      <right style="thin">
        <color indexed="64"/>
      </right>
      <top style="thin">
        <color indexed="32"/>
      </top>
      <bottom/>
      <diagonal/>
    </border>
    <border>
      <left/>
      <right/>
      <top style="thin">
        <color indexed="64"/>
      </top>
      <bottom style="thin">
        <color indexed="64"/>
      </bottom>
      <diagonal/>
    </border>
    <border>
      <left style="thin">
        <color rgb="FFDDDDDD"/>
      </left>
      <right style="thin">
        <color rgb="FFDDDDDD"/>
      </right>
      <top style="thin">
        <color rgb="FFDDDDDD"/>
      </top>
      <bottom style="thin">
        <color rgb="FFDDDDDD"/>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E3E3E3"/>
      </left>
      <right style="thin">
        <color rgb="FFE3E3E3"/>
      </right>
      <top style="thin">
        <color rgb="FFE3E3E3"/>
      </top>
      <bottom style="thin">
        <color rgb="FFE3E3E3"/>
      </bottom>
      <diagonal/>
    </border>
    <border>
      <left/>
      <right style="thin">
        <color rgb="FFE3E3E3"/>
      </right>
      <top style="thin">
        <color rgb="FFE3E3E3"/>
      </top>
      <bottom style="thin">
        <color rgb="FFE3E3E3"/>
      </bottom>
      <diagonal/>
    </border>
    <border>
      <left style="thin">
        <color rgb="FFE3E3E3"/>
      </left>
      <right style="thin">
        <color rgb="FFE3E3E3"/>
      </right>
      <top/>
      <bottom style="thin">
        <color rgb="FFE3E3E3"/>
      </bottom>
      <diagonal/>
    </border>
    <border>
      <left/>
      <right style="thin">
        <color rgb="FFE3E3E3"/>
      </right>
      <top/>
      <bottom style="thin">
        <color rgb="FFE3E3E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bottom/>
      <diagonal/>
    </border>
    <border>
      <left/>
      <right style="thin">
        <color indexed="64"/>
      </right>
      <top/>
      <bottom/>
      <diagonal/>
    </border>
    <border>
      <left style="thin">
        <color rgb="FFDDDDDD"/>
      </left>
      <right style="thin">
        <color rgb="FFDDDDDD"/>
      </right>
      <top style="thin">
        <color rgb="FFDDDDDD"/>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3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2" borderId="0" applyNumberFormat="0" applyBorder="0" applyAlignment="0" applyProtection="0"/>
    <xf numFmtId="0" fontId="17"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4" fontId="1" fillId="0" borderId="0" applyFont="0" applyFill="0" applyBorder="0" applyAlignment="0" applyProtection="0"/>
    <xf numFmtId="4" fontId="32" fillId="31" borderId="42" applyNumberFormat="0" applyProtection="0">
      <alignment horizontal="left" vertical="center" indent="1"/>
    </xf>
    <xf numFmtId="0" fontId="32" fillId="32" borderId="43" applyNumberFormat="0" applyProtection="0">
      <alignment horizontal="left" vertical="top" indent="1"/>
    </xf>
    <xf numFmtId="4" fontId="32" fillId="31" borderId="42" applyNumberFormat="0" applyProtection="0">
      <alignment horizontal="left" vertical="center" indent="1"/>
    </xf>
    <xf numFmtId="4" fontId="32" fillId="0" borderId="42" applyNumberFormat="0" applyProtection="0">
      <alignment horizontal="right" vertical="center"/>
    </xf>
    <xf numFmtId="0" fontId="39" fillId="0" borderId="0" applyNumberFormat="0" applyFill="0" applyBorder="0" applyAlignment="0" applyProtection="0"/>
    <xf numFmtId="0" fontId="18" fillId="0" borderId="0"/>
    <xf numFmtId="0" fontId="61" fillId="0" borderId="0"/>
    <xf numFmtId="43" fontId="17" fillId="0" borderId="0" applyFont="0" applyFill="0" applyBorder="0" applyAlignment="0" applyProtection="0"/>
    <xf numFmtId="9" fontId="17"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0" borderId="0"/>
    <xf numFmtId="44" fontId="17" fillId="0" borderId="0" applyFont="0" applyFill="0" applyBorder="0" applyAlignment="0" applyProtection="0"/>
    <xf numFmtId="4" fontId="32" fillId="33" borderId="42" applyNumberFormat="0" applyProtection="0">
      <alignment horizontal="left" vertical="center" indent="1"/>
    </xf>
    <xf numFmtId="4" fontId="32" fillId="34" borderId="42" applyNumberFormat="0" applyProtection="0">
      <alignment vertical="center"/>
    </xf>
    <xf numFmtId="43" fontId="17" fillId="0" borderId="0" applyFont="0" applyFill="0" applyBorder="0" applyAlignment="0" applyProtection="0"/>
    <xf numFmtId="44" fontId="17" fillId="0" borderId="0" applyFont="0" applyFill="0" applyBorder="0" applyAlignment="0" applyProtection="0"/>
    <xf numFmtId="0" fontId="1" fillId="0" borderId="0"/>
    <xf numFmtId="0" fontId="17" fillId="0" borderId="0"/>
    <xf numFmtId="0" fontId="17" fillId="0" borderId="0"/>
    <xf numFmtId="0" fontId="62" fillId="0" borderId="0" applyNumberFormat="0" applyFill="0" applyBorder="0" applyAlignment="0" applyProtection="0"/>
    <xf numFmtId="0" fontId="1" fillId="0" borderId="0"/>
    <xf numFmtId="43" fontId="1" fillId="0" borderId="0" applyFont="0" applyFill="0" applyBorder="0" applyAlignment="0" applyProtection="0"/>
    <xf numFmtId="0" fontId="63" fillId="0" borderId="0"/>
    <xf numFmtId="0" fontId="7" fillId="35" borderId="0" applyNumberFormat="0" applyBorder="0" applyAlignment="0" applyProtection="0"/>
  </cellStyleXfs>
  <cellXfs count="551">
    <xf numFmtId="0" fontId="0" fillId="0" borderId="0" xfId="0"/>
    <xf numFmtId="164" fontId="0" fillId="0" borderId="0" xfId="1" applyNumberFormat="1" applyFont="1"/>
    <xf numFmtId="164" fontId="2" fillId="0" borderId="0" xfId="1" applyNumberFormat="1" applyFont="1" applyAlignment="1">
      <alignment horizontal="center" wrapText="1"/>
    </xf>
    <xf numFmtId="164" fontId="2" fillId="0" borderId="0" xfId="1" applyNumberFormat="1" applyFont="1"/>
    <xf numFmtId="164" fontId="3" fillId="0" borderId="0" xfId="1" applyNumberFormat="1" applyFont="1"/>
    <xf numFmtId="164" fontId="4" fillId="0" borderId="0" xfId="1" applyNumberFormat="1" applyFont="1"/>
    <xf numFmtId="164" fontId="3" fillId="0" borderId="0" xfId="1" applyNumberFormat="1" applyFont="1" applyAlignment="1">
      <alignment horizontal="center" wrapText="1"/>
    </xf>
    <xf numFmtId="164" fontId="4" fillId="0" borderId="0" xfId="1" applyNumberFormat="1" applyFont="1" applyAlignment="1">
      <alignment horizontal="center" wrapText="1"/>
    </xf>
    <xf numFmtId="164" fontId="1" fillId="0" borderId="0" xfId="1" applyNumberFormat="1" applyFont="1"/>
    <xf numFmtId="9" fontId="1" fillId="0" borderId="0" xfId="2" applyFont="1"/>
    <xf numFmtId="9" fontId="2" fillId="0" borderId="0" xfId="2" applyFont="1"/>
    <xf numFmtId="165" fontId="2" fillId="0" borderId="0" xfId="2" applyNumberFormat="1" applyFont="1"/>
    <xf numFmtId="164" fontId="1" fillId="0" borderId="0" xfId="1" applyNumberFormat="1" applyFont="1" applyAlignment="1">
      <alignment horizontal="center" wrapText="1"/>
    </xf>
    <xf numFmtId="164" fontId="5" fillId="0" borderId="0" xfId="1" applyNumberFormat="1" applyFont="1"/>
    <xf numFmtId="0" fontId="8" fillId="3" borderId="0" xfId="0" applyFont="1" applyFill="1" applyAlignment="1">
      <alignment horizontal="left" wrapText="1"/>
    </xf>
    <xf numFmtId="0" fontId="8" fillId="3" borderId="0" xfId="0" applyFont="1" applyFill="1" applyAlignment="1">
      <alignment vertical="center"/>
    </xf>
    <xf numFmtId="0" fontId="8" fillId="3" borderId="0" xfId="0" applyFont="1" applyFill="1" applyAlignment="1">
      <alignment vertical="center" wrapText="1"/>
    </xf>
    <xf numFmtId="17"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8" fillId="4" borderId="1" xfId="0" applyFont="1" applyFill="1" applyBorder="1" applyAlignment="1">
      <alignment horizontal="left"/>
    </xf>
    <xf numFmtId="0" fontId="8" fillId="4" borderId="1" xfId="0" applyFont="1" applyFill="1" applyBorder="1" applyAlignment="1">
      <alignment horizontal="left" wrapText="1"/>
    </xf>
    <xf numFmtId="3" fontId="8" fillId="3" borderId="0" xfId="0" applyNumberFormat="1" applyFont="1" applyFill="1" applyAlignment="1">
      <alignment horizontal="left"/>
    </xf>
    <xf numFmtId="0" fontId="12" fillId="4" borderId="1" xfId="0" applyFont="1" applyFill="1" applyBorder="1" applyAlignment="1">
      <alignment horizontal="left" vertical="top" wrapText="1"/>
    </xf>
    <xf numFmtId="3" fontId="8" fillId="3" borderId="1" xfId="0" applyNumberFormat="1" applyFont="1" applyFill="1" applyBorder="1" applyAlignment="1">
      <alignment horizontal="right"/>
    </xf>
    <xf numFmtId="0" fontId="8" fillId="3" borderId="1" xfId="0" applyFont="1" applyFill="1" applyBorder="1" applyAlignment="1">
      <alignment horizontal="right"/>
    </xf>
    <xf numFmtId="0" fontId="12" fillId="4" borderId="0" xfId="0" applyFont="1" applyFill="1" applyAlignment="1">
      <alignment horizontal="left" vertical="top" wrapText="1"/>
    </xf>
    <xf numFmtId="0" fontId="8" fillId="4" borderId="0" xfId="0" applyFont="1" applyFill="1" applyAlignment="1">
      <alignment horizontal="left"/>
    </xf>
    <xf numFmtId="0" fontId="8" fillId="4" borderId="0" xfId="0" applyFont="1" applyFill="1" applyAlignment="1">
      <alignment horizontal="left" wrapText="1"/>
    </xf>
    <xf numFmtId="3" fontId="8" fillId="3" borderId="0" xfId="0" applyNumberFormat="1" applyFont="1" applyFill="1" applyAlignment="1">
      <alignment horizontal="right"/>
    </xf>
    <xf numFmtId="0" fontId="8" fillId="3" borderId="0" xfId="0" applyFont="1" applyFill="1" applyAlignment="1">
      <alignment horizontal="right"/>
    </xf>
    <xf numFmtId="0" fontId="14" fillId="0" borderId="0" xfId="0" applyFont="1" applyAlignment="1">
      <alignment wrapText="1"/>
    </xf>
    <xf numFmtId="3" fontId="14" fillId="0" borderId="0" xfId="0" applyNumberFormat="1" applyFont="1"/>
    <xf numFmtId="0" fontId="14" fillId="6" borderId="0" xfId="0" applyFont="1" applyFill="1"/>
    <xf numFmtId="0" fontId="15" fillId="7" borderId="0" xfId="0" applyFont="1" applyFill="1" applyAlignment="1">
      <alignment horizontal="left" vertical="top" wrapText="1"/>
    </xf>
    <xf numFmtId="0" fontId="14" fillId="6" borderId="0" xfId="0" applyFont="1" applyFill="1" applyAlignment="1">
      <alignment wrapText="1"/>
    </xf>
    <xf numFmtId="3" fontId="14" fillId="6" borderId="0" xfId="0" applyNumberFormat="1" applyFont="1" applyFill="1"/>
    <xf numFmtId="3" fontId="14" fillId="7" borderId="0" xfId="0" applyNumberFormat="1" applyFont="1" applyFill="1" applyAlignment="1">
      <alignment horizontal="left"/>
    </xf>
    <xf numFmtId="0" fontId="16" fillId="6" borderId="0" xfId="0" applyFont="1" applyFill="1"/>
    <xf numFmtId="0" fontId="0" fillId="0" borderId="0" xfId="0" applyAlignment="1">
      <alignment horizontal="center" wrapText="1"/>
    </xf>
    <xf numFmtId="164" fontId="0" fillId="6" borderId="0" xfId="1" applyNumberFormat="1" applyFont="1" applyFill="1"/>
    <xf numFmtId="164" fontId="0" fillId="6" borderId="0" xfId="1" applyNumberFormat="1" applyFont="1" applyFill="1" applyAlignment="1">
      <alignment horizontal="center" wrapText="1"/>
    </xf>
    <xf numFmtId="164" fontId="0" fillId="0" borderId="0" xfId="1" applyNumberFormat="1" applyFont="1" applyAlignment="1">
      <alignment horizontal="center" wrapText="1"/>
    </xf>
    <xf numFmtId="164" fontId="16" fillId="6" borderId="0" xfId="1" applyNumberFormat="1" applyFont="1" applyFill="1"/>
    <xf numFmtId="164" fontId="8" fillId="3" borderId="0" xfId="1" applyNumberFormat="1" applyFont="1" applyFill="1" applyAlignment="1">
      <alignment horizontal="left"/>
    </xf>
    <xf numFmtId="164" fontId="8" fillId="3" borderId="0" xfId="1" applyNumberFormat="1" applyFont="1" applyFill="1" applyAlignment="1">
      <alignment horizontal="center" wrapText="1"/>
    </xf>
    <xf numFmtId="164" fontId="10" fillId="4" borderId="1" xfId="1" applyNumberFormat="1" applyFont="1" applyFill="1" applyBorder="1" applyAlignment="1">
      <alignment horizontal="center" vertical="center" wrapText="1"/>
    </xf>
    <xf numFmtId="164" fontId="11" fillId="5" borderId="1" xfId="1" applyNumberFormat="1" applyFont="1" applyFill="1" applyBorder="1" applyAlignment="1">
      <alignment horizontal="center" vertical="center"/>
    </xf>
    <xf numFmtId="164" fontId="13" fillId="5" borderId="1" xfId="1" applyNumberFormat="1" applyFont="1" applyFill="1" applyBorder="1" applyAlignment="1">
      <alignment horizontal="right"/>
    </xf>
    <xf numFmtId="164" fontId="8" fillId="3" borderId="1" xfId="1" applyNumberFormat="1" applyFont="1" applyFill="1" applyBorder="1" applyAlignment="1">
      <alignment horizontal="right"/>
    </xf>
    <xf numFmtId="164" fontId="8" fillId="3" borderId="0" xfId="1" applyNumberFormat="1" applyFont="1" applyFill="1" applyAlignment="1">
      <alignment horizontal="right"/>
    </xf>
    <xf numFmtId="164" fontId="14" fillId="0" borderId="0" xfId="1" applyNumberFormat="1" applyFont="1"/>
    <xf numFmtId="164" fontId="14" fillId="7" borderId="0" xfId="1" applyNumberFormat="1" applyFont="1" applyFill="1" applyAlignment="1">
      <alignment horizontal="left"/>
    </xf>
    <xf numFmtId="164" fontId="14" fillId="6" borderId="0" xfId="1" applyNumberFormat="1" applyFont="1" applyFill="1"/>
    <xf numFmtId="164" fontId="8" fillId="7" borderId="0" xfId="1" applyNumberFormat="1" applyFont="1" applyFill="1" applyAlignment="1">
      <alignment horizontal="center" wrapText="1"/>
    </xf>
    <xf numFmtId="0" fontId="17" fillId="8" borderId="5" xfId="4" applyFill="1" applyBorder="1" applyAlignment="1">
      <alignment vertical="top"/>
    </xf>
    <xf numFmtId="0" fontId="17" fillId="8" borderId="5" xfId="4" applyFill="1" applyBorder="1" applyAlignment="1">
      <alignment vertical="top" wrapText="1"/>
    </xf>
    <xf numFmtId="164" fontId="0" fillId="8" borderId="5" xfId="5" applyNumberFormat="1" applyFont="1" applyFill="1" applyBorder="1" applyAlignment="1">
      <alignment vertical="top" wrapText="1"/>
    </xf>
    <xf numFmtId="0" fontId="17" fillId="0" borderId="0" xfId="4" applyAlignment="1">
      <alignment vertical="top"/>
    </xf>
    <xf numFmtId="0" fontId="17" fillId="9" borderId="5" xfId="4" applyFill="1" applyBorder="1" applyAlignment="1">
      <alignment vertical="top"/>
    </xf>
    <xf numFmtId="14" fontId="17" fillId="9" borderId="5" xfId="4" applyNumberFormat="1" applyFill="1" applyBorder="1" applyAlignment="1">
      <alignment horizontal="right" vertical="top"/>
    </xf>
    <xf numFmtId="164" fontId="0" fillId="9" borderId="5" xfId="5" applyNumberFormat="1" applyFont="1" applyFill="1" applyBorder="1" applyAlignment="1">
      <alignment horizontal="right" vertical="top"/>
    </xf>
    <xf numFmtId="14" fontId="17" fillId="0" borderId="0" xfId="4" applyNumberFormat="1" applyAlignment="1">
      <alignment horizontal="right" vertical="top"/>
    </xf>
    <xf numFmtId="164" fontId="0" fillId="0" borderId="0" xfId="5" applyNumberFormat="1" applyFont="1" applyAlignment="1">
      <alignment horizontal="right" vertical="top"/>
    </xf>
    <xf numFmtId="164" fontId="0" fillId="0" borderId="0" xfId="5" applyNumberFormat="1" applyFont="1" applyAlignment="1">
      <alignment vertical="top"/>
    </xf>
    <xf numFmtId="164" fontId="19" fillId="0" borderId="0" xfId="5" applyNumberFormat="1" applyFont="1" applyAlignment="1">
      <alignment vertical="top"/>
    </xf>
    <xf numFmtId="0" fontId="22" fillId="0" borderId="0" xfId="0" applyFont="1"/>
    <xf numFmtId="164" fontId="22" fillId="0" borderId="0" xfId="1" applyNumberFormat="1" applyFont="1"/>
    <xf numFmtId="164" fontId="23" fillId="11" borderId="13" xfId="1" applyNumberFormat="1" applyFont="1" applyFill="1" applyBorder="1" applyAlignment="1">
      <alignment horizontal="center" wrapText="1"/>
    </xf>
    <xf numFmtId="164" fontId="24" fillId="12" borderId="13" xfId="1" applyNumberFormat="1" applyFont="1" applyFill="1" applyBorder="1" applyAlignment="1">
      <alignment horizontal="center" vertical="center" wrapText="1"/>
    </xf>
    <xf numFmtId="49" fontId="13" fillId="13" borderId="14" xfId="0" applyNumberFormat="1" applyFont="1" applyFill="1" applyBorder="1"/>
    <xf numFmtId="49" fontId="13" fillId="13" borderId="15" xfId="0" applyNumberFormat="1" applyFont="1" applyFill="1" applyBorder="1"/>
    <xf numFmtId="49" fontId="13" fillId="14" borderId="15" xfId="0" applyNumberFormat="1" applyFont="1" applyFill="1" applyBorder="1"/>
    <xf numFmtId="164" fontId="13" fillId="13" borderId="15" xfId="1" applyNumberFormat="1" applyFont="1" applyFill="1" applyBorder="1"/>
    <xf numFmtId="164" fontId="25" fillId="15" borderId="13" xfId="1" applyNumberFormat="1" applyFont="1" applyFill="1" applyBorder="1" applyAlignment="1">
      <alignment horizontal="right"/>
    </xf>
    <xf numFmtId="164" fontId="26" fillId="12" borderId="13" xfId="1" applyNumberFormat="1" applyFont="1" applyFill="1" applyBorder="1" applyAlignment="1">
      <alignment horizontal="right"/>
    </xf>
    <xf numFmtId="49" fontId="13" fillId="13" borderId="16" xfId="0" applyNumberFormat="1" applyFont="1" applyFill="1" applyBorder="1"/>
    <xf numFmtId="49" fontId="13" fillId="13" borderId="17" xfId="0" applyNumberFormat="1" applyFont="1" applyFill="1" applyBorder="1"/>
    <xf numFmtId="49" fontId="13" fillId="14" borderId="17" xfId="0" applyNumberFormat="1" applyFont="1" applyFill="1" applyBorder="1"/>
    <xf numFmtId="164" fontId="13" fillId="13" borderId="17" xfId="1" applyNumberFormat="1" applyFont="1" applyFill="1" applyBorder="1"/>
    <xf numFmtId="164" fontId="25" fillId="15" borderId="18" xfId="1" applyNumberFormat="1" applyFont="1" applyFill="1" applyBorder="1" applyAlignment="1">
      <alignment horizontal="right"/>
    </xf>
    <xf numFmtId="164" fontId="13" fillId="13" borderId="19" xfId="1" applyNumberFormat="1" applyFont="1" applyFill="1" applyBorder="1"/>
    <xf numFmtId="164" fontId="13" fillId="13" borderId="20" xfId="1" applyNumberFormat="1" applyFont="1" applyFill="1" applyBorder="1"/>
    <xf numFmtId="164" fontId="13" fillId="13" borderId="5" xfId="1" applyNumberFormat="1" applyFont="1" applyFill="1" applyBorder="1"/>
    <xf numFmtId="164" fontId="25" fillId="15" borderId="21" xfId="1" applyNumberFormat="1" applyFont="1" applyFill="1" applyBorder="1" applyAlignment="1">
      <alignment horizontal="right"/>
    </xf>
    <xf numFmtId="164" fontId="26" fillId="12" borderId="22" xfId="1" applyNumberFormat="1" applyFont="1" applyFill="1" applyBorder="1" applyAlignment="1">
      <alignment horizontal="right"/>
    </xf>
    <xf numFmtId="164" fontId="22" fillId="16" borderId="0" xfId="1" applyNumberFormat="1" applyFont="1" applyFill="1"/>
    <xf numFmtId="164" fontId="13" fillId="13" borderId="23" xfId="1" applyNumberFormat="1" applyFont="1" applyFill="1" applyBorder="1"/>
    <xf numFmtId="164" fontId="26" fillId="12" borderId="5" xfId="1" applyNumberFormat="1" applyFont="1" applyFill="1" applyBorder="1" applyAlignment="1">
      <alignment horizontal="right"/>
    </xf>
    <xf numFmtId="164" fontId="26" fillId="12" borderId="24" xfId="1" applyNumberFormat="1" applyFont="1" applyFill="1" applyBorder="1" applyAlignment="1">
      <alignment horizontal="right"/>
    </xf>
    <xf numFmtId="164" fontId="13" fillId="13" borderId="25" xfId="1" applyNumberFormat="1" applyFont="1" applyFill="1" applyBorder="1"/>
    <xf numFmtId="164" fontId="13" fillId="13" borderId="0" xfId="1" applyNumberFormat="1" applyFont="1" applyFill="1" applyBorder="1"/>
    <xf numFmtId="165" fontId="26" fillId="12" borderId="5" xfId="2" applyNumberFormat="1" applyFont="1" applyFill="1" applyBorder="1" applyAlignment="1">
      <alignment horizontal="right"/>
    </xf>
    <xf numFmtId="165" fontId="26" fillId="12" borderId="24" xfId="2" applyNumberFormat="1" applyFont="1" applyFill="1" applyBorder="1" applyAlignment="1">
      <alignment horizontal="right"/>
    </xf>
    <xf numFmtId="49" fontId="13" fillId="14" borderId="17" xfId="0" applyNumberFormat="1" applyFont="1" applyFill="1" applyBorder="1" applyAlignment="1">
      <alignment wrapText="1"/>
    </xf>
    <xf numFmtId="164" fontId="25" fillId="15" borderId="27" xfId="1" applyNumberFormat="1" applyFont="1" applyFill="1" applyBorder="1" applyAlignment="1">
      <alignment horizontal="right"/>
    </xf>
    <xf numFmtId="164" fontId="25" fillId="15" borderId="28" xfId="1" applyNumberFormat="1" applyFont="1" applyFill="1" applyBorder="1" applyAlignment="1">
      <alignment horizontal="right"/>
    </xf>
    <xf numFmtId="164" fontId="25" fillId="15" borderId="29" xfId="1" applyNumberFormat="1" applyFont="1" applyFill="1" applyBorder="1" applyAlignment="1">
      <alignment horizontal="right"/>
    </xf>
    <xf numFmtId="164" fontId="13" fillId="13" borderId="30" xfId="1" applyNumberFormat="1" applyFont="1" applyFill="1" applyBorder="1"/>
    <xf numFmtId="164" fontId="25" fillId="15" borderId="32" xfId="1" applyNumberFormat="1" applyFont="1" applyFill="1" applyBorder="1" applyAlignment="1">
      <alignment horizontal="right"/>
    </xf>
    <xf numFmtId="164" fontId="26" fillId="12" borderId="18" xfId="1" applyNumberFormat="1" applyFont="1" applyFill="1" applyBorder="1" applyAlignment="1">
      <alignment horizontal="right"/>
    </xf>
    <xf numFmtId="165" fontId="22" fillId="0" borderId="5" xfId="2" applyNumberFormat="1" applyFont="1" applyBorder="1"/>
    <xf numFmtId="164" fontId="25" fillId="15" borderId="5" xfId="1" applyNumberFormat="1" applyFont="1" applyFill="1" applyBorder="1" applyAlignment="1">
      <alignment horizontal="right"/>
    </xf>
    <xf numFmtId="164" fontId="26" fillId="12" borderId="0" xfId="1" applyNumberFormat="1" applyFont="1" applyFill="1" applyBorder="1" applyAlignment="1">
      <alignment horizontal="right"/>
    </xf>
    <xf numFmtId="164" fontId="22" fillId="0" borderId="0" xfId="1" applyNumberFormat="1" applyFont="1" applyFill="1"/>
    <xf numFmtId="164" fontId="23" fillId="11" borderId="13" xfId="1" quotePrefix="1" applyNumberFormat="1" applyFont="1" applyFill="1" applyBorder="1" applyAlignment="1">
      <alignment horizontal="center" vertical="center"/>
    </xf>
    <xf numFmtId="164" fontId="24" fillId="12" borderId="13" xfId="1" quotePrefix="1" applyNumberFormat="1" applyFont="1" applyFill="1" applyBorder="1" applyAlignment="1">
      <alignment horizontal="center" vertical="center"/>
    </xf>
    <xf numFmtId="9" fontId="13" fillId="13" borderId="5" xfId="2" applyFont="1" applyFill="1" applyBorder="1"/>
    <xf numFmtId="164" fontId="13" fillId="13" borderId="16" xfId="1" applyNumberFormat="1" applyFont="1" applyFill="1" applyBorder="1"/>
    <xf numFmtId="164" fontId="13" fillId="14" borderId="17" xfId="1" applyNumberFormat="1" applyFont="1" applyFill="1" applyBorder="1"/>
    <xf numFmtId="49" fontId="13" fillId="14" borderId="31" xfId="0" applyNumberFormat="1" applyFont="1" applyFill="1" applyBorder="1"/>
    <xf numFmtId="165" fontId="22" fillId="0" borderId="0" xfId="2" applyNumberFormat="1" applyFont="1"/>
    <xf numFmtId="49" fontId="13" fillId="17" borderId="16" xfId="0" applyNumberFormat="1" applyFont="1" applyFill="1" applyBorder="1"/>
    <xf numFmtId="49" fontId="13" fillId="17" borderId="17" xfId="0" applyNumberFormat="1" applyFont="1" applyFill="1" applyBorder="1"/>
    <xf numFmtId="164" fontId="13" fillId="17" borderId="17" xfId="1" applyNumberFormat="1" applyFont="1" applyFill="1" applyBorder="1"/>
    <xf numFmtId="164" fontId="25" fillId="15" borderId="0" xfId="1" applyNumberFormat="1" applyFont="1" applyFill="1" applyAlignment="1">
      <alignment horizontal="left"/>
    </xf>
    <xf numFmtId="164" fontId="7" fillId="2" borderId="0" xfId="3" applyNumberFormat="1"/>
    <xf numFmtId="49" fontId="25" fillId="11" borderId="13" xfId="0" applyNumberFormat="1" applyFont="1" applyFill="1" applyBorder="1" applyAlignment="1">
      <alignment horizontal="left"/>
    </xf>
    <xf numFmtId="49" fontId="25" fillId="11" borderId="13" xfId="0" applyNumberFormat="1" applyFont="1" applyFill="1" applyBorder="1" applyAlignment="1">
      <alignment horizontal="left" wrapText="1"/>
    </xf>
    <xf numFmtId="9" fontId="22" fillId="0" borderId="0" xfId="2" applyFont="1"/>
    <xf numFmtId="0" fontId="27" fillId="0" borderId="0" xfId="0" applyFont="1"/>
    <xf numFmtId="0" fontId="28" fillId="18" borderId="14" xfId="0" applyFont="1" applyFill="1" applyBorder="1" applyAlignment="1">
      <alignment horizontal="center" wrapText="1"/>
    </xf>
    <xf numFmtId="0" fontId="28" fillId="20" borderId="16" xfId="0" applyFont="1" applyFill="1" applyBorder="1"/>
    <xf numFmtId="0" fontId="28" fillId="14" borderId="16" xfId="0" applyFont="1" applyFill="1" applyBorder="1"/>
    <xf numFmtId="0" fontId="28" fillId="20" borderId="14" xfId="0" applyFont="1" applyFill="1" applyBorder="1"/>
    <xf numFmtId="0" fontId="28" fillId="14" borderId="14" xfId="0" applyFont="1" applyFill="1" applyBorder="1"/>
    <xf numFmtId="0" fontId="28" fillId="17" borderId="14" xfId="0" applyFont="1" applyFill="1" applyBorder="1"/>
    <xf numFmtId="164" fontId="30" fillId="17" borderId="14" xfId="1" applyNumberFormat="1" applyFont="1" applyFill="1" applyBorder="1"/>
    <xf numFmtId="164" fontId="29" fillId="5" borderId="34" xfId="1" applyNumberFormat="1" applyFont="1" applyFill="1" applyBorder="1" applyAlignment="1">
      <alignment horizontal="center" vertical="center" wrapText="1"/>
    </xf>
    <xf numFmtId="164" fontId="0" fillId="0" borderId="0" xfId="1" quotePrefix="1" applyNumberFormat="1" applyFont="1"/>
    <xf numFmtId="164" fontId="0" fillId="21" borderId="0" xfId="1" applyNumberFormat="1" applyFont="1" applyFill="1"/>
    <xf numFmtId="0" fontId="28" fillId="22" borderId="14" xfId="0" applyFont="1" applyFill="1" applyBorder="1"/>
    <xf numFmtId="0" fontId="28" fillId="23" borderId="14" xfId="0" applyFont="1" applyFill="1" applyBorder="1"/>
    <xf numFmtId="0" fontId="28" fillId="24" borderId="14" xfId="0" applyFont="1" applyFill="1" applyBorder="1"/>
    <xf numFmtId="0" fontId="28" fillId="25" borderId="14" xfId="0" applyFont="1" applyFill="1" applyBorder="1"/>
    <xf numFmtId="164" fontId="31" fillId="0" borderId="0" xfId="1" applyNumberFormat="1" applyFont="1"/>
    <xf numFmtId="164" fontId="22" fillId="0" borderId="0" xfId="1" applyNumberFormat="1" applyFont="1" applyAlignment="1">
      <alignment horizontal="center"/>
    </xf>
    <xf numFmtId="164" fontId="24" fillId="26" borderId="38" xfId="1" applyNumberFormat="1" applyFont="1" applyFill="1" applyBorder="1" applyAlignment="1" applyProtection="1">
      <alignment horizontal="center" vertical="center"/>
    </xf>
    <xf numFmtId="49" fontId="14" fillId="30" borderId="38" xfId="0" applyNumberFormat="1" applyFont="1" applyFill="1" applyBorder="1" applyAlignment="1">
      <alignment horizontal="left"/>
    </xf>
    <xf numFmtId="49" fontId="14" fillId="30" borderId="39" xfId="0" applyNumberFormat="1" applyFont="1" applyFill="1" applyBorder="1" applyAlignment="1">
      <alignment horizontal="left"/>
    </xf>
    <xf numFmtId="164" fontId="14" fillId="30" borderId="39" xfId="1" applyNumberFormat="1" applyFont="1" applyFill="1" applyBorder="1" applyAlignment="1">
      <alignment horizontal="right"/>
    </xf>
    <xf numFmtId="164" fontId="14" fillId="28" borderId="0" xfId="1" applyNumberFormat="1" applyFont="1" applyFill="1"/>
    <xf numFmtId="164" fontId="14" fillId="28" borderId="0" xfId="0" applyNumberFormat="1" applyFont="1" applyFill="1"/>
    <xf numFmtId="164" fontId="0" fillId="10" borderId="0" xfId="0" applyNumberFormat="1" applyFill="1"/>
    <xf numFmtId="43" fontId="0" fillId="0" borderId="0" xfId="0" applyNumberFormat="1"/>
    <xf numFmtId="49" fontId="8" fillId="4" borderId="40" xfId="0" applyNumberFormat="1" applyFont="1" applyFill="1" applyBorder="1" applyAlignment="1">
      <alignment horizontal="left"/>
    </xf>
    <xf numFmtId="49" fontId="8" fillId="4" borderId="41" xfId="0" applyNumberFormat="1" applyFont="1" applyFill="1" applyBorder="1" applyAlignment="1">
      <alignment horizontal="left"/>
    </xf>
    <xf numFmtId="164" fontId="13" fillId="5" borderId="41" xfId="1" applyNumberFormat="1" applyFont="1" applyFill="1" applyBorder="1" applyAlignment="1">
      <alignment horizontal="right"/>
    </xf>
    <xf numFmtId="164" fontId="22" fillId="0" borderId="0" xfId="0" applyNumberFormat="1" applyFont="1"/>
    <xf numFmtId="49" fontId="8" fillId="30" borderId="40" xfId="0" applyNumberFormat="1" applyFont="1" applyFill="1" applyBorder="1" applyAlignment="1">
      <alignment horizontal="left"/>
    </xf>
    <xf numFmtId="49" fontId="8" fillId="30" borderId="41" xfId="0" applyNumberFormat="1" applyFont="1" applyFill="1" applyBorder="1" applyAlignment="1">
      <alignment horizontal="left"/>
    </xf>
    <xf numFmtId="164" fontId="13" fillId="30" borderId="41" xfId="1" applyNumberFormat="1" applyFont="1" applyFill="1" applyBorder="1" applyAlignment="1">
      <alignment horizontal="right"/>
    </xf>
    <xf numFmtId="164" fontId="22" fillId="28" borderId="0" xfId="1" applyNumberFormat="1" applyFont="1" applyFill="1"/>
    <xf numFmtId="164" fontId="22" fillId="28" borderId="0" xfId="0" applyNumberFormat="1" applyFont="1" applyFill="1"/>
    <xf numFmtId="0" fontId="33" fillId="0" borderId="0" xfId="0" applyFont="1" applyAlignment="1">
      <alignment vertical="center"/>
    </xf>
    <xf numFmtId="0" fontId="33" fillId="0" borderId="0" xfId="0" applyFont="1" applyAlignment="1">
      <alignment horizontal="left" vertical="center" indent="1"/>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9" fillId="0" borderId="0" xfId="13" applyAlignment="1">
      <alignment vertical="center"/>
    </xf>
    <xf numFmtId="0" fontId="40" fillId="0" borderId="44" xfId="0" applyFont="1" applyFill="1" applyBorder="1"/>
    <xf numFmtId="4" fontId="40" fillId="0" borderId="45" xfId="0" applyNumberFormat="1" applyFont="1" applyFill="1" applyBorder="1"/>
    <xf numFmtId="0" fontId="40" fillId="0" borderId="45" xfId="0" applyFont="1" applyFill="1" applyBorder="1"/>
    <xf numFmtId="0" fontId="0" fillId="0" borderId="0" xfId="0" applyFill="1"/>
    <xf numFmtId="165" fontId="0" fillId="0" borderId="0" xfId="2" applyNumberFormat="1" applyFont="1" applyFill="1" applyAlignment="1">
      <alignment horizontal="center"/>
    </xf>
    <xf numFmtId="0" fontId="18" fillId="0" borderId="44" xfId="14" applyNumberFormat="1" applyFill="1" applyBorder="1"/>
    <xf numFmtId="49" fontId="18" fillId="0" borderId="44" xfId="14" applyNumberFormat="1" applyFill="1" applyBorder="1"/>
    <xf numFmtId="4" fontId="0" fillId="0" borderId="5" xfId="0" applyNumberFormat="1" applyFill="1" applyBorder="1"/>
    <xf numFmtId="44" fontId="0" fillId="0" borderId="0" xfId="8" applyFont="1" applyFill="1"/>
    <xf numFmtId="44" fontId="0" fillId="0" borderId="0" xfId="0" applyNumberFormat="1" applyFill="1"/>
    <xf numFmtId="44" fontId="3" fillId="0" borderId="0" xfId="8" applyFont="1" applyFill="1"/>
    <xf numFmtId="44" fontId="3" fillId="0" borderId="0" xfId="0" applyNumberFormat="1" applyFont="1" applyFill="1"/>
    <xf numFmtId="4" fontId="0" fillId="0" borderId="0" xfId="0" applyNumberFormat="1" applyFill="1"/>
    <xf numFmtId="44" fontId="6" fillId="0" borderId="0" xfId="0" applyNumberFormat="1" applyFont="1" applyFill="1"/>
    <xf numFmtId="0" fontId="2" fillId="0" borderId="0" xfId="0" applyFont="1" applyFill="1" applyAlignment="1">
      <alignment horizontal="center"/>
    </xf>
    <xf numFmtId="49" fontId="0" fillId="0" borderId="46" xfId="0" applyNumberFormat="1" applyFill="1" applyBorder="1" applyAlignment="1">
      <alignment horizontal="left"/>
    </xf>
    <xf numFmtId="168" fontId="0" fillId="0" borderId="46" xfId="0" applyNumberFormat="1" applyFill="1" applyBorder="1"/>
    <xf numFmtId="10" fontId="0" fillId="0" borderId="0" xfId="2" applyNumberFormat="1" applyFont="1" applyFill="1"/>
    <xf numFmtId="0" fontId="41" fillId="0" borderId="0" xfId="0" applyFont="1" applyAlignment="1">
      <alignment vertical="center"/>
    </xf>
    <xf numFmtId="0" fontId="42" fillId="0" borderId="0" xfId="0" applyFont="1" applyAlignment="1">
      <alignment vertical="center"/>
    </xf>
    <xf numFmtId="0" fontId="0" fillId="0" borderId="0" xfId="0"/>
    <xf numFmtId="164" fontId="0" fillId="0" borderId="0" xfId="1" applyNumberFormat="1" applyFont="1"/>
    <xf numFmtId="164" fontId="23" fillId="11" borderId="13" xfId="1" applyNumberFormat="1" applyFont="1" applyFill="1" applyBorder="1" applyAlignment="1">
      <alignment horizontal="center" vertical="center"/>
    </xf>
    <xf numFmtId="164" fontId="23" fillId="11" borderId="13" xfId="1" applyNumberFormat="1" applyFont="1" applyFill="1" applyBorder="1" applyAlignment="1">
      <alignment horizontal="center" vertical="center" wrapText="1"/>
    </xf>
    <xf numFmtId="164" fontId="0" fillId="0" borderId="0" xfId="0" applyNumberFormat="1"/>
    <xf numFmtId="164" fontId="24" fillId="12" borderId="13" xfId="1" applyNumberFormat="1" applyFont="1" applyFill="1" applyBorder="1" applyAlignment="1">
      <alignment horizontal="center" vertical="center"/>
    </xf>
    <xf numFmtId="164" fontId="0" fillId="28" borderId="0" xfId="1" applyNumberFormat="1" applyFont="1" applyFill="1"/>
    <xf numFmtId="164" fontId="25" fillId="29" borderId="13" xfId="1" applyNumberFormat="1" applyFont="1" applyFill="1" applyBorder="1" applyAlignment="1">
      <alignment horizontal="right"/>
    </xf>
    <xf numFmtId="164" fontId="25" fillId="29" borderId="0" xfId="1" applyNumberFormat="1" applyFont="1" applyFill="1" applyAlignment="1">
      <alignment horizontal="left"/>
    </xf>
    <xf numFmtId="164" fontId="26" fillId="29" borderId="13" xfId="1" applyNumberFormat="1" applyFont="1" applyFill="1" applyBorder="1" applyAlignment="1">
      <alignment horizontal="right"/>
    </xf>
    <xf numFmtId="43" fontId="0" fillId="0" borderId="0" xfId="1" applyFont="1"/>
    <xf numFmtId="0" fontId="14" fillId="0" borderId="0" xfId="0" applyFont="1"/>
    <xf numFmtId="164" fontId="17" fillId="0" borderId="0" xfId="1" applyNumberFormat="1" applyFont="1" applyAlignment="1">
      <alignment wrapText="1"/>
    </xf>
    <xf numFmtId="164" fontId="17" fillId="0" borderId="0" xfId="1" applyNumberFormat="1" applyFont="1"/>
    <xf numFmtId="0" fontId="17" fillId="0" borderId="0" xfId="0" applyFont="1"/>
    <xf numFmtId="0" fontId="17" fillId="0" borderId="0" xfId="4" applyFont="1" applyAlignment="1">
      <alignment vertical="top"/>
    </xf>
    <xf numFmtId="0" fontId="17" fillId="0" borderId="0" xfId="0" applyFont="1" applyAlignment="1">
      <alignment horizontal="center"/>
    </xf>
    <xf numFmtId="38" fontId="17" fillId="0" borderId="0" xfId="0" applyNumberFormat="1" applyFont="1" applyAlignment="1">
      <alignment horizontal="center"/>
    </xf>
    <xf numFmtId="0" fontId="17" fillId="10" borderId="0" xfId="0" applyFont="1" applyFill="1"/>
    <xf numFmtId="49" fontId="28" fillId="13" borderId="16" xfId="0" applyNumberFormat="1" applyFont="1" applyFill="1" applyBorder="1"/>
    <xf numFmtId="49" fontId="28" fillId="13" borderId="17" xfId="0" applyNumberFormat="1" applyFont="1" applyFill="1" applyBorder="1"/>
    <xf numFmtId="49" fontId="28" fillId="14" borderId="17" xfId="0" applyNumberFormat="1" applyFont="1" applyFill="1" applyBorder="1"/>
    <xf numFmtId="164" fontId="28" fillId="13" borderId="17" xfId="1" applyNumberFormat="1" applyFont="1" applyFill="1" applyBorder="1"/>
    <xf numFmtId="49" fontId="28" fillId="27" borderId="16" xfId="0" applyNumberFormat="1" applyFont="1" applyFill="1" applyBorder="1"/>
    <xf numFmtId="49" fontId="28" fillId="27" borderId="17" xfId="0" applyNumberFormat="1" applyFont="1" applyFill="1" applyBorder="1"/>
    <xf numFmtId="164" fontId="28" fillId="27" borderId="17" xfId="1" applyNumberFormat="1" applyFont="1" applyFill="1" applyBorder="1"/>
    <xf numFmtId="49" fontId="28" fillId="13" borderId="14" xfId="0" applyNumberFormat="1" applyFont="1" applyFill="1" applyBorder="1"/>
    <xf numFmtId="49" fontId="28" fillId="13" borderId="15" xfId="0" applyNumberFormat="1" applyFont="1" applyFill="1" applyBorder="1"/>
    <xf numFmtId="49" fontId="28" fillId="14" borderId="15" xfId="0" applyNumberFormat="1" applyFont="1" applyFill="1" applyBorder="1"/>
    <xf numFmtId="164" fontId="28" fillId="13" borderId="15" xfId="1" applyNumberFormat="1" applyFont="1" applyFill="1" applyBorder="1"/>
    <xf numFmtId="49" fontId="28" fillId="14" borderId="31" xfId="0" applyNumberFormat="1" applyFont="1" applyFill="1" applyBorder="1"/>
    <xf numFmtId="49" fontId="28" fillId="17" borderId="16" xfId="0" applyNumberFormat="1" applyFont="1" applyFill="1" applyBorder="1"/>
    <xf numFmtId="49" fontId="28" fillId="17" borderId="17" xfId="0" applyNumberFormat="1" applyFont="1" applyFill="1" applyBorder="1"/>
    <xf numFmtId="164" fontId="28" fillId="17" borderId="17" xfId="1" applyNumberFormat="1" applyFont="1" applyFill="1" applyBorder="1"/>
    <xf numFmtId="43" fontId="22" fillId="0" borderId="0" xfId="1" applyFont="1"/>
    <xf numFmtId="43" fontId="22" fillId="0" borderId="0" xfId="1" applyNumberFormat="1" applyFont="1"/>
    <xf numFmtId="43" fontId="31" fillId="0" borderId="0" xfId="1" applyFont="1" applyAlignment="1">
      <alignment horizontal="center"/>
    </xf>
    <xf numFmtId="0" fontId="50" fillId="0" borderId="0" xfId="0" applyFont="1"/>
    <xf numFmtId="164" fontId="51" fillId="0" borderId="0" xfId="1" applyNumberFormat="1" applyFont="1"/>
    <xf numFmtId="164" fontId="51" fillId="0" borderId="0" xfId="0" applyNumberFormat="1" applyFont="1"/>
    <xf numFmtId="0" fontId="22" fillId="0" borderId="0" xfId="0" applyFont="1" applyFill="1" applyBorder="1"/>
    <xf numFmtId="9" fontId="22" fillId="0" borderId="0" xfId="2" applyFont="1" applyFill="1" applyBorder="1"/>
    <xf numFmtId="167" fontId="7" fillId="0" borderId="0" xfId="3" applyNumberFormat="1" applyFill="1" applyBorder="1"/>
    <xf numFmtId="9" fontId="50" fillId="0" borderId="0" xfId="2" applyFont="1"/>
    <xf numFmtId="165" fontId="26" fillId="12" borderId="0" xfId="2" applyNumberFormat="1" applyFont="1" applyFill="1" applyBorder="1" applyAlignment="1">
      <alignment horizontal="right"/>
    </xf>
    <xf numFmtId="164" fontId="23" fillId="11" borderId="0" xfId="1" quotePrefix="1" applyNumberFormat="1" applyFont="1" applyFill="1" applyBorder="1" applyAlignment="1">
      <alignment horizontal="center" vertical="center"/>
    </xf>
    <xf numFmtId="164" fontId="23" fillId="11" borderId="0" xfId="1" applyNumberFormat="1" applyFont="1" applyFill="1" applyBorder="1" applyAlignment="1">
      <alignment horizontal="center" wrapText="1"/>
    </xf>
    <xf numFmtId="164" fontId="24" fillId="12" borderId="0" xfId="1" quotePrefix="1" applyNumberFormat="1" applyFont="1" applyFill="1" applyBorder="1" applyAlignment="1">
      <alignment horizontal="center" vertical="center"/>
    </xf>
    <xf numFmtId="164" fontId="25" fillId="0" borderId="0" xfId="1" applyNumberFormat="1" applyFont="1" applyFill="1" applyBorder="1" applyAlignment="1">
      <alignment horizontal="left"/>
    </xf>
    <xf numFmtId="0" fontId="0" fillId="0" borderId="0" xfId="0" applyFill="1" applyBorder="1"/>
    <xf numFmtId="164" fontId="22" fillId="0" borderId="0" xfId="1" applyNumberFormat="1" applyFont="1" applyFill="1" applyBorder="1"/>
    <xf numFmtId="0" fontId="16" fillId="0" borderId="0" xfId="0" applyFont="1" applyFill="1" applyBorder="1"/>
    <xf numFmtId="164" fontId="0" fillId="0" borderId="0" xfId="1" applyNumberFormat="1" applyFont="1" applyFill="1" applyBorder="1"/>
    <xf numFmtId="49" fontId="28" fillId="0" borderId="0" xfId="0" applyNumberFormat="1" applyFont="1" applyFill="1" applyBorder="1"/>
    <xf numFmtId="164" fontId="28" fillId="0" borderId="0" xfId="1" applyNumberFormat="1" applyFont="1" applyFill="1" applyBorder="1"/>
    <xf numFmtId="164" fontId="23" fillId="0" borderId="0" xfId="1" applyNumberFormat="1" applyFont="1" applyFill="1" applyBorder="1" applyAlignment="1">
      <alignment horizontal="center" vertical="center"/>
    </xf>
    <xf numFmtId="164" fontId="23" fillId="0" borderId="0" xfId="1" applyNumberFormat="1" applyFont="1" applyFill="1" applyBorder="1" applyAlignment="1">
      <alignment horizontal="center" vertical="center" wrapText="1"/>
    </xf>
    <xf numFmtId="164" fontId="24" fillId="0" borderId="0" xfId="1" applyNumberFormat="1" applyFont="1" applyFill="1" applyBorder="1" applyAlignment="1">
      <alignment horizontal="center" vertical="center"/>
    </xf>
    <xf numFmtId="164" fontId="25" fillId="0" borderId="0" xfId="1" applyNumberFormat="1" applyFont="1" applyFill="1" applyBorder="1" applyAlignment="1">
      <alignment horizontal="right"/>
    </xf>
    <xf numFmtId="164" fontId="26" fillId="0" borderId="0" xfId="1" applyNumberFormat="1" applyFont="1" applyFill="1" applyBorder="1" applyAlignment="1">
      <alignment horizontal="right"/>
    </xf>
    <xf numFmtId="164" fontId="24" fillId="26" borderId="0" xfId="1" applyNumberFormat="1" applyFont="1" applyFill="1" applyBorder="1" applyAlignment="1" applyProtection="1">
      <alignment horizontal="center" vertical="center" wrapText="1"/>
    </xf>
    <xf numFmtId="0" fontId="0" fillId="28" borderId="0" xfId="0" applyFill="1"/>
    <xf numFmtId="164" fontId="50" fillId="0" borderId="0" xfId="1" applyNumberFormat="1" applyFont="1"/>
    <xf numFmtId="164" fontId="50" fillId="0" borderId="0" xfId="0" applyNumberFormat="1" applyFont="1"/>
    <xf numFmtId="164" fontId="22" fillId="0" borderId="0" xfId="0" applyNumberFormat="1" applyFont="1" applyAlignment="1">
      <alignment horizontal="center"/>
    </xf>
    <xf numFmtId="164" fontId="22" fillId="0" borderId="0" xfId="0" applyNumberFormat="1" applyFont="1" applyAlignment="1">
      <alignment horizontal="center" wrapText="1"/>
    </xf>
    <xf numFmtId="0" fontId="48" fillId="0" borderId="0" xfId="0" applyFont="1" applyFill="1" applyBorder="1" applyAlignment="1">
      <alignment wrapText="1"/>
    </xf>
    <xf numFmtId="4" fontId="17" fillId="0" borderId="14" xfId="0" applyNumberFormat="1" applyFont="1" applyFill="1" applyBorder="1" applyAlignment="1">
      <alignment wrapText="1"/>
    </xf>
    <xf numFmtId="4" fontId="17" fillId="0" borderId="15" xfId="0" applyNumberFormat="1" applyFont="1" applyFill="1" applyBorder="1" applyAlignment="1">
      <alignment wrapText="1"/>
    </xf>
    <xf numFmtId="0" fontId="0" fillId="0" borderId="0" xfId="0" applyAlignment="1">
      <alignment wrapText="1"/>
    </xf>
    <xf numFmtId="4" fontId="48" fillId="0" borderId="0" xfId="0" applyNumberFormat="1" applyFont="1" applyFill="1" applyBorder="1" applyAlignment="1">
      <alignment wrapText="1"/>
    </xf>
    <xf numFmtId="0" fontId="47" fillId="0" borderId="0" xfId="0" applyFont="1" applyFill="1" applyBorder="1" applyAlignment="1">
      <alignment wrapText="1"/>
    </xf>
    <xf numFmtId="8" fontId="48" fillId="0" borderId="0" xfId="0" applyNumberFormat="1" applyFont="1" applyFill="1" applyBorder="1" applyAlignment="1">
      <alignment wrapText="1"/>
    </xf>
    <xf numFmtId="170" fontId="22" fillId="0" borderId="0" xfId="0" applyNumberFormat="1" applyFont="1"/>
    <xf numFmtId="164" fontId="49" fillId="0" borderId="0" xfId="1" applyNumberFormat="1" applyFont="1"/>
    <xf numFmtId="43" fontId="29" fillId="5" borderId="48" xfId="1" applyFont="1" applyFill="1" applyBorder="1" applyAlignment="1">
      <alignment horizontal="center" vertical="center" wrapText="1"/>
    </xf>
    <xf numFmtId="43" fontId="1" fillId="10" borderId="10" xfId="1" applyFont="1" applyFill="1" applyBorder="1" applyAlignment="1">
      <alignment horizontal="center" wrapText="1"/>
    </xf>
    <xf numFmtId="164" fontId="0" fillId="10" borderId="0" xfId="1" applyNumberFormat="1" applyFont="1" applyFill="1"/>
    <xf numFmtId="164" fontId="1" fillId="0" borderId="0" xfId="1" applyNumberFormat="1" applyFont="1" applyFill="1"/>
    <xf numFmtId="16" fontId="0" fillId="0" borderId="0" xfId="0" applyNumberFormat="1" applyFill="1" applyBorder="1"/>
    <xf numFmtId="169" fontId="0" fillId="0" borderId="0" xfId="0" applyNumberFormat="1" applyFill="1" applyBorder="1"/>
    <xf numFmtId="49" fontId="44" fillId="0" borderId="0" xfId="0" applyNumberFormat="1" applyFont="1" applyFill="1" applyBorder="1" applyAlignment="1" applyProtection="1">
      <alignment horizontal="left"/>
    </xf>
    <xf numFmtId="169" fontId="44" fillId="0" borderId="0" xfId="0" applyNumberFormat="1" applyFont="1" applyFill="1" applyBorder="1" applyAlignment="1" applyProtection="1">
      <alignment horizontal="right"/>
    </xf>
    <xf numFmtId="169" fontId="45" fillId="0" borderId="0" xfId="0" applyNumberFormat="1" applyFont="1" applyFill="1" applyBorder="1" applyAlignment="1" applyProtection="1">
      <alignment horizontal="right"/>
    </xf>
    <xf numFmtId="0" fontId="0" fillId="10" borderId="0" xfId="0" applyFill="1"/>
    <xf numFmtId="0" fontId="0" fillId="0" borderId="0" xfId="0" applyAlignment="1">
      <alignment horizontal="center"/>
    </xf>
    <xf numFmtId="167" fontId="0" fillId="0" borderId="0" xfId="26" applyNumberFormat="1" applyFont="1"/>
    <xf numFmtId="0" fontId="17" fillId="0" borderId="0" xfId="0" applyFont="1" applyFill="1"/>
    <xf numFmtId="167" fontId="17" fillId="0" borderId="0" xfId="26" applyNumberFormat="1" applyFont="1" applyFill="1"/>
    <xf numFmtId="167" fontId="0" fillId="0" borderId="0" xfId="0" applyNumberFormat="1"/>
    <xf numFmtId="164" fontId="64" fillId="0" borderId="0" xfId="25" applyNumberFormat="1" applyFont="1"/>
    <xf numFmtId="164" fontId="17" fillId="0" borderId="0" xfId="25" applyNumberFormat="1" applyFont="1" applyFill="1" applyBorder="1"/>
    <xf numFmtId="0" fontId="17" fillId="0" borderId="0" xfId="0" applyFont="1" applyAlignment="1">
      <alignment horizontal="left"/>
    </xf>
    <xf numFmtId="14" fontId="17" fillId="0" borderId="0" xfId="0" applyNumberFormat="1" applyFont="1"/>
    <xf numFmtId="164" fontId="64" fillId="0" borderId="10" xfId="25" applyNumberFormat="1" applyFont="1" applyFill="1" applyBorder="1"/>
    <xf numFmtId="164" fontId="17" fillId="0" borderId="0" xfId="25" applyNumberFormat="1" applyFill="1" applyBorder="1"/>
    <xf numFmtId="14" fontId="0" fillId="0" borderId="0" xfId="0" applyNumberFormat="1"/>
    <xf numFmtId="164" fontId="17" fillId="0" borderId="0" xfId="0" applyNumberFormat="1" applyFont="1"/>
    <xf numFmtId="0" fontId="0" fillId="0" borderId="10" xfId="0" applyBorder="1"/>
    <xf numFmtId="164" fontId="0" fillId="0" borderId="0" xfId="25" applyNumberFormat="1" applyFont="1"/>
    <xf numFmtId="14" fontId="65" fillId="0" borderId="0" xfId="0" applyNumberFormat="1" applyFont="1" applyAlignment="1">
      <alignment horizontal="center"/>
    </xf>
    <xf numFmtId="167" fontId="30" fillId="0" borderId="0" xfId="26" applyNumberFormat="1" applyFont="1"/>
    <xf numFmtId="167" fontId="66" fillId="0" borderId="0" xfId="26" applyNumberFormat="1" applyFont="1"/>
    <xf numFmtId="164" fontId="0" fillId="0" borderId="0" xfId="1" applyNumberFormat="1" applyFont="1" applyFill="1"/>
    <xf numFmtId="164" fontId="0" fillId="0" borderId="12" xfId="1" applyNumberFormat="1" applyFont="1" applyBorder="1"/>
    <xf numFmtId="10" fontId="2" fillId="0" borderId="0" xfId="2" applyNumberFormat="1" applyFont="1"/>
    <xf numFmtId="171" fontId="3" fillId="0" borderId="0" xfId="1" applyNumberFormat="1" applyFont="1"/>
    <xf numFmtId="165" fontId="0" fillId="0" borderId="0" xfId="2" applyNumberFormat="1" applyFont="1"/>
    <xf numFmtId="164" fontId="32" fillId="0" borderId="23" xfId="1" applyNumberFormat="1" applyFont="1" applyFill="1" applyBorder="1"/>
    <xf numFmtId="164" fontId="32" fillId="0" borderId="20" xfId="1" applyNumberFormat="1" applyFont="1" applyFill="1" applyBorder="1"/>
    <xf numFmtId="164" fontId="32" fillId="0" borderId="21" xfId="1" applyNumberFormat="1" applyFont="1" applyFill="1" applyBorder="1"/>
    <xf numFmtId="164" fontId="54" fillId="0" borderId="0" xfId="1" applyNumberFormat="1" applyFont="1" applyFill="1" applyBorder="1" applyAlignment="1">
      <alignment horizontal="center" wrapText="1"/>
    </xf>
    <xf numFmtId="164" fontId="52" fillId="0" borderId="0" xfId="1" applyNumberFormat="1" applyFont="1" applyFill="1" applyBorder="1" applyAlignment="1">
      <alignment horizontal="center" wrapText="1"/>
    </xf>
    <xf numFmtId="164" fontId="52" fillId="0" borderId="0" xfId="1" applyNumberFormat="1" applyFont="1" applyFill="1" applyBorder="1" applyAlignment="1">
      <alignment horizontal="left"/>
    </xf>
    <xf numFmtId="164" fontId="52" fillId="0" borderId="47" xfId="1" applyNumberFormat="1" applyFont="1" applyFill="1" applyBorder="1" applyAlignment="1">
      <alignment horizontal="left"/>
    </xf>
    <xf numFmtId="164" fontId="54" fillId="0" borderId="0" xfId="1" applyNumberFormat="1" applyFont="1" applyFill="1" applyBorder="1" applyAlignment="1">
      <alignment horizontal="left"/>
    </xf>
    <xf numFmtId="164" fontId="56" fillId="0" borderId="0" xfId="1" applyNumberFormat="1" applyFont="1" applyFill="1" applyBorder="1"/>
    <xf numFmtId="164" fontId="56" fillId="0" borderId="0" xfId="1" applyNumberFormat="1" applyFont="1" applyFill="1" applyBorder="1" applyAlignment="1"/>
    <xf numFmtId="164" fontId="57" fillId="0" borderId="0" xfId="1" applyNumberFormat="1" applyFont="1" applyFill="1" applyBorder="1"/>
    <xf numFmtId="164" fontId="58" fillId="0" borderId="0" xfId="1" applyNumberFormat="1" applyFont="1" applyFill="1" applyBorder="1"/>
    <xf numFmtId="164" fontId="32" fillId="0" borderId="26" xfId="1" applyNumberFormat="1" applyFont="1" applyFill="1" applyBorder="1"/>
    <xf numFmtId="164" fontId="32" fillId="0" borderId="10" xfId="1" applyNumberFormat="1" applyFont="1" applyFill="1" applyBorder="1"/>
    <xf numFmtId="164" fontId="54" fillId="0" borderId="0" xfId="1" applyNumberFormat="1" applyFont="1" applyFill="1" applyBorder="1" applyAlignment="1">
      <alignment horizontal="right"/>
    </xf>
    <xf numFmtId="164" fontId="55" fillId="0" borderId="0" xfId="1" applyNumberFormat="1" applyFont="1" applyFill="1" applyBorder="1" applyAlignment="1">
      <alignment horizontal="right"/>
    </xf>
    <xf numFmtId="164" fontId="32" fillId="0" borderId="0" xfId="1" applyNumberFormat="1" applyFont="1" applyFill="1" applyBorder="1"/>
    <xf numFmtId="164" fontId="7" fillId="0" borderId="0" xfId="3" applyNumberFormat="1" applyFill="1" applyBorder="1"/>
    <xf numFmtId="164" fontId="32" fillId="0" borderId="25" xfId="1" applyNumberFormat="1" applyFont="1" applyFill="1" applyBorder="1"/>
    <xf numFmtId="164" fontId="52" fillId="0" borderId="0" xfId="1" quotePrefix="1" applyNumberFormat="1" applyFont="1" applyFill="1" applyBorder="1" applyAlignment="1">
      <alignment horizontal="center" wrapText="1"/>
    </xf>
    <xf numFmtId="164" fontId="55" fillId="0" borderId="0" xfId="1" applyNumberFormat="1" applyFont="1" applyFill="1" applyBorder="1" applyAlignment="1">
      <alignment horizontal="center" wrapText="1"/>
    </xf>
    <xf numFmtId="164" fontId="52" fillId="0" borderId="0" xfId="1" applyNumberFormat="1" applyFont="1" applyFill="1" applyBorder="1" applyAlignment="1">
      <alignment horizontal="left" vertical="top"/>
    </xf>
    <xf numFmtId="164" fontId="52" fillId="0" borderId="0" xfId="1" applyNumberFormat="1" applyFont="1" applyFill="1" applyBorder="1" applyAlignment="1">
      <alignment horizontal="right"/>
    </xf>
    <xf numFmtId="164" fontId="53" fillId="0" borderId="0" xfId="1" applyNumberFormat="1" applyFont="1" applyFill="1" applyBorder="1" applyAlignment="1">
      <alignment horizontal="right"/>
    </xf>
    <xf numFmtId="164" fontId="59" fillId="0" borderId="0" xfId="1" applyNumberFormat="1" applyFont="1" applyFill="1" applyBorder="1"/>
    <xf numFmtId="164" fontId="60" fillId="0" borderId="0" xfId="1" applyNumberFormat="1" applyFont="1" applyFill="1" applyBorder="1"/>
    <xf numFmtId="164" fontId="32" fillId="0" borderId="47" xfId="1" applyNumberFormat="1" applyFont="1" applyFill="1" applyBorder="1"/>
    <xf numFmtId="164" fontId="32" fillId="0" borderId="49" xfId="1" applyNumberFormat="1" applyFont="1" applyFill="1" applyBorder="1"/>
    <xf numFmtId="164" fontId="54" fillId="0" borderId="0" xfId="1" applyNumberFormat="1" applyFont="1" applyFill="1" applyBorder="1" applyAlignment="1">
      <alignment horizontal="center"/>
    </xf>
    <xf numFmtId="164" fontId="52" fillId="0" borderId="49" xfId="1" applyNumberFormat="1" applyFont="1" applyFill="1" applyBorder="1" applyAlignment="1">
      <alignment horizontal="left"/>
    </xf>
    <xf numFmtId="164" fontId="0" fillId="0" borderId="0" xfId="0" applyNumberFormat="1" applyFill="1" applyBorder="1"/>
    <xf numFmtId="164" fontId="2" fillId="0" borderId="0" xfId="2" applyNumberFormat="1" applyFont="1"/>
    <xf numFmtId="164" fontId="52" fillId="0" borderId="20" xfId="1" applyNumberFormat="1" applyFont="1" applyFill="1" applyBorder="1" applyAlignment="1">
      <alignment horizontal="left"/>
    </xf>
    <xf numFmtId="164" fontId="52" fillId="0" borderId="10" xfId="1" applyNumberFormat="1" applyFont="1" applyFill="1" applyBorder="1" applyAlignment="1">
      <alignment horizontal="left"/>
    </xf>
    <xf numFmtId="0" fontId="20" fillId="0" borderId="0" xfId="0" applyFont="1"/>
    <xf numFmtId="0" fontId="21" fillId="0" borderId="0" xfId="0" applyFont="1"/>
    <xf numFmtId="0" fontId="20" fillId="0" borderId="10" xfId="0" applyFont="1" applyBorder="1"/>
    <xf numFmtId="0" fontId="20" fillId="0" borderId="10" xfId="0" applyFont="1" applyBorder="1" applyAlignment="1">
      <alignment horizontal="right" wrapText="1"/>
    </xf>
    <xf numFmtId="3" fontId="21" fillId="0" borderId="0" xfId="0" applyNumberFormat="1" applyFont="1" applyAlignment="1">
      <alignment horizontal="right"/>
    </xf>
    <xf numFmtId="6" fontId="0" fillId="0" borderId="0" xfId="0" applyNumberFormat="1"/>
    <xf numFmtId="6" fontId="21" fillId="0" borderId="0" xfId="0" applyNumberFormat="1" applyFont="1" applyAlignment="1">
      <alignment horizontal="right"/>
    </xf>
    <xf numFmtId="6" fontId="21" fillId="0" borderId="0" xfId="0" applyNumberFormat="1" applyFont="1"/>
    <xf numFmtId="10" fontId="21" fillId="0" borderId="0" xfId="0" applyNumberFormat="1" applyFont="1"/>
    <xf numFmtId="6" fontId="21" fillId="0" borderId="10" xfId="0" applyNumberFormat="1" applyFont="1" applyBorder="1"/>
    <xf numFmtId="10" fontId="21" fillId="0" borderId="10" xfId="0" applyNumberFormat="1" applyFont="1" applyBorder="1"/>
    <xf numFmtId="3" fontId="21" fillId="0" borderId="11" xfId="0" applyNumberFormat="1" applyFont="1" applyBorder="1"/>
    <xf numFmtId="6" fontId="21" fillId="0" borderId="11" xfId="0" applyNumberFormat="1" applyFont="1" applyBorder="1"/>
    <xf numFmtId="10" fontId="21" fillId="0" borderId="11" xfId="0" applyNumberFormat="1" applyFont="1" applyBorder="1"/>
    <xf numFmtId="6" fontId="21" fillId="0" borderId="12" xfId="0" applyNumberFormat="1" applyFont="1" applyBorder="1"/>
    <xf numFmtId="6" fontId="0" fillId="0" borderId="0" xfId="0" applyNumberFormat="1" applyFill="1" applyBorder="1"/>
    <xf numFmtId="43" fontId="0" fillId="0" borderId="0" xfId="0" applyNumberFormat="1" applyFill="1" applyBorder="1"/>
    <xf numFmtId="6" fontId="21" fillId="0" borderId="0" xfId="0" applyNumberFormat="1" applyFont="1" applyFill="1" applyBorder="1"/>
    <xf numFmtId="164" fontId="32" fillId="0" borderId="0" xfId="1" applyNumberFormat="1" applyFont="1" applyFill="1" applyBorder="1" applyAlignment="1">
      <alignment horizontal="center"/>
    </xf>
    <xf numFmtId="164" fontId="2" fillId="0" borderId="0" xfId="1" applyNumberFormat="1" applyFont="1" applyFill="1"/>
    <xf numFmtId="164" fontId="7" fillId="35" borderId="0" xfId="34" applyNumberFormat="1"/>
    <xf numFmtId="10" fontId="7" fillId="35" borderId="0" xfId="34" applyNumberFormat="1"/>
    <xf numFmtId="0" fontId="67" fillId="0" borderId="0" xfId="4" applyFont="1" applyFill="1"/>
    <xf numFmtId="164" fontId="67" fillId="0" borderId="0" xfId="25" applyNumberFormat="1" applyFont="1" applyFill="1"/>
    <xf numFmtId="0" fontId="67" fillId="0" borderId="0" xfId="4" applyFont="1" applyFill="1" applyAlignment="1">
      <alignment horizontal="center"/>
    </xf>
    <xf numFmtId="10" fontId="68" fillId="0" borderId="0" xfId="17" applyNumberFormat="1" applyFont="1" applyFill="1"/>
    <xf numFmtId="164" fontId="67" fillId="0" borderId="0" xfId="4" applyNumberFormat="1" applyFont="1" applyFill="1"/>
    <xf numFmtId="165" fontId="67" fillId="0" borderId="0" xfId="17" applyNumberFormat="1" applyFont="1" applyFill="1"/>
    <xf numFmtId="0" fontId="67" fillId="0" borderId="0" xfId="4" applyFont="1" applyFill="1" applyAlignment="1">
      <alignment horizontal="center" wrapText="1"/>
    </xf>
    <xf numFmtId="43" fontId="67" fillId="0" borderId="0" xfId="25" applyFont="1" applyFill="1" applyAlignment="1">
      <alignment horizontal="center" wrapText="1"/>
    </xf>
    <xf numFmtId="164" fontId="7" fillId="0" borderId="0" xfId="34" applyNumberFormat="1" applyFill="1"/>
    <xf numFmtId="43" fontId="69" fillId="0" borderId="0" xfId="25" applyFont="1" applyFill="1" applyAlignment="1">
      <alignment horizontal="center" wrapText="1"/>
    </xf>
    <xf numFmtId="164" fontId="69" fillId="0" borderId="0" xfId="25" applyNumberFormat="1" applyFont="1" applyFill="1" applyAlignment="1">
      <alignment horizontal="center" wrapText="1"/>
    </xf>
    <xf numFmtId="0" fontId="70" fillId="0" borderId="0" xfId="4" applyFont="1" applyFill="1" applyAlignment="1">
      <alignment horizontal="center"/>
    </xf>
    <xf numFmtId="0" fontId="71" fillId="0" borderId="0" xfId="4" applyFont="1" applyFill="1"/>
    <xf numFmtId="0" fontId="70" fillId="0" borderId="0" xfId="4" applyFont="1" applyFill="1"/>
    <xf numFmtId="164" fontId="70" fillId="0" borderId="0" xfId="25" applyNumberFormat="1" applyFont="1" applyFill="1"/>
    <xf numFmtId="164" fontId="70" fillId="0" borderId="0" xfId="4" applyNumberFormat="1" applyFont="1" applyFill="1"/>
    <xf numFmtId="164" fontId="69" fillId="0" borderId="0" xfId="25" applyNumberFormat="1" applyFont="1" applyFill="1"/>
    <xf numFmtId="164" fontId="69" fillId="0" borderId="0" xfId="4" applyNumberFormat="1" applyFont="1" applyFill="1"/>
    <xf numFmtId="0" fontId="72" fillId="0" borderId="0" xfId="4" applyFont="1" applyFill="1"/>
    <xf numFmtId="0" fontId="73" fillId="0" borderId="0" xfId="4" applyFont="1" applyFill="1"/>
    <xf numFmtId="164" fontId="69" fillId="0" borderId="0" xfId="25" applyNumberFormat="1" applyFont="1" applyFill="1" applyBorder="1"/>
    <xf numFmtId="164" fontId="74" fillId="0" borderId="0" xfId="25" applyNumberFormat="1" applyFont="1" applyFill="1"/>
    <xf numFmtId="0" fontId="70" fillId="0" borderId="0" xfId="4" applyFont="1" applyFill="1" applyAlignment="1">
      <alignment horizontal="center" wrapText="1"/>
    </xf>
    <xf numFmtId="164" fontId="70" fillId="0" borderId="0" xfId="25" applyNumberFormat="1" applyFont="1" applyFill="1" applyBorder="1"/>
    <xf numFmtId="43" fontId="69" fillId="0" borderId="0" xfId="25" applyFont="1" applyFill="1" applyBorder="1" applyAlignment="1">
      <alignment horizontal="center" wrapText="1"/>
    </xf>
    <xf numFmtId="164" fontId="69" fillId="0" borderId="0" xfId="25" applyNumberFormat="1" applyFont="1" applyFill="1" applyBorder="1" applyAlignment="1">
      <alignment horizontal="center" wrapText="1"/>
    </xf>
    <xf numFmtId="0" fontId="70" fillId="0" borderId="0" xfId="4" applyFont="1" applyFill="1" applyBorder="1" applyAlignment="1">
      <alignment horizontal="center"/>
    </xf>
    <xf numFmtId="0" fontId="70" fillId="0" borderId="0" xfId="0" applyFont="1" applyFill="1" applyBorder="1"/>
    <xf numFmtId="0" fontId="70" fillId="0" borderId="0" xfId="4" applyFont="1" applyFill="1" applyBorder="1"/>
    <xf numFmtId="164" fontId="70" fillId="0" borderId="0" xfId="1" applyNumberFormat="1" applyFont="1" applyFill="1" applyBorder="1"/>
    <xf numFmtId="0" fontId="70" fillId="0" borderId="23" xfId="0" applyFont="1" applyFill="1" applyBorder="1"/>
    <xf numFmtId="0" fontId="70" fillId="0" borderId="20" xfId="0" applyFont="1" applyFill="1" applyBorder="1"/>
    <xf numFmtId="0" fontId="70" fillId="0" borderId="20" xfId="4" applyFont="1" applyFill="1" applyBorder="1"/>
    <xf numFmtId="164" fontId="70" fillId="0" borderId="20" xfId="1" applyNumberFormat="1" applyFont="1" applyFill="1" applyBorder="1"/>
    <xf numFmtId="164" fontId="70" fillId="0" borderId="20" xfId="25" applyNumberFormat="1" applyFont="1" applyFill="1" applyBorder="1"/>
    <xf numFmtId="0" fontId="70" fillId="0" borderId="26" xfId="0" applyFont="1" applyFill="1" applyBorder="1"/>
    <xf numFmtId="0" fontId="70" fillId="0" borderId="10" xfId="0" applyFont="1" applyFill="1" applyBorder="1"/>
    <xf numFmtId="0" fontId="70" fillId="0" borderId="10" xfId="4" applyFont="1" applyFill="1" applyBorder="1"/>
    <xf numFmtId="164" fontId="70" fillId="0" borderId="10" xfId="1" applyNumberFormat="1" applyFont="1" applyFill="1" applyBorder="1"/>
    <xf numFmtId="164" fontId="70" fillId="0" borderId="10" xfId="25" applyNumberFormat="1" applyFont="1" applyFill="1" applyBorder="1"/>
    <xf numFmtId="0" fontId="70" fillId="0" borderId="50" xfId="0" applyFont="1" applyFill="1" applyBorder="1"/>
    <xf numFmtId="0" fontId="70" fillId="0" borderId="33" xfId="0" applyFont="1" applyFill="1" applyBorder="1"/>
    <xf numFmtId="0" fontId="70" fillId="0" borderId="33" xfId="4" applyFont="1" applyFill="1" applyBorder="1"/>
    <xf numFmtId="164" fontId="70" fillId="0" borderId="33" xfId="1" applyNumberFormat="1" applyFont="1" applyFill="1" applyBorder="1"/>
    <xf numFmtId="164" fontId="70" fillId="0" borderId="33" xfId="25" applyNumberFormat="1" applyFont="1" applyFill="1" applyBorder="1"/>
    <xf numFmtId="0" fontId="70" fillId="0" borderId="21" xfId="4" applyFont="1" applyFill="1" applyBorder="1" applyAlignment="1">
      <alignment wrapText="1"/>
    </xf>
    <xf numFmtId="0" fontId="70" fillId="0" borderId="0" xfId="4" applyFont="1" applyFill="1" applyBorder="1" applyAlignment="1">
      <alignment wrapText="1"/>
    </xf>
    <xf numFmtId="0" fontId="70" fillId="0" borderId="49" xfId="4" applyFont="1" applyFill="1" applyBorder="1" applyAlignment="1">
      <alignment wrapText="1"/>
    </xf>
    <xf numFmtId="164" fontId="70" fillId="0" borderId="0" xfId="4" applyNumberFormat="1" applyFont="1" applyFill="1" applyBorder="1" applyAlignment="1">
      <alignment wrapText="1"/>
    </xf>
    <xf numFmtId="0" fontId="70" fillId="0" borderId="51" xfId="4" applyFont="1" applyFill="1" applyBorder="1" applyAlignment="1">
      <alignment wrapText="1"/>
    </xf>
    <xf numFmtId="4" fontId="0" fillId="0" borderId="0" xfId="0" applyNumberFormat="1"/>
    <xf numFmtId="0" fontId="75" fillId="13" borderId="14" xfId="0" applyFont="1" applyFill="1" applyBorder="1"/>
    <xf numFmtId="0" fontId="75" fillId="14" borderId="14" xfId="0" applyFont="1" applyFill="1" applyBorder="1"/>
    <xf numFmtId="0" fontId="76" fillId="0" borderId="0" xfId="0" applyFont="1"/>
    <xf numFmtId="164" fontId="76" fillId="0" borderId="0" xfId="1" applyNumberFormat="1" applyFont="1"/>
    <xf numFmtId="4" fontId="75" fillId="13" borderId="14" xfId="0" applyNumberFormat="1" applyFont="1" applyFill="1" applyBorder="1"/>
    <xf numFmtId="0" fontId="77" fillId="0" borderId="0" xfId="0" applyFont="1"/>
    <xf numFmtId="0" fontId="77" fillId="0" borderId="0" xfId="0" applyFont="1" applyFill="1"/>
    <xf numFmtId="0" fontId="78" fillId="0" borderId="0" xfId="0" applyFont="1" applyFill="1" applyBorder="1" applyAlignment="1">
      <alignment horizontal="left"/>
    </xf>
    <xf numFmtId="0" fontId="78" fillId="0" borderId="0" xfId="0" applyFont="1" applyFill="1" applyBorder="1" applyAlignment="1">
      <alignment horizontal="left" wrapText="1"/>
    </xf>
    <xf numFmtId="164" fontId="78" fillId="0" borderId="0" xfId="1" applyNumberFormat="1" applyFont="1" applyFill="1" applyBorder="1" applyAlignment="1">
      <alignment horizontal="left"/>
    </xf>
    <xf numFmtId="164" fontId="79" fillId="0" borderId="0" xfId="1" applyNumberFormat="1" applyFont="1" applyFill="1" applyBorder="1" applyAlignment="1">
      <alignment horizontal="left"/>
    </xf>
    <xf numFmtId="43" fontId="77" fillId="0" borderId="0" xfId="1" applyFont="1"/>
    <xf numFmtId="164" fontId="77" fillId="0" borderId="0" xfId="1" applyNumberFormat="1" applyFont="1" applyBorder="1"/>
    <xf numFmtId="164" fontId="77" fillId="0" borderId="0" xfId="1" applyNumberFormat="1" applyFont="1"/>
    <xf numFmtId="164" fontId="80" fillId="0" borderId="0" xfId="1" applyNumberFormat="1" applyFont="1" applyBorder="1" applyAlignment="1">
      <alignment horizontal="center" wrapText="1"/>
    </xf>
    <xf numFmtId="164" fontId="81" fillId="0" borderId="0" xfId="1" applyNumberFormat="1" applyFont="1"/>
    <xf numFmtId="0" fontId="82" fillId="0" borderId="0" xfId="0" applyFont="1"/>
    <xf numFmtId="164" fontId="83" fillId="0" borderId="0" xfId="1" applyNumberFormat="1" applyFont="1" applyFill="1" applyBorder="1" applyAlignment="1">
      <alignment horizontal="center" wrapText="1"/>
    </xf>
    <xf numFmtId="164" fontId="83" fillId="0" borderId="0" xfId="1" applyNumberFormat="1" applyFont="1" applyFill="1" applyBorder="1" applyAlignment="1">
      <alignment horizontal="left" vertical="top"/>
    </xf>
    <xf numFmtId="164" fontId="84" fillId="0" borderId="0" xfId="1" applyNumberFormat="1" applyFont="1" applyFill="1" applyBorder="1"/>
    <xf numFmtId="164" fontId="82" fillId="0" borderId="0" xfId="1" applyNumberFormat="1" applyFont="1"/>
    <xf numFmtId="164" fontId="70" fillId="0" borderId="0" xfId="1" applyNumberFormat="1" applyFont="1" applyFill="1" applyBorder="1" applyAlignment="1">
      <alignment horizontal="center"/>
    </xf>
    <xf numFmtId="164" fontId="82" fillId="0" borderId="0" xfId="1" applyNumberFormat="1" applyFont="1" applyAlignment="1">
      <alignment horizontal="center"/>
    </xf>
    <xf numFmtId="0" fontId="82" fillId="0" borderId="0" xfId="0" applyFont="1" applyAlignment="1">
      <alignment horizontal="center"/>
    </xf>
    <xf numFmtId="164" fontId="85" fillId="0" borderId="0" xfId="1" applyNumberFormat="1" applyFont="1" applyAlignment="1">
      <alignment horizontal="center" wrapText="1"/>
    </xf>
    <xf numFmtId="164" fontId="82" fillId="0" borderId="0" xfId="1" applyNumberFormat="1" applyFont="1" applyAlignment="1">
      <alignment horizontal="center" wrapText="1"/>
    </xf>
    <xf numFmtId="0" fontId="82" fillId="0" borderId="0" xfId="0" applyFont="1" applyAlignment="1">
      <alignment horizontal="center" wrapText="1"/>
    </xf>
    <xf numFmtId="164" fontId="85" fillId="0" borderId="0" xfId="1" applyNumberFormat="1" applyFont="1"/>
    <xf numFmtId="164" fontId="86" fillId="0" borderId="0" xfId="1" applyNumberFormat="1" applyFont="1"/>
    <xf numFmtId="43" fontId="0" fillId="0" borderId="0" xfId="1" applyFont="1" applyFill="1"/>
    <xf numFmtId="43" fontId="28" fillId="0" borderId="0" xfId="1" applyFont="1" applyFill="1" applyBorder="1"/>
    <xf numFmtId="0" fontId="28" fillId="0" borderId="14" xfId="0" applyFont="1" applyFill="1" applyBorder="1"/>
    <xf numFmtId="164" fontId="3" fillId="0" borderId="0" xfId="1" applyNumberFormat="1" applyFont="1" applyFill="1"/>
    <xf numFmtId="43" fontId="77" fillId="0" borderId="0" xfId="1" applyFont="1" applyFill="1"/>
    <xf numFmtId="164" fontId="77" fillId="0" borderId="0" xfId="1" applyNumberFormat="1" applyFont="1" applyFill="1"/>
    <xf numFmtId="164" fontId="80" fillId="0" borderId="0" xfId="1" applyNumberFormat="1" applyFont="1" applyFill="1"/>
    <xf numFmtId="164" fontId="80" fillId="0" borderId="0" xfId="1" applyNumberFormat="1" applyFont="1"/>
    <xf numFmtId="171" fontId="80" fillId="0" borderId="0" xfId="1" applyNumberFormat="1" applyFont="1"/>
    <xf numFmtId="165" fontId="77" fillId="0" borderId="0" xfId="2" applyNumberFormat="1" applyFont="1"/>
    <xf numFmtId="43" fontId="87" fillId="0" borderId="0" xfId="1" applyFont="1" applyFill="1" applyBorder="1"/>
    <xf numFmtId="164" fontId="77" fillId="0" borderId="0" xfId="1" applyNumberFormat="1" applyFont="1" applyFill="1" applyAlignment="1">
      <alignment wrapText="1"/>
    </xf>
    <xf numFmtId="0" fontId="87" fillId="0" borderId="0" xfId="0" applyFont="1" applyFill="1" applyBorder="1"/>
    <xf numFmtId="164" fontId="78" fillId="0" borderId="0" xfId="1" applyNumberFormat="1" applyFont="1" applyFill="1" applyAlignment="1">
      <alignment horizontal="left"/>
    </xf>
    <xf numFmtId="164" fontId="78" fillId="0" borderId="0" xfId="1" applyNumberFormat="1" applyFont="1" applyFill="1" applyBorder="1" applyAlignment="1">
      <alignment horizontal="left" wrapText="1"/>
    </xf>
    <xf numFmtId="164" fontId="77" fillId="0" borderId="0" xfId="1" applyNumberFormat="1" applyFont="1" applyFill="1" applyBorder="1"/>
    <xf numFmtId="164" fontId="79" fillId="0" borderId="0" xfId="1" applyNumberFormat="1" applyFont="1" applyFill="1" applyAlignment="1">
      <alignment horizontal="left"/>
    </xf>
    <xf numFmtId="164" fontId="77" fillId="0" borderId="0" xfId="1" applyNumberFormat="1" applyFont="1" applyAlignment="1">
      <alignment wrapText="1"/>
    </xf>
    <xf numFmtId="164" fontId="80" fillId="0" borderId="0" xfId="1" applyNumberFormat="1" applyFont="1" applyAlignment="1">
      <alignment horizontal="center" wrapText="1"/>
    </xf>
    <xf numFmtId="9" fontId="88" fillId="0" borderId="0" xfId="2" applyFont="1"/>
    <xf numFmtId="166" fontId="77" fillId="0" borderId="0" xfId="2" applyNumberFormat="1" applyFont="1"/>
    <xf numFmtId="166" fontId="80" fillId="0" borderId="0" xfId="2" applyNumberFormat="1" applyFont="1" applyAlignment="1">
      <alignment horizontal="center" wrapText="1"/>
    </xf>
    <xf numFmtId="9" fontId="77" fillId="0" borderId="0" xfId="2" applyFont="1"/>
    <xf numFmtId="10" fontId="77" fillId="0" borderId="0" xfId="2" applyNumberFormat="1" applyFont="1"/>
    <xf numFmtId="167" fontId="89" fillId="0" borderId="0" xfId="3" applyNumberFormat="1" applyFont="1" applyFill="1" applyBorder="1"/>
    <xf numFmtId="165" fontId="82" fillId="0" borderId="0" xfId="2" applyNumberFormat="1" applyFont="1"/>
    <xf numFmtId="43" fontId="85" fillId="0" borderId="0" xfId="1" applyFont="1" applyAlignment="1">
      <alignment horizontal="center"/>
    </xf>
    <xf numFmtId="0" fontId="90" fillId="0" borderId="0" xfId="0" applyFont="1"/>
    <xf numFmtId="0" fontId="77" fillId="0" borderId="0" xfId="0" applyFont="1" applyFill="1" applyBorder="1"/>
    <xf numFmtId="9" fontId="77" fillId="0" borderId="0" xfId="2" applyFont="1" applyFill="1" applyBorder="1"/>
    <xf numFmtId="164" fontId="89" fillId="0" borderId="0" xfId="3" applyNumberFormat="1" applyFont="1" applyFill="1"/>
    <xf numFmtId="164" fontId="91" fillId="0" borderId="0" xfId="1" applyNumberFormat="1" applyFont="1"/>
    <xf numFmtId="164" fontId="92" fillId="0" borderId="0" xfId="1" applyNumberFormat="1" applyFont="1" applyAlignment="1">
      <alignment horizontal="center" wrapText="1"/>
    </xf>
    <xf numFmtId="165" fontId="92" fillId="0" borderId="0" xfId="2" applyNumberFormat="1" applyFont="1" applyAlignment="1">
      <alignment horizontal="center" wrapText="1"/>
    </xf>
    <xf numFmtId="165" fontId="91" fillId="0" borderId="0" xfId="2" applyNumberFormat="1" applyFont="1"/>
    <xf numFmtId="164" fontId="92" fillId="0" borderId="0" xfId="1" applyNumberFormat="1" applyFont="1"/>
    <xf numFmtId="164" fontId="93" fillId="0" borderId="0" xfId="1" applyNumberFormat="1" applyFont="1"/>
    <xf numFmtId="0" fontId="91" fillId="0" borderId="0" xfId="0" applyFont="1"/>
    <xf numFmtId="164" fontId="92" fillId="0" borderId="0" xfId="0" applyNumberFormat="1" applyFont="1"/>
    <xf numFmtId="164" fontId="93" fillId="0" borderId="0" xfId="0" applyNumberFormat="1" applyFont="1"/>
    <xf numFmtId="43" fontId="94" fillId="0" borderId="0" xfId="25" applyFont="1" applyAlignment="1">
      <alignment horizontal="center" wrapText="1"/>
    </xf>
    <xf numFmtId="164" fontId="94" fillId="0" borderId="0" xfId="25" applyNumberFormat="1" applyFont="1" applyAlignment="1">
      <alignment horizontal="center" wrapText="1"/>
    </xf>
    <xf numFmtId="164" fontId="21" fillId="0" borderId="0" xfId="25" applyNumberFormat="1" applyFont="1"/>
    <xf numFmtId="0" fontId="21" fillId="0" borderId="0" xfId="0" applyFont="1" applyFill="1"/>
    <xf numFmtId="164" fontId="94" fillId="0" borderId="0" xfId="25" applyNumberFormat="1" applyFont="1"/>
    <xf numFmtId="10" fontId="21" fillId="0" borderId="0" xfId="17" applyNumberFormat="1" applyFont="1"/>
    <xf numFmtId="166" fontId="21" fillId="0" borderId="0" xfId="17" applyNumberFormat="1" applyFont="1"/>
    <xf numFmtId="10" fontId="21" fillId="0" borderId="0" xfId="25" applyNumberFormat="1" applyFont="1"/>
    <xf numFmtId="166" fontId="95" fillId="0" borderId="0" xfId="17" applyNumberFormat="1" applyFont="1"/>
    <xf numFmtId="164" fontId="96" fillId="0" borderId="0" xfId="25" applyNumberFormat="1" applyFont="1"/>
    <xf numFmtId="166" fontId="96" fillId="0" borderId="0" xfId="17" applyNumberFormat="1" applyFont="1"/>
    <xf numFmtId="164" fontId="21" fillId="0" borderId="0" xfId="25" applyNumberFormat="1" applyFont="1" applyFill="1"/>
    <xf numFmtId="0" fontId="21" fillId="0" borderId="0" xfId="0" applyFont="1" applyAlignment="1">
      <alignment horizontal="center"/>
    </xf>
    <xf numFmtId="0" fontId="70" fillId="0" borderId="0" xfId="4" applyFont="1" applyFill="1" applyBorder="1" applyAlignment="1">
      <alignment horizontal="center" vertical="center"/>
    </xf>
    <xf numFmtId="164" fontId="97" fillId="0" borderId="0" xfId="25" applyNumberFormat="1" applyFont="1" applyFill="1" applyBorder="1" applyAlignment="1">
      <alignment horizontal="center" vertical="center"/>
    </xf>
    <xf numFmtId="164" fontId="70" fillId="0" borderId="0" xfId="25" applyNumberFormat="1" applyFont="1" applyFill="1" applyBorder="1" applyAlignment="1">
      <alignment horizontal="center" vertical="center"/>
    </xf>
    <xf numFmtId="164" fontId="99" fillId="0" borderId="0" xfId="1" applyNumberFormat="1" applyFont="1"/>
    <xf numFmtId="164" fontId="99" fillId="0" borderId="0" xfId="1" applyNumberFormat="1" applyFont="1" applyAlignment="1">
      <alignment horizontal="center" wrapText="1"/>
    </xf>
    <xf numFmtId="164" fontId="100" fillId="0" borderId="0" xfId="1" applyNumberFormat="1" applyFont="1" applyAlignment="1">
      <alignment horizontal="center" wrapText="1"/>
    </xf>
    <xf numFmtId="164" fontId="100" fillId="0" borderId="0" xfId="1" applyNumberFormat="1" applyFont="1"/>
    <xf numFmtId="9" fontId="99" fillId="0" borderId="0" xfId="2" applyFont="1"/>
    <xf numFmtId="164" fontId="99" fillId="0" borderId="0" xfId="1" applyNumberFormat="1" applyFont="1" applyFill="1"/>
    <xf numFmtId="164" fontId="1" fillId="0" borderId="0" xfId="1" applyNumberFormat="1" applyFont="1" applyAlignment="1">
      <alignment vertical="center"/>
    </xf>
    <xf numFmtId="0" fontId="77" fillId="0" borderId="0" xfId="0" applyFont="1" applyAlignment="1">
      <alignment horizontal="center" vertical="top"/>
    </xf>
    <xf numFmtId="164" fontId="1" fillId="0" borderId="0" xfId="1" applyNumberFormat="1" applyFont="1" applyAlignment="1">
      <alignment horizontal="center" vertical="top"/>
    </xf>
    <xf numFmtId="0" fontId="70" fillId="0" borderId="0" xfId="4" applyFont="1" applyFill="1" applyBorder="1" applyAlignment="1">
      <alignment horizontal="center" vertical="top"/>
    </xf>
    <xf numFmtId="164" fontId="97" fillId="0" borderId="0" xfId="25" applyNumberFormat="1" applyFont="1" applyFill="1" applyBorder="1" applyAlignment="1">
      <alignment horizontal="center" vertical="top"/>
    </xf>
    <xf numFmtId="164" fontId="70" fillId="0" borderId="0" xfId="25" applyNumberFormat="1" applyFont="1" applyFill="1" applyBorder="1" applyAlignment="1">
      <alignment horizontal="center" vertical="top"/>
    </xf>
    <xf numFmtId="0" fontId="101" fillId="0" borderId="0" xfId="0" applyFont="1"/>
    <xf numFmtId="164" fontId="102" fillId="0" borderId="0" xfId="25" applyNumberFormat="1" applyFont="1"/>
    <xf numFmtId="164" fontId="101" fillId="0" borderId="0" xfId="25" applyNumberFormat="1" applyFont="1"/>
    <xf numFmtId="166" fontId="102" fillId="0" borderId="0" xfId="17" applyNumberFormat="1" applyFont="1"/>
    <xf numFmtId="0" fontId="98" fillId="0" borderId="0" xfId="0" applyFont="1"/>
    <xf numFmtId="0" fontId="101" fillId="0" borderId="0" xfId="0" applyFont="1" applyFill="1"/>
    <xf numFmtId="166" fontId="101" fillId="0" borderId="0" xfId="17" applyNumberFormat="1" applyFont="1" applyFill="1"/>
    <xf numFmtId="0" fontId="101" fillId="0" borderId="0" xfId="0" applyFont="1" applyFill="1" applyAlignment="1">
      <alignment horizontal="center"/>
    </xf>
    <xf numFmtId="164" fontId="103" fillId="0" borderId="0" xfId="25" applyNumberFormat="1" applyFont="1"/>
    <xf numFmtId="164" fontId="101" fillId="0" borderId="0" xfId="25" applyNumberFormat="1" applyFont="1" applyFill="1"/>
    <xf numFmtId="0" fontId="104" fillId="0" borderId="0" xfId="0" applyFont="1"/>
    <xf numFmtId="0" fontId="105" fillId="0" borderId="0" xfId="0" applyFont="1"/>
    <xf numFmtId="0" fontId="105" fillId="0" borderId="0" xfId="0" applyFont="1" applyFill="1"/>
    <xf numFmtId="0" fontId="101" fillId="0" borderId="0" xfId="0" applyFont="1" applyAlignment="1">
      <alignment horizontal="center"/>
    </xf>
    <xf numFmtId="0" fontId="17" fillId="0" borderId="0" xfId="0" applyFont="1" applyAlignment="1"/>
    <xf numFmtId="0" fontId="8" fillId="3" borderId="0" xfId="0" applyFont="1" applyFill="1" applyAlignment="1">
      <alignment horizontal="left"/>
    </xf>
    <xf numFmtId="0" fontId="9" fillId="3" borderId="0" xfId="0" applyFont="1" applyFill="1" applyAlignment="1">
      <alignment vertical="center"/>
    </xf>
    <xf numFmtId="0" fontId="8" fillId="3" borderId="0" xfId="0" applyFont="1" applyFill="1" applyAlignment="1">
      <alignment horizontal="center" wrapText="1"/>
    </xf>
    <xf numFmtId="164" fontId="31" fillId="0" borderId="0" xfId="0" applyNumberFormat="1" applyFont="1"/>
    <xf numFmtId="164" fontId="46" fillId="0" borderId="0" xfId="1" applyNumberFormat="1" applyFont="1"/>
    <xf numFmtId="164" fontId="77" fillId="0" borderId="0" xfId="1" applyNumberFormat="1" applyFont="1" applyAlignment="1">
      <alignment horizontal="center"/>
    </xf>
    <xf numFmtId="164" fontId="87" fillId="0" borderId="0" xfId="34" applyNumberFormat="1" applyFont="1" applyFill="1"/>
    <xf numFmtId="164" fontId="46" fillId="0" borderId="0" xfId="1" applyNumberFormat="1" applyFont="1" applyAlignment="1">
      <alignment horizontal="center" vertical="top"/>
    </xf>
    <xf numFmtId="164" fontId="46" fillId="0" borderId="0" xfId="1" applyNumberFormat="1" applyFont="1" applyAlignment="1">
      <alignment vertical="center"/>
    </xf>
    <xf numFmtId="172" fontId="77" fillId="0" borderId="0" xfId="1" applyNumberFormat="1" applyFont="1"/>
    <xf numFmtId="0" fontId="97" fillId="0" borderId="0" xfId="0" applyFont="1"/>
    <xf numFmtId="164" fontId="77" fillId="0" borderId="0" xfId="1" applyNumberFormat="1" applyFont="1" applyAlignment="1">
      <alignment vertical="center"/>
    </xf>
    <xf numFmtId="0" fontId="97" fillId="0" borderId="0" xfId="0" applyFont="1" applyAlignment="1">
      <alignment horizontal="center"/>
    </xf>
    <xf numFmtId="164" fontId="97" fillId="0" borderId="0" xfId="1" applyNumberFormat="1" applyFont="1"/>
    <xf numFmtId="0" fontId="97" fillId="0" borderId="33" xfId="0" applyFont="1" applyBorder="1" applyAlignment="1">
      <alignment horizontal="center"/>
    </xf>
    <xf numFmtId="0" fontId="97" fillId="0" borderId="33" xfId="0" applyFont="1" applyBorder="1"/>
    <xf numFmtId="38" fontId="97" fillId="0" borderId="0" xfId="0" applyNumberFormat="1" applyFont="1" applyAlignment="1">
      <alignment horizontal="center"/>
    </xf>
    <xf numFmtId="0" fontId="97" fillId="0" borderId="0" xfId="0" applyFont="1" applyFill="1"/>
    <xf numFmtId="38" fontId="97" fillId="0" borderId="0" xfId="0" applyNumberFormat="1" applyFont="1" applyFill="1" applyAlignment="1">
      <alignment horizontal="center"/>
    </xf>
    <xf numFmtId="0" fontId="97" fillId="0" borderId="0" xfId="0" quotePrefix="1" applyFont="1"/>
    <xf numFmtId="0" fontId="0" fillId="0" borderId="6" xfId="0" applyBorder="1"/>
    <xf numFmtId="0" fontId="0" fillId="0" borderId="7" xfId="0" applyBorder="1"/>
    <xf numFmtId="0" fontId="0" fillId="0" borderId="52" xfId="0" applyBorder="1"/>
    <xf numFmtId="0" fontId="0" fillId="0" borderId="53" xfId="0" applyBorder="1"/>
    <xf numFmtId="0" fontId="0" fillId="0" borderId="8" xfId="0" applyBorder="1"/>
    <xf numFmtId="0" fontId="0" fillId="0" borderId="9" xfId="0" applyBorder="1"/>
    <xf numFmtId="43" fontId="80" fillId="0" borderId="0" xfId="1" applyFont="1" applyBorder="1" applyAlignment="1"/>
    <xf numFmtId="0" fontId="77" fillId="0" borderId="0" xfId="0" applyFont="1" applyAlignment="1">
      <alignment wrapText="1"/>
    </xf>
    <xf numFmtId="164" fontId="85" fillId="0" borderId="0" xfId="1" applyNumberFormat="1" applyFont="1" applyAlignment="1">
      <alignment horizontal="center"/>
    </xf>
    <xf numFmtId="0" fontId="101" fillId="0" borderId="0" xfId="0" applyFont="1" applyAlignment="1">
      <alignment horizontal="center"/>
    </xf>
    <xf numFmtId="0" fontId="17" fillId="0" borderId="0" xfId="0" applyFont="1" applyAlignment="1"/>
    <xf numFmtId="0" fontId="17" fillId="0" borderId="37" xfId="0" applyFont="1" applyBorder="1" applyAlignment="1"/>
    <xf numFmtId="0" fontId="28" fillId="19" borderId="35" xfId="0" applyFont="1" applyFill="1" applyBorder="1" applyAlignment="1">
      <alignment horizontal="center" wrapText="1"/>
    </xf>
    <xf numFmtId="0" fontId="28" fillId="19" borderId="36" xfId="0" applyFont="1" applyFill="1" applyBorder="1" applyAlignment="1">
      <alignment horizontal="center"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3" borderId="0" xfId="0" applyFont="1" applyFill="1" applyAlignment="1">
      <alignment horizontal="left"/>
    </xf>
    <xf numFmtId="0" fontId="9" fillId="3" borderId="0" xfId="0" applyFont="1" applyFill="1" applyAlignment="1">
      <alignment vertical="center"/>
    </xf>
    <xf numFmtId="0" fontId="8" fillId="3" borderId="0" xfId="0" applyFont="1" applyFill="1" applyAlignment="1">
      <alignment horizontal="center" wrapText="1"/>
    </xf>
    <xf numFmtId="0" fontId="14" fillId="0" borderId="0" xfId="0" applyFont="1" applyAlignment="1"/>
    <xf numFmtId="164" fontId="59" fillId="0" borderId="0" xfId="1" applyNumberFormat="1" applyFont="1" applyFill="1" applyBorder="1" applyAlignment="1">
      <alignment horizontal="center"/>
    </xf>
    <xf numFmtId="0" fontId="33" fillId="0" borderId="0" xfId="0" applyFont="1" applyAlignment="1">
      <alignment horizontal="left" vertical="center" wrapText="1" indent="2"/>
    </xf>
    <xf numFmtId="0" fontId="33" fillId="0" borderId="0" xfId="0" applyFont="1" applyAlignment="1">
      <alignment vertical="center" wrapText="1"/>
    </xf>
    <xf numFmtId="0" fontId="38" fillId="0" borderId="0" xfId="0" applyFont="1" applyAlignment="1">
      <alignment vertical="center" wrapText="1"/>
    </xf>
  </cellXfs>
  <cellStyles count="35">
    <cellStyle name="Accent2" xfId="3" builtinId="33"/>
    <cellStyle name="Accent6" xfId="34" builtinId="49"/>
    <cellStyle name="Comma" xfId="1" builtinId="3"/>
    <cellStyle name="Comma 10" xfId="25"/>
    <cellStyle name="Comma 2" xfId="5"/>
    <cellStyle name="Comma 2 2" xfId="19"/>
    <cellStyle name="Comma 3" xfId="32"/>
    <cellStyle name="Comma 4" xfId="16"/>
    <cellStyle name="Currency" xfId="8" builtinId="4"/>
    <cellStyle name="Currency 2" xfId="6"/>
    <cellStyle name="Currency 2 2" xfId="26"/>
    <cellStyle name="Currency 3" xfId="22"/>
    <cellStyle name="Hyperlink" xfId="13" builtinId="8"/>
    <cellStyle name="Hyperlink 2" xfId="30"/>
    <cellStyle name="Normal" xfId="0" builtinId="0"/>
    <cellStyle name="Normal 2" xfId="4"/>
    <cellStyle name="Normal 2 2" xfId="14"/>
    <cellStyle name="Normal 2 2 2" xfId="29"/>
    <cellStyle name="Normal 2 3" xfId="33"/>
    <cellStyle name="Normal 2 4" xfId="18"/>
    <cellStyle name="Normal 3" xfId="21"/>
    <cellStyle name="Normal 4" xfId="27"/>
    <cellStyle name="Normal 5" xfId="31"/>
    <cellStyle name="Normal 6" xfId="28"/>
    <cellStyle name="Normal 7" xfId="15"/>
    <cellStyle name="Percent" xfId="2" builtinId="5"/>
    <cellStyle name="Percent 2" xfId="7"/>
    <cellStyle name="Percent 2 2" xfId="20"/>
    <cellStyle name="Percent 3" xfId="17"/>
    <cellStyle name="SAPBEXaggData" xfId="24"/>
    <cellStyle name="SAPBEXaggItem" xfId="23"/>
    <cellStyle name="SAPBEXchaText" xfId="9"/>
    <cellStyle name="SAPBEXHLevel0X" xfId="10"/>
    <cellStyle name="SAPBEXstdData" xfId="12"/>
    <cellStyle name="SAPBEXstdItem"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50" Type="http://schemas.openxmlformats.org/officeDocument/2006/relationships/externalLink" Target="externalLinks/externalLink25.xml"/><Relationship Id="rId55" Type="http://schemas.openxmlformats.org/officeDocument/2006/relationships/externalLink" Target="externalLinks/externalLink30.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externalLink" Target="externalLinks/externalLink16.xml"/><Relationship Id="rId54" Type="http://schemas.openxmlformats.org/officeDocument/2006/relationships/externalLink" Target="externalLinks/externalLink29.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3" Type="http://schemas.openxmlformats.org/officeDocument/2006/relationships/externalLink" Target="externalLinks/externalLink28.xml"/><Relationship Id="rId58"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externalLink" Target="externalLinks/externalLink24.xml"/><Relationship Id="rId57" Type="http://schemas.openxmlformats.org/officeDocument/2006/relationships/externalLink" Target="externalLinks/externalLink32.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52" Type="http://schemas.openxmlformats.org/officeDocument/2006/relationships/externalLink" Target="externalLinks/externalLink27.xml"/><Relationship Id="rId60" Type="http://schemas.openxmlformats.org/officeDocument/2006/relationships/externalLink" Target="externalLinks/externalLink3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externalLink" Target="externalLinks/externalLink23.xml"/><Relationship Id="rId56" Type="http://schemas.openxmlformats.org/officeDocument/2006/relationships/externalLink" Target="externalLinks/externalLink31.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59" Type="http://schemas.openxmlformats.org/officeDocument/2006/relationships/externalLink" Target="externalLinks/externalLink3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736B7.5D78775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748DB.4B16EBB0"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85725</xdr:colOff>
      <xdr:row>30</xdr:row>
      <xdr:rowOff>0</xdr:rowOff>
    </xdr:from>
    <xdr:to>
      <xdr:col>11</xdr:col>
      <xdr:colOff>476250</xdr:colOff>
      <xdr:row>58</xdr:row>
      <xdr:rowOff>85725</xdr:rowOff>
    </xdr:to>
    <xdr:pic>
      <xdr:nvPicPr>
        <xdr:cNvPr id="2" name="Picture 1" descr="cid:image001.png@01D736B7.5D78775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5725" y="5400675"/>
          <a:ext cx="9124950" cy="461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180975</xdr:colOff>
      <xdr:row>19</xdr:row>
      <xdr:rowOff>142875</xdr:rowOff>
    </xdr:from>
    <xdr:to>
      <xdr:col>20</xdr:col>
      <xdr:colOff>762000</xdr:colOff>
      <xdr:row>52</xdr:row>
      <xdr:rowOff>47625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stretch>
          <a:fillRect/>
        </a:stretch>
      </xdr:blipFill>
      <xdr:spPr>
        <a:xfrm>
          <a:off x="9601200" y="3705225"/>
          <a:ext cx="7648575" cy="6191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43</xdr:row>
      <xdr:rowOff>95250</xdr:rowOff>
    </xdr:from>
    <xdr:to>
      <xdr:col>21</xdr:col>
      <xdr:colOff>180975</xdr:colOff>
      <xdr:row>97</xdr:row>
      <xdr:rowOff>38100</xdr:rowOff>
    </xdr:to>
    <xdr:pic>
      <xdr:nvPicPr>
        <xdr:cNvPr id="3" name="Picture 1" descr="cid:image002.png@01D748DB.4B16EBB0">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66700" y="10229850"/>
          <a:ext cx="13392150" cy="1022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nhamfpp032\ratecomm\Documents%20and%20Settings\Catharine%20Lacy\My%20Documents\Work%20Projects\Columbia3\TS1&amp;TS2\DataFar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nancial%20Models/IT/IT%20Financial%20Model%20Tool/Nisource%20-%20MTC%20Financial%20Management%20Tool%20v20%20(11.1.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nancial%20Models/IT/IT%20Financial%20Model%20Tool/2006-08-08%20Nisource%20-%20IT%20Financial%20Management%20Tool_Amendment%203%20Updat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Lloyd%20Spann/My%20Documents/Excel/2004/BCBSRI/Governance%20Financial%20Management/Service%20Credits/BCBSRI%20Service%20Level%20Credit%20Tracking%20Draft_v11_LDS_0128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MD/Rate%20Case/2008/Class%20Cost%20of%20Service/Sep%2012.%202008/Demand.Commodity%20Stu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erate/CMD/ratecase/1995/EXH10.WK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ayorConsolidated/Accounts/Blue%20Cross/Financials/2003/05/PYR_SVC_BLUERI_AP%20IMAG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CKY\Rate%20Case%20-%202016\Schedules\Schedule%20M%20(Revenues)\Sch%20M%20-%20Revenue%20and%20Rate%20Design%20(Forecasted).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PFischerRCC/Documents/(Final)%20-%20CKY%20Cost%20of%20Service%20Schedules%20A%20-%20K%20(Base%20Period%20TME%208-31-16,%20Forecast%20Period%20TME%2012-31-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nts%20and%20Settings/pat65791/Local%20Settings/Temporary%20Internet%20Files/Content.Outlook/PQT8T9TM/Schedule%20C%20&amp;%20D%20-%20Operating%20Income/Sch%20C%20&amp;%20D%20-%20Operating%20Income%20Forecaste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ial%20Models/IT/IT%20Financial%20Model%20Tool/Financial%20Models/Nisource%20-%20Customer%20Contact%20Center%20Financial%20Management%20Tool%20v1%20(10.1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otes/data/Schedule%20E%20-%20Income%20Taxes/E-1%20Income%20Taxes.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BMS%20People%20Analysis2.ppt"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wnhamfpp032\ratecomm\Documents%20and%20Settings\Catharine%20Lacy\My%20Documents\Work%20Projects\Columbia3\PGA-ACA\(WORKINGCOPY)PGA-EffectiveNovember29,2005\(WORKINGCOPY)PGA-EffectiveNovember29,20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apgbmk001\Data1\Documents%20and%20Settings\MMeade\Desktop\BT%20quote%20template-%20May%202004%20V1.02%20-%20TEST%20FI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KY/Rate%20Case%20-%202009/Rate%20Case%20Schedules/Base/Schedule%20C%20-%20Operating%20Income/Operating%20Incom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NU%20Return%20on%20Rate%20Base/2003/2003%203rd%20Qtr/NH%20Return%20on%20Rate%20Base%20ReportFiled%20-%2009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CKY/Ratecase%20-%202007/Schedules/Workpapers/Payroll%20Tax%20Adjustmen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Sourcing%20Initiative\ADM%20Support\APR04IMSS,%20v2.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1/staylor/LOCALS~1/Temp/notesC9812B/CMD%20-%20Cost%20of%20Service%2011-30-0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CarlouJ/Local%20Settings/Temporary%20Internet%20Files/OLK8/208522/0901Wellpoin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CKY\Rate%20Case%20-%202009\Rate%20Case%20Schedules\Historic\Schedules%20A%20-%20L%20-%20Cost%20of%20Service%20and%20Rate%20Base\As%20Filed\CKY%20Cost%20of%20Service%20Schedules%20A%20thru%20L%20December%2031,%20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ittfs01\data\Documents%20and%20Settings\guajpae1\Local%20Settings\Temporary%20Internet%20Files\OLK17\03%202005%20StorageClosePackag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notes/data/Schedule%20B%20-%20Rate%20Base%20&amp;%20Balance%20Sheet/B-2%20Plant%20&amp;%20Property.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apgbmk001\Data1\DOCUME~1\npatel\LOCALS~1\Temp\IPBS%20Quotation%20Tool%20v2.1%20-%20November%20Issue%20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ittfs01\data\Users\cmachesney\AppData\Local\Microsoft\Windows\Temporary%20Internet%20Files\Content.Outlook\BE4EFS30\Plant%20DD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nts%20and%20Settings/perler/My%20Documents/Cendant/Denver%20Resource%20Baselines/Asset%20Tracking%2010_16_01.Lee1%20Rev%20PC.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OCUME~1\701433~1\LOCALS~1\Temp\PB06BaseSept2004BMSGlobalOutsourceallocations_MA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DOCUME~1\parkegj\LOCALS~1\Temp\d.My%20Documents.Notes.Data\2004%20GIS\Submitted%20Files\20458p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121726/AppData/Local/Temp/notesC9812B/CMD%202013%20Rate%20Case%20-%20Cost%20of%20Servic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gv/RATECASE/2006%20Rate%20Case%20TME%2012-31-05,%20Proforma%209-30-06/Revenue/TS1&amp;TS2splitworksheet-2005-(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CMD\Rate%20Case\2016\Cost%20of%20Service\CMD%202016%20Rate%20Case%20-%20Cost%20of%20Service%20model%20(WORKING)%20Updated%20for%2012-31-15%20Plant%20Data%2001-14-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nhamfpp032\ratecomm\Cgv\RATECASE\2006%20Rate%20Case%20TME%2012-31-05,%20Proforma%209-30-06\Revenue\TS1&amp;TS2splitworksheet-2005-(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PA/Rate%20Case/2008/Forecasted/Adjustments%20-%20O&amp;M%20Expense/Projected%20CAP%20for%20PA%20rate%20case%20test%20year%209-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CPA\Rate%20Case\2016\Revenue\CPA%202016%20Rate%20Case%20Exh%20003%20Sch%2001%20Thru%2010%20and%20pgs%2006-1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B"/>
      <sheetName val="PGA 95 B&amp;B Monica"/>
      <sheetName val="Demand Data"/>
      <sheetName val="Demand Summary"/>
      <sheetName val="ACAvsCGVStorage&amp;Peaking"/>
      <sheetName val="TRANSPORTS-revised"/>
      <sheetName val="TS1&amp;TS2data"/>
      <sheetName val="B&amp;B Tol LVTS"/>
      <sheetName val="B&amp;B Tol TS1"/>
      <sheetName val="B&amp;B Tol TS2"/>
      <sheetName val="B&amp;B Tol All"/>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Financials Menu"/>
      <sheetName val="Pivot"/>
      <sheetName val="A (Input) Inv MO Service Charge"/>
      <sheetName val="B (Input) MO Volumes"/>
      <sheetName val="C (Input) MO ARC RRC Charges"/>
      <sheetName val="D (Output) Volume Analysis"/>
      <sheetName val="E (Calc) MO ARC-RRC Charge"/>
      <sheetName val="F (Valid) MO Service Charge"/>
      <sheetName val="G (Valid) MO ARC-RRC Charge"/>
      <sheetName val="H (Ref) Mnthly Svc Fees"/>
      <sheetName val="I (Ref) Mnthly Baseline Units"/>
      <sheetName val="I(a) (Ref) Mnth Baseline Unit %"/>
      <sheetName val="J (Ref) ARC RRC Rates"/>
      <sheetName val="K Graph (Input)"/>
      <sheetName val="L Graph (Data)"/>
      <sheetName val="M Graph (Baseline)"/>
      <sheetName val="N Graph (RU)"/>
      <sheetName val="O Graph (Charges)"/>
      <sheetName val="SLA Menu"/>
      <sheetName val="R (Input) SLA Achieved"/>
      <sheetName val="S (Calc) Service Credit"/>
      <sheetName val="T (Calc) Srvice Credt True Up"/>
      <sheetName val="U (Valid) Service Credit Sum"/>
      <sheetName val="V (Ref) At Risk"/>
      <sheetName val="W (Ref) Pool Allocation"/>
      <sheetName val="X (Ref) Original SLA"/>
      <sheetName val="(Ref) Invoice Detail"/>
      <sheetName val="Rate Schedu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Financials Menu"/>
      <sheetName val="A (Input) Inv MO Service Charge"/>
      <sheetName val="B (Input) MO Volumes"/>
      <sheetName val="C (Input) MO ARC - RRC Charges"/>
      <sheetName val="D (Output)- Volume Analysis"/>
      <sheetName val="E (Calc) -MO ARC-RRC Charge"/>
      <sheetName val="F (Valid) - MO Service Charge"/>
      <sheetName val="G (Valid) - MO ARC-RRC Charge"/>
      <sheetName val="H (Ref) - Mnthly Svc Fees"/>
      <sheetName val="I (Ref) - Mnthly Baseline Units"/>
      <sheetName val="J (Ref) - ARC RRC Rates"/>
      <sheetName val="K Graph (Input)"/>
      <sheetName val="L Graph (Data)"/>
      <sheetName val="M Graph (Baseline)"/>
      <sheetName val="N Graph (RU)"/>
      <sheetName val="New Graph"/>
      <sheetName val="O Graph (Charges)"/>
      <sheetName val="SLA Menu"/>
      <sheetName val="K (Input) SLA Achieved"/>
      <sheetName val="L (Output) Service Credit"/>
      <sheetName val="M (Output) Srvice Credt True Up"/>
      <sheetName val="N (Valid) Service Credit Sum"/>
      <sheetName val="O (Ref) At Risk"/>
      <sheetName val="P (Ref) Pool Allocation"/>
      <sheetName val="Q (Ref) SLA Consolidation"/>
      <sheetName val="R (Ref) SLA Updated"/>
      <sheetName val="(Ref) IT Tower (Original)"/>
      <sheetName val="(Ref) Invoice Detail "/>
      <sheetName val="Rate Schedu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LCs Due &amp; Recd"/>
      <sheetName val="1 - Totals"/>
      <sheetName val="2 - All Towers"/>
      <sheetName val="3-Pie Chart"/>
      <sheetName val="4-Indiv Towers"/>
      <sheetName val="% Invoice"/>
      <sheetName val="DSUM Explanation"/>
      <sheetName val="DB Functions"/>
      <sheetName val="Membership"/>
      <sheetName val="Infrastructure"/>
      <sheetName val="Blue Card"/>
      <sheetName val="FEP"/>
      <sheetName val="Basic Claims"/>
      <sheetName val="Applications"/>
      <sheetName val="Claims"/>
      <sheetName val="Mo1"/>
      <sheetName val="Mo2"/>
      <sheetName val="Mo3"/>
      <sheetName val="Mo4"/>
      <sheetName val="Mo5"/>
      <sheetName val="Mo6"/>
      <sheetName val="Mo7"/>
      <sheetName val="Mo8"/>
      <sheetName val="Mo9"/>
      <sheetName val="Mo10"/>
      <sheetName val="Mo11"/>
      <sheetName val="Mo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lant"/>
      <sheetName val="Revenue"/>
      <sheetName val="O&amp;M"/>
      <sheetName val="Rate Base &amp; Taxes"/>
      <sheetName val="VLOOKUP"/>
      <sheetName val="Allocations"/>
      <sheetName val="Allocations II"/>
      <sheetName val="Title Page"/>
      <sheetName val="ROR @ Proforma - 1"/>
      <sheetName val="ROR @ Current - 2"/>
      <sheetName val="Gross Plant - 3"/>
      <sheetName val="Depr. Reserve - 4"/>
      <sheetName val="Depr. Expense - 5"/>
      <sheetName val="Operating Rev - 6"/>
      <sheetName val="Dist O&amp;M Expense - 7"/>
      <sheetName val="O&amp;M Expense - 8"/>
      <sheetName val="Taxes Other Than Inc - 9"/>
      <sheetName val="Rate Base - 10"/>
      <sheetName val="Income Tax - 11"/>
      <sheetName val="Allocation Factors - 12"/>
      <sheetName val="Allocation Factors - 13"/>
      <sheetName val="Customer Charge a1"/>
      <sheetName val="Cust-Based Gas Plant a2"/>
      <sheetName val="Customer Charge b1"/>
      <sheetName val="Cust-Based Gas Plant b2"/>
      <sheetName val="Conversion Factors"/>
      <sheetName val="A&amp;E"/>
      <sheetName val="Metrics"/>
    </sheetNames>
    <sheetDataSet>
      <sheetData sheetId="0" refreshError="1"/>
      <sheetData sheetId="1" refreshError="1"/>
      <sheetData sheetId="2" refreshError="1"/>
      <sheetData sheetId="3" refreshError="1"/>
      <sheetData sheetId="4" refreshError="1"/>
      <sheetData sheetId="5" refreshError="1">
        <row r="2">
          <cell r="A2">
            <v>1</v>
          </cell>
          <cell r="B2" t="str">
            <v>DESIGN DAY</v>
          </cell>
          <cell r="C2" t="str">
            <v>NON-COINCIDENT PEAK</v>
          </cell>
          <cell r="D2" t="str">
            <v>11c</v>
          </cell>
          <cell r="E2">
            <v>61900</v>
          </cell>
          <cell r="F2">
            <v>30100</v>
          </cell>
          <cell r="G2">
            <v>21100</v>
          </cell>
          <cell r="H2">
            <v>600</v>
          </cell>
          <cell r="I2">
            <v>10100.000000000002</v>
          </cell>
          <cell r="N2">
            <v>0.48626817447495962</v>
          </cell>
          <cell r="O2">
            <v>0.34087237479806137</v>
          </cell>
          <cell r="P2">
            <v>9.6930533117932146E-3</v>
          </cell>
          <cell r="Q2">
            <v>0.16316639741518582</v>
          </cell>
          <cell r="S2">
            <v>1</v>
          </cell>
        </row>
        <row r="3">
          <cell r="A3">
            <v>2</v>
          </cell>
          <cell r="B3" t="str">
            <v>THROUGHPUT EXCL. TRANSPORTATION</v>
          </cell>
          <cell r="E3">
            <v>3653023.1999999997</v>
          </cell>
          <cell r="F3">
            <v>2196082</v>
          </cell>
          <cell r="G3">
            <v>1401215.8</v>
          </cell>
          <cell r="H3">
            <v>55725.4</v>
          </cell>
          <cell r="I3">
            <v>0</v>
          </cell>
          <cell r="N3">
            <v>0.60116836925645589</v>
          </cell>
          <cell r="O3">
            <v>0.38357703285322692</v>
          </cell>
          <cell r="P3">
            <v>1.5254597890317259E-2</v>
          </cell>
          <cell r="Q3">
            <v>0</v>
          </cell>
          <cell r="S3">
            <v>1</v>
          </cell>
        </row>
        <row r="4">
          <cell r="A4">
            <v>3</v>
          </cell>
          <cell r="B4" t="str">
            <v>TOTAL THROUGHPUT</v>
          </cell>
          <cell r="E4">
            <v>5959250</v>
          </cell>
          <cell r="F4">
            <v>2269801</v>
          </cell>
          <cell r="G4">
            <v>1467726.7</v>
          </cell>
          <cell r="H4">
            <v>55725.4</v>
          </cell>
          <cell r="I4">
            <v>2165996.9000000004</v>
          </cell>
          <cell r="N4">
            <v>0.38088702437387256</v>
          </cell>
          <cell r="O4">
            <v>0.24629386248269497</v>
          </cell>
          <cell r="P4">
            <v>9.3510760582288036E-3</v>
          </cell>
          <cell r="Q4">
            <v>0.36346803708520375</v>
          </cell>
          <cell r="S4">
            <v>1</v>
          </cell>
        </row>
        <row r="5">
          <cell r="A5">
            <v>4</v>
          </cell>
          <cell r="B5" t="str">
            <v>DIRECT ASSIGNMENT - GAS PURCHASE EXPENSE</v>
          </cell>
          <cell r="E5">
            <v>52718497</v>
          </cell>
          <cell r="F5">
            <v>31699928</v>
          </cell>
          <cell r="G5">
            <v>20272155</v>
          </cell>
          <cell r="H5">
            <v>746414</v>
          </cell>
          <cell r="I5">
            <v>0</v>
          </cell>
          <cell r="N5">
            <v>0.60130561005940664</v>
          </cell>
          <cell r="O5">
            <v>0.3845359058700023</v>
          </cell>
          <cell r="P5">
            <v>1.4158484070591011E-2</v>
          </cell>
          <cell r="Q5">
            <v>0</v>
          </cell>
          <cell r="S5">
            <v>1</v>
          </cell>
        </row>
        <row r="6">
          <cell r="A6">
            <v>5</v>
          </cell>
          <cell r="B6" t="str">
            <v>COMPOSITE ALLOCATORS #1 &amp; #3</v>
          </cell>
          <cell r="C6" t="str">
            <v>DEMAND/COMMODITY</v>
          </cell>
          <cell r="D6" t="str">
            <v>11b</v>
          </cell>
          <cell r="E6">
            <v>1.0000000000000002</v>
          </cell>
          <cell r="F6">
            <v>0.43357759942441609</v>
          </cell>
          <cell r="G6">
            <v>0.29358311864037817</v>
          </cell>
          <cell r="H6">
            <v>9.5220646850110099E-3</v>
          </cell>
          <cell r="I6">
            <v>0.2633172172501948</v>
          </cell>
          <cell r="N6">
            <v>0.43357759942441598</v>
          </cell>
          <cell r="O6">
            <v>0.29358311864037812</v>
          </cell>
          <cell r="P6">
            <v>9.5220646850110082E-3</v>
          </cell>
          <cell r="Q6">
            <v>0.26331721725019475</v>
          </cell>
          <cell r="S6">
            <v>1</v>
          </cell>
        </row>
        <row r="7">
          <cell r="A7">
            <v>6</v>
          </cell>
          <cell r="B7" t="str">
            <v>AVERAGE NO. OF CUSTOMERS</v>
          </cell>
          <cell r="E7">
            <v>32348.833333333332</v>
          </cell>
          <cell r="F7">
            <v>28628.833333333332</v>
          </cell>
          <cell r="G7">
            <v>3600.333333333333</v>
          </cell>
          <cell r="H7">
            <v>27</v>
          </cell>
          <cell r="I7">
            <v>92.666666666666671</v>
          </cell>
          <cell r="N7">
            <v>0.88500358075767804</v>
          </cell>
          <cell r="O7">
            <v>0.11129716166992111</v>
          </cell>
          <cell r="P7">
            <v>8.3465142998459508E-4</v>
          </cell>
          <cell r="Q7">
            <v>2.8646061424162646E-3</v>
          </cell>
          <cell r="S7">
            <v>1</v>
          </cell>
        </row>
        <row r="8">
          <cell r="A8">
            <v>7</v>
          </cell>
          <cell r="B8" t="str">
            <v>DIRECT ASSIGNMENT - CONSUMPTION TAX</v>
          </cell>
          <cell r="E8">
            <v>208890</v>
          </cell>
          <cell r="F8">
            <v>94651</v>
          </cell>
          <cell r="G8">
            <v>61203</v>
          </cell>
          <cell r="H8">
            <v>2324</v>
          </cell>
          <cell r="I8">
            <v>50712</v>
          </cell>
          <cell r="N8">
            <v>0.4531140791804299</v>
          </cell>
          <cell r="O8">
            <v>0.29299152664081574</v>
          </cell>
          <cell r="P8">
            <v>1.1125472736847145E-2</v>
          </cell>
          <cell r="Q8">
            <v>0.24276892144190723</v>
          </cell>
          <cell r="S8">
            <v>1</v>
          </cell>
        </row>
        <row r="9">
          <cell r="A9">
            <v>8</v>
          </cell>
          <cell r="B9" t="str">
            <v>CURRENT REVENUE EXCL FORFEITED DIS &amp; OTHER</v>
          </cell>
          <cell r="E9">
            <v>69810883</v>
          </cell>
          <cell r="F9">
            <v>41382846.399999999</v>
          </cell>
          <cell r="G9">
            <v>25296454</v>
          </cell>
          <cell r="H9">
            <v>835580.7</v>
          </cell>
          <cell r="I9">
            <v>2296001.9</v>
          </cell>
          <cell r="N9">
            <v>0.59278503037986208</v>
          </cell>
          <cell r="O9">
            <v>0.36235688352487966</v>
          </cell>
          <cell r="P9">
            <v>1.1969203999324862E-2</v>
          </cell>
          <cell r="Q9">
            <v>3.2888882095933381E-2</v>
          </cell>
          <cell r="S9">
            <v>1</v>
          </cell>
        </row>
        <row r="10">
          <cell r="A10">
            <v>9</v>
          </cell>
          <cell r="B10" t="str">
            <v>DIRECT ASSIGNMENT - CUSTOMER DEPOSITS</v>
          </cell>
          <cell r="E10">
            <v>341775</v>
          </cell>
          <cell r="F10">
            <v>223584</v>
          </cell>
          <cell r="G10">
            <v>118191</v>
          </cell>
          <cell r="H10">
            <v>0</v>
          </cell>
          <cell r="I10">
            <v>0</v>
          </cell>
          <cell r="N10">
            <v>0.6541847706824665</v>
          </cell>
          <cell r="O10">
            <v>0.34581522931753345</v>
          </cell>
          <cell r="P10">
            <v>0</v>
          </cell>
          <cell r="Q10">
            <v>0</v>
          </cell>
          <cell r="S10">
            <v>1</v>
          </cell>
        </row>
        <row r="11">
          <cell r="A11">
            <v>10</v>
          </cell>
          <cell r="B11" t="str">
            <v>DIRECT ASSIGNMENT - FRANCHISE TAX BASED ON GROSS RECEIPTS</v>
          </cell>
          <cell r="E11">
            <v>326619.34039999999</v>
          </cell>
          <cell r="F11">
            <v>183990.008</v>
          </cell>
          <cell r="G11">
            <v>94900.96639999999</v>
          </cell>
          <cell r="H11">
            <v>1789.9260000000011</v>
          </cell>
          <cell r="I11">
            <v>45938.44</v>
          </cell>
          <cell r="N11">
            <v>0.56331632956784949</v>
          </cell>
          <cell r="O11">
            <v>0.29055525702727186</v>
          </cell>
          <cell r="P11">
            <v>5.480159251463607E-3</v>
          </cell>
          <cell r="Q11">
            <v>0.14064825415341511</v>
          </cell>
          <cell r="S11">
            <v>1</v>
          </cell>
        </row>
        <row r="12">
          <cell r="A12">
            <v>11</v>
          </cell>
          <cell r="B12" t="str">
            <v>DIST. PLANT EXCL ACCTS 375.70, 375.71, &amp; 387</v>
          </cell>
          <cell r="E12">
            <v>100881778.80000001</v>
          </cell>
          <cell r="F12">
            <v>59268813.399999999</v>
          </cell>
          <cell r="G12">
            <v>24033605</v>
          </cell>
          <cell r="H12">
            <v>798509.4</v>
          </cell>
          <cell r="I12">
            <v>16780851</v>
          </cell>
          <cell r="N12">
            <v>0.58750761639028504</v>
          </cell>
          <cell r="O12">
            <v>0.23823534126660342</v>
          </cell>
          <cell r="P12">
            <v>7.9152985752071209E-3</v>
          </cell>
          <cell r="Q12">
            <v>0.16634174376790428</v>
          </cell>
          <cell r="S12">
            <v>1</v>
          </cell>
        </row>
        <row r="13">
          <cell r="A13">
            <v>12</v>
          </cell>
          <cell r="B13" t="str">
            <v>GROSS PLANT</v>
          </cell>
          <cell r="E13">
            <v>107211465.59999999</v>
          </cell>
          <cell r="F13">
            <v>62654477.600000001</v>
          </cell>
          <cell r="G13">
            <v>25879233</v>
          </cell>
          <cell r="H13">
            <v>854459.6</v>
          </cell>
          <cell r="I13">
            <v>17823295.400000002</v>
          </cell>
          <cell r="N13">
            <v>0.58440090571805414</v>
          </cell>
          <cell r="O13">
            <v>0.24138493821690654</v>
          </cell>
          <cell r="P13">
            <v>7.9698528064893834E-3</v>
          </cell>
          <cell r="Q13">
            <v>0.16624430325855002</v>
          </cell>
          <cell r="S13">
            <v>1</v>
          </cell>
        </row>
        <row r="14">
          <cell r="A14">
            <v>13</v>
          </cell>
          <cell r="B14" t="str">
            <v>DIRECT PLANT - MAINS</v>
          </cell>
          <cell r="E14">
            <v>58076733</v>
          </cell>
          <cell r="F14">
            <v>25180770.5</v>
          </cell>
          <cell r="G14">
            <v>17050348.399999999</v>
          </cell>
          <cell r="H14">
            <v>553010.4</v>
          </cell>
          <cell r="I14">
            <v>15292603.699999999</v>
          </cell>
          <cell r="N14">
            <v>0.43357759982814459</v>
          </cell>
          <cell r="O14">
            <v>0.29358311873362436</v>
          </cell>
          <cell r="P14">
            <v>9.522064541750308E-3</v>
          </cell>
          <cell r="Q14">
            <v>0.26331721689648074</v>
          </cell>
          <cell r="S14">
            <v>1</v>
          </cell>
        </row>
        <row r="15">
          <cell r="A15">
            <v>14</v>
          </cell>
          <cell r="B15" t="str">
            <v>COMPOSITE DIRECT PLANT - ACCTS 376 &amp; 380</v>
          </cell>
          <cell r="E15">
            <v>90324477</v>
          </cell>
          <cell r="F15">
            <v>53337142.399999999</v>
          </cell>
          <cell r="G15">
            <v>20690703.099999998</v>
          </cell>
          <cell r="H15">
            <v>617441.5</v>
          </cell>
          <cell r="I15">
            <v>15679190</v>
          </cell>
          <cell r="N15">
            <v>0.59050596440209668</v>
          </cell>
          <cell r="O15">
            <v>0.229070832040356</v>
          </cell>
          <cell r="P15">
            <v>6.8358159438886099E-3</v>
          </cell>
          <cell r="Q15">
            <v>0.17358738761365869</v>
          </cell>
          <cell r="S15">
            <v>1</v>
          </cell>
        </row>
        <row r="16">
          <cell r="A16">
            <v>15</v>
          </cell>
          <cell r="B16" t="str">
            <v>DIRECT ASSIGNMENT - SERVICES</v>
          </cell>
          <cell r="E16">
            <v>1.0009999999999999</v>
          </cell>
          <cell r="F16">
            <v>0.874</v>
          </cell>
          <cell r="G16">
            <v>0.113</v>
          </cell>
          <cell r="H16">
            <v>2E-3</v>
          </cell>
          <cell r="I16">
            <v>1.2E-2</v>
          </cell>
          <cell r="N16">
            <v>0.8731268731268732</v>
          </cell>
          <cell r="O16">
            <v>0.11288711288711291</v>
          </cell>
          <cell r="P16">
            <v>1.9980019980019984E-3</v>
          </cell>
          <cell r="Q16">
            <v>1.198801198801199E-2</v>
          </cell>
          <cell r="S16">
            <v>1</v>
          </cell>
        </row>
        <row r="17">
          <cell r="A17">
            <v>16</v>
          </cell>
          <cell r="B17" t="str">
            <v>DIRECT ASSIGNMENT - METERS</v>
          </cell>
          <cell r="E17">
            <v>1</v>
          </cell>
          <cell r="F17">
            <v>0.63100000000000001</v>
          </cell>
          <cell r="G17">
            <v>0.32100000000000001</v>
          </cell>
          <cell r="H17">
            <v>7.0000000000000001E-3</v>
          </cell>
          <cell r="I17">
            <v>4.1000000000000002E-2</v>
          </cell>
          <cell r="N17">
            <v>0.63100000000000001</v>
          </cell>
          <cell r="O17">
            <v>0.32100000000000001</v>
          </cell>
          <cell r="P17">
            <v>7.0000000000000001E-3</v>
          </cell>
          <cell r="Q17">
            <v>4.1000000000000002E-2</v>
          </cell>
          <cell r="S17">
            <v>1</v>
          </cell>
        </row>
        <row r="18">
          <cell r="A18">
            <v>17</v>
          </cell>
          <cell r="B18" t="str">
            <v>DIRECT ASSIGNMENT - IND M &amp; R</v>
          </cell>
          <cell r="E18">
            <v>1</v>
          </cell>
          <cell r="F18">
            <v>0</v>
          </cell>
          <cell r="G18">
            <v>0.32900000000000001</v>
          </cell>
          <cell r="H18">
            <v>0.184</v>
          </cell>
          <cell r="I18">
            <v>0.48699999999999999</v>
          </cell>
          <cell r="N18">
            <v>0</v>
          </cell>
          <cell r="O18">
            <v>0.32900000000000001</v>
          </cell>
          <cell r="P18">
            <v>0.184</v>
          </cell>
          <cell r="Q18">
            <v>0.48699999999999999</v>
          </cell>
          <cell r="S18">
            <v>1</v>
          </cell>
        </row>
        <row r="19">
          <cell r="A19">
            <v>18</v>
          </cell>
          <cell r="B19" t="str">
            <v>OTHER DISTRIBUTION O &amp; M EXPENSE</v>
          </cell>
          <cell r="E19">
            <v>1930041.3091895485</v>
          </cell>
          <cell r="F19">
            <v>1079046.1000000001</v>
          </cell>
          <cell r="G19">
            <v>533901.98</v>
          </cell>
          <cell r="H19">
            <v>21657.47</v>
          </cell>
          <cell r="I19">
            <v>295435.88000000006</v>
          </cell>
          <cell r="N19">
            <v>0.55907927714412842</v>
          </cell>
          <cell r="O19">
            <v>0.27662722940587886</v>
          </cell>
          <cell r="P19">
            <v>1.1221246870148223E-2</v>
          </cell>
          <cell r="Q19">
            <v>0.15307230917459366</v>
          </cell>
          <cell r="S19">
            <v>1</v>
          </cell>
        </row>
        <row r="20">
          <cell r="A20">
            <v>19</v>
          </cell>
          <cell r="B20" t="str">
            <v xml:space="preserve">O &amp; M EXCL GAS PUR, UNCOLLECTIBLES, &amp; A &amp; G </v>
          </cell>
          <cell r="E20">
            <v>3632896.7122915387</v>
          </cell>
          <cell r="F20">
            <v>2260664.3000000003</v>
          </cell>
          <cell r="G20">
            <v>897361.89000000025</v>
          </cell>
          <cell r="H20">
            <v>33336.47</v>
          </cell>
          <cell r="I20">
            <v>441533.77000000008</v>
          </cell>
          <cell r="N20">
            <v>0.6222759629667618</v>
          </cell>
          <cell r="O20">
            <v>0.24701002012082177</v>
          </cell>
          <cell r="P20">
            <v>9.176277951203354E-3</v>
          </cell>
          <cell r="Q20">
            <v>0.12153766125695653</v>
          </cell>
          <cell r="S20">
            <v>1</v>
          </cell>
        </row>
        <row r="21">
          <cell r="A21">
            <v>20</v>
          </cell>
          <cell r="B21" t="str">
            <v>MINIMUM SYSTEM MAINS</v>
          </cell>
          <cell r="C21" t="str">
            <v>CUSTOMER/DEMAND</v>
          </cell>
          <cell r="D21" t="str">
            <v>11a</v>
          </cell>
          <cell r="E21">
            <v>1</v>
          </cell>
          <cell r="F21">
            <v>0.75</v>
          </cell>
          <cell r="G21">
            <v>0.189</v>
          </cell>
          <cell r="H21">
            <v>3.8999999999999998E-3</v>
          </cell>
          <cell r="I21">
            <v>5.7099999999999998E-2</v>
          </cell>
          <cell r="N21">
            <v>0.75</v>
          </cell>
          <cell r="O21">
            <v>0.189</v>
          </cell>
          <cell r="P21">
            <v>3.8999999999999998E-3</v>
          </cell>
          <cell r="Q21">
            <v>5.7099999999999998E-2</v>
          </cell>
          <cell r="S21">
            <v>1</v>
          </cell>
        </row>
        <row r="22">
          <cell r="A22">
            <v>21</v>
          </cell>
          <cell r="B22" t="str">
            <v>DIRECT ASSIGNMENT - CUR REV BILLED THROUGH DIS</v>
          </cell>
          <cell r="E22">
            <v>64496162</v>
          </cell>
          <cell r="F22">
            <v>41364041</v>
          </cell>
          <cell r="G22">
            <v>23132121</v>
          </cell>
          <cell r="H22">
            <v>0</v>
          </cell>
          <cell r="I22">
            <v>0</v>
          </cell>
          <cell r="N22">
            <v>0.64134112352297801</v>
          </cell>
          <cell r="O22">
            <v>0.35865887647702199</v>
          </cell>
          <cell r="P22">
            <v>0</v>
          </cell>
          <cell r="Q22">
            <v>0</v>
          </cell>
          <cell r="S22">
            <v>1</v>
          </cell>
        </row>
        <row r="23">
          <cell r="A23">
            <v>22</v>
          </cell>
          <cell r="B23" t="str">
            <v>NOT USED</v>
          </cell>
          <cell r="C23" t="str">
            <v>AVERAGE &amp; EXCESS</v>
          </cell>
          <cell r="D23" t="str">
            <v>11d</v>
          </cell>
          <cell r="E23" t="e">
            <v>#REF!</v>
          </cell>
          <cell r="F23" t="e">
            <v>#REF!</v>
          </cell>
          <cell r="G23" t="e">
            <v>#REF!</v>
          </cell>
          <cell r="H23" t="e">
            <v>#REF!</v>
          </cell>
          <cell r="I23" t="e">
            <v>#REF!</v>
          </cell>
          <cell r="N23" t="e">
            <v>#DIV/0!</v>
          </cell>
          <cell r="O23" t="e">
            <v>#DIV/0!</v>
          </cell>
          <cell r="P23" t="e">
            <v>#DIV/0!</v>
          </cell>
          <cell r="Q23" t="e">
            <v>#DIV/0!</v>
          </cell>
          <cell r="S23" t="e">
            <v>#DIV/0!</v>
          </cell>
        </row>
        <row r="24">
          <cell r="A24">
            <v>23</v>
          </cell>
          <cell r="B24" t="str">
            <v>NOT USED</v>
          </cell>
          <cell r="N24" t="e">
            <v>#DIV/0!</v>
          </cell>
          <cell r="O24" t="e">
            <v>#DIV/0!</v>
          </cell>
          <cell r="P24" t="e">
            <v>#DIV/0!</v>
          </cell>
          <cell r="Q24" t="e">
            <v>#DIV/0!</v>
          </cell>
          <cell r="S24" t="e">
            <v>#DIV/0!</v>
          </cell>
        </row>
        <row r="25">
          <cell r="A25">
            <v>24</v>
          </cell>
          <cell r="B25" t="str">
            <v>NOT USED</v>
          </cell>
          <cell r="N25" t="e">
            <v>#DIV/0!</v>
          </cell>
          <cell r="O25" t="e">
            <v>#DIV/0!</v>
          </cell>
          <cell r="P25" t="e">
            <v>#DIV/0!</v>
          </cell>
          <cell r="Q25" t="e">
            <v>#DIV/0!</v>
          </cell>
          <cell r="S25" t="e">
            <v>#DIV/0!</v>
          </cell>
        </row>
        <row r="26">
          <cell r="A26">
            <v>25</v>
          </cell>
          <cell r="B26" t="str">
            <v>NOT USED</v>
          </cell>
          <cell r="N26" t="e">
            <v>#DIV/0!</v>
          </cell>
          <cell r="O26" t="e">
            <v>#DIV/0!</v>
          </cell>
          <cell r="P26" t="e">
            <v>#DIV/0!</v>
          </cell>
          <cell r="Q26" t="e">
            <v>#DIV/0!</v>
          </cell>
          <cell r="S26" t="e">
            <v>#DIV/0!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10"/>
    </sheetNames>
    <sheetDataSet>
      <sheetData sheetId="0" refreshError="1">
        <row r="1">
          <cell r="H1" t="str">
            <v>Exhibit No. 10</v>
          </cell>
        </row>
        <row r="2">
          <cell r="H2" t="str">
            <v>Sheet 1 of</v>
          </cell>
        </row>
        <row r="3">
          <cell r="H3" t="str">
            <v>14 Sheets</v>
          </cell>
        </row>
        <row r="4">
          <cell r="H4" t="str">
            <v>Witness:  R.D. Gibbons</v>
          </cell>
        </row>
        <row r="5">
          <cell r="D5" t="str">
            <v>COLUMBIA GAS OF MARYLAND, INC.</v>
          </cell>
        </row>
        <row r="7">
          <cell r="D7" t="str">
            <v>SUMMARY OF CASH WORKING CAPITAL ALLOWANCE</v>
          </cell>
        </row>
        <row r="9">
          <cell r="D9" t="str">
            <v>FOR THE TWELVE MONTHS ENDED SEPTEMBER 30, 1996</v>
          </cell>
        </row>
        <row r="11">
          <cell r="A11" t="str">
            <v>Line</v>
          </cell>
          <cell r="H11" t="str">
            <v>Pro Forma</v>
          </cell>
        </row>
        <row r="12">
          <cell r="A12" t="str">
            <v>No.</v>
          </cell>
          <cell r="D12" t="str">
            <v>Description</v>
          </cell>
          <cell r="H12" t="str">
            <v>at Proposed Rates</v>
          </cell>
        </row>
        <row r="15">
          <cell r="A15" t="str">
            <v>1</v>
          </cell>
          <cell r="C15" t="str">
            <v>(1) Cash working capital allowance resulting from</v>
          </cell>
        </row>
        <row r="16">
          <cell r="A16" t="str">
            <v>2</v>
          </cell>
          <cell r="C16" t="str">
            <v xml:space="preserve">    the lag in the collection of revenue being</v>
          </cell>
        </row>
        <row r="17">
          <cell r="A17" t="str">
            <v>3</v>
          </cell>
          <cell r="C17" t="str">
            <v xml:space="preserve">    greater than the lag in the payment of expenses</v>
          </cell>
          <cell r="H17">
            <v>966607</v>
          </cell>
        </row>
        <row r="19">
          <cell r="A19" t="str">
            <v>4</v>
          </cell>
          <cell r="C19" t="str">
            <v>(2) Minimum bank balances to compensate banking</v>
          </cell>
        </row>
        <row r="20">
          <cell r="A20" t="str">
            <v>5</v>
          </cell>
          <cell r="C20" t="str">
            <v xml:space="preserve">    institutions for banking services:</v>
          </cell>
        </row>
        <row r="22">
          <cell r="A22" t="str">
            <v>6</v>
          </cell>
          <cell r="C22" t="str">
            <v xml:space="preserve">      General Fund (average daily balance)</v>
          </cell>
          <cell r="H22">
            <v>22002</v>
          </cell>
        </row>
        <row r="23">
          <cell r="A23" t="str">
            <v>7</v>
          </cell>
          <cell r="C23" t="str">
            <v xml:space="preserve">      Local Offices Working Fund</v>
          </cell>
          <cell r="H23">
            <v>980</v>
          </cell>
        </row>
        <row r="25">
          <cell r="A25" t="str">
            <v>8</v>
          </cell>
          <cell r="C25" t="str">
            <v xml:space="preserve">      Total Minimum Bank Balances</v>
          </cell>
          <cell r="H25">
            <v>22982</v>
          </cell>
        </row>
        <row r="28">
          <cell r="A28" t="str">
            <v>9</v>
          </cell>
          <cell r="C28" t="str">
            <v>TOTAL CASH WORKING CAPITAL ALLOWANCE</v>
          </cell>
          <cell r="H28">
            <v>989589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sheetName val="EX"/>
      <sheetName val="END FXrates"/>
      <sheetName val="AVG FXrates"/>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M"/>
      <sheetName val="Sch D-2.1 Output"/>
      <sheetName val="Input"/>
      <sheetName val="A"/>
      <sheetName val="B"/>
      <sheetName val="C"/>
      <sheetName val="D pg 1"/>
      <sheetName val="D pg 2"/>
      <sheetName val="Sch M"/>
      <sheetName val="Sch M 2.1"/>
      <sheetName val="Sch M 2.2"/>
      <sheetName val="Sch M 2.3"/>
      <sheetName val="Rate Design MPB-1"/>
      <sheetName val="Late Payment MPB-2"/>
      <sheetName val="MPB-3"/>
      <sheetName val="MPB-4"/>
      <sheetName val="Macros"/>
    </sheetNames>
    <sheetDataSet>
      <sheetData sheetId="0"/>
      <sheetData sheetId="1"/>
      <sheetData sheetId="2">
        <row r="8">
          <cell r="B8" t="str">
            <v>Witness:  M. J. Bell</v>
          </cell>
        </row>
        <row r="10">
          <cell r="C10">
            <v>2.8155000000000001</v>
          </cell>
        </row>
        <row r="11">
          <cell r="C11">
            <v>2.2090999999999998</v>
          </cell>
        </row>
        <row r="14">
          <cell r="C14" t="str">
            <v>March 1, 2016</v>
          </cell>
        </row>
      </sheetData>
      <sheetData sheetId="3"/>
      <sheetData sheetId="4">
        <row r="1">
          <cell r="A1" t="str">
            <v>Columbia Gas of Kentucky, Inc.</v>
          </cell>
        </row>
        <row r="3">
          <cell r="A3" t="str">
            <v>For the 12 Months Ended December 31, 2017</v>
          </cell>
        </row>
      </sheetData>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
      <sheetName val="A- Financial Summary"/>
      <sheetName val="Index B"/>
      <sheetName val="B-1 p.1 Summary (Base)"/>
      <sheetName val="B-1 p.2 Summary (Forecast)"/>
      <sheetName val="B-2 p.1 Grouping (Base)"/>
      <sheetName val="B-2 p.2 Grouping (Forecast)"/>
      <sheetName val="B-2.1 Base Period GPA"/>
      <sheetName val="B-2.1 Forecast Period GPA"/>
      <sheetName val="WPB-2.1 Base Period"/>
      <sheetName val="WPB-2.1 13 mo avg"/>
      <sheetName val="Plant input detail "/>
      <sheetName val="Intangible Amort."/>
      <sheetName val="WPB2.2 Plant detail-w slippage"/>
      <sheetName val="WPB2.2a Intan Amort. w slippage"/>
      <sheetName val="B-2.2 Proposed Adj (Base)"/>
      <sheetName val="B-2.2 Proposed Adj (Forecast)"/>
      <sheetName val="B-2.3 Base Adds, Ret, Transfers"/>
      <sheetName val="B-2.3 Forecast Adds, Ret, Trans"/>
      <sheetName val="B-2.4 PP&amp;E Acquired (base)"/>
      <sheetName val="B-2.4 PP&amp;E Acquired (forecast)"/>
      <sheetName val="B-2.5 Leased Property (base)"/>
      <sheetName val="B-2.5 Leased Prop (forecast)"/>
      <sheetName val="B-2.6 Property Held (base)"/>
      <sheetName val="B-2.6 Property Held (forecast)"/>
      <sheetName val="B-2.7 PP&amp;E Excluded (base)"/>
      <sheetName val="B-2.7 PP&amp;E Excluded (forecast)"/>
      <sheetName val="B-3 Accum Dep&amp; Amort (Base)"/>
      <sheetName val="B-3 Accum Dep&amp;A (Forecast)"/>
      <sheetName val="WPB-3.1 AD&amp;A (Base)"/>
      <sheetName val="WPB-3.1 AD&amp;A (Forecast)"/>
      <sheetName val="B-3.1 Adj.  AD&amp;A (base)"/>
      <sheetName val="B-3.1 Adj.  AD&amp;A (Forecast)"/>
      <sheetName val="B-4 CWIP (In Service)"/>
      <sheetName val="B-5 Working Capital (Base)"/>
      <sheetName val="B-5 Working Capital (Forecast)"/>
      <sheetName val="B-5.1 Working Cap. (Base)"/>
      <sheetName val="B-5.1 Working Cap. (Forecast)"/>
      <sheetName val="WPB-5.1 M&amp;S and Prepayments"/>
      <sheetName val="WPB 5.3 Storage"/>
      <sheetName val="B-5.2 CWC (Base)"/>
      <sheetName val="B-5.2 CWC (Forecast)"/>
      <sheetName val="B-6 Def. Cr. &amp; ADIT (Base)"/>
      <sheetName val="B-6 Def. Cr. &amp; ADIT (Forecast)"/>
      <sheetName val="ADIT Calc-Do not print"/>
      <sheetName val="DNF - WPB-6 Acct. (forecast)"/>
      <sheetName val="WPB-6 Acct. 282 (forecast)"/>
      <sheetName val="WPB-6 Acct. 190 (forecast)"/>
      <sheetName val="WPB-6 Acct. 282 Adj (forecast)"/>
      <sheetName val="B-7 Juris Factor"/>
      <sheetName val="Operating Income Sum Index C"/>
      <sheetName val="Operating Income Summary C-1"/>
      <sheetName val="Adj Operating Income Sum C-2"/>
      <sheetName val="Oper Rev&amp;Exp by Accts C2.1A"/>
      <sheetName val="Oper Rev&amp;Exp by Accts C2.1B"/>
      <sheetName val="Total Co Accts Activ C2.2A"/>
      <sheetName val="Total Co Accts Activ C2.2B"/>
      <sheetName val="Adjusted Forecast Period"/>
      <sheetName val="Input O&amp;M FERC 8-16"/>
      <sheetName val="Input O&amp;M FERC 12-17"/>
      <sheetName val="Base TY Budget"/>
      <sheetName val="Forecast TY Budget &amp; D-2.4 Adj"/>
      <sheetName val="O&amp;M by CE Desc Variance"/>
      <sheetName val="Operating Income Sum Index D"/>
      <sheetName val="D-1"/>
      <sheetName val="D-2.1"/>
      <sheetName val="D-2.2"/>
      <sheetName val="D-2.3"/>
      <sheetName val="D-2.4"/>
      <sheetName val="Sch E Index"/>
      <sheetName val="E-1.1 Fed &amp; State Income Taxes"/>
      <sheetName val="Sch F Index"/>
      <sheetName val="F-1 Corp Due &amp; Memberships"/>
      <sheetName val="F-2 Charitable Contributions"/>
      <sheetName val="F-3 Country Club Dues"/>
      <sheetName val="F-4 Emp Recog &amp; Activities"/>
      <sheetName val="Party, Outing, Gift DO NOT USE"/>
      <sheetName val="Adv OLD FORMAT DO NOT USE"/>
      <sheetName val="F-5 Cust. Serv.&amp;Sales Expense"/>
      <sheetName val="F-6  Advertising"/>
      <sheetName val="Prof Serv OLD FORMAT DO NOT USE"/>
      <sheetName val="F-7 Professional Services Exp"/>
      <sheetName val="F-8 Rate Case Expense"/>
      <sheetName val="F-9 Civic,Political Activities"/>
      <sheetName val="Expense Reports"/>
      <sheetName val="Sch G Index"/>
      <sheetName val="G-1 Payroll Cost"/>
      <sheetName val="G-2 Payroll Analysis"/>
      <sheetName val="G-3 Executive Comp "/>
      <sheetName val="WPG-2"/>
      <sheetName val="Gross Conversion Factor Index H"/>
      <sheetName val="Gross Conversion Factor H-1"/>
      <sheetName val="INDEX - I"/>
      <sheetName val="I-1 Comp Income Statement"/>
      <sheetName val="I-2 Revenue Stats"/>
      <sheetName val="I-3 Sales Stats"/>
      <sheetName val="Cost of Capital Index J"/>
      <sheetName val="J-1 Cost of Capital Summary"/>
      <sheetName val="J-1 Base Period Cost of Capital"/>
      <sheetName val="J-1.1, J-1.2 13 MO AVG WACC"/>
      <sheetName val="J-2"/>
      <sheetName val="J-3"/>
      <sheetName val="J-4"/>
      <sheetName val="SCH K INDEX"/>
      <sheetName val="K - Comparative Financial Data"/>
      <sheetName val="SCH L - Tariff"/>
      <sheetName val="Sch. L"/>
      <sheetName val="SCH M"/>
    </sheetNames>
    <sheetDataSet>
      <sheetData sheetId="0">
        <row r="10">
          <cell r="A10" t="str">
            <v>COLUMBIA GAS OF KENTUCKY, INC.</v>
          </cell>
        </row>
        <row r="16">
          <cell r="C16" t="str">
            <v>FOR THE TWELVE MONTHS ENDED AUGUST 31, 2016</v>
          </cell>
        </row>
        <row r="18">
          <cell r="C18" t="str">
            <v>FOR THE TWELVE MONTHS ENDED DECEMBER 31, 2017</v>
          </cell>
        </row>
      </sheetData>
      <sheetData sheetId="1"/>
      <sheetData sheetId="2"/>
      <sheetData sheetId="3">
        <row r="2">
          <cell r="A2" t="str">
            <v>CASE NO. 2016 - 00162</v>
          </cell>
        </row>
        <row r="4">
          <cell r="A4" t="str">
            <v>AS OF AUGUST 31, 2016</v>
          </cell>
        </row>
        <row r="8">
          <cell r="J8" t="str">
            <v>WITNESS:  S. M. KATKO</v>
          </cell>
        </row>
      </sheetData>
      <sheetData sheetId="4">
        <row r="4">
          <cell r="A4" t="str">
            <v>AS OF DECEMBER 31, 2017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9">
          <cell r="M9" t="str">
            <v>WITNESS:  J. T. CROOM</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Income Sum Index C"/>
      <sheetName val="Operating Income Sum Index D"/>
      <sheetName val="Operating Income Summary C-1"/>
      <sheetName val="Adj Operating Income Sum C-2"/>
      <sheetName val="Oper Rev&amp;Exp by Accts C2.1A"/>
      <sheetName val="Oper Rev&amp;Exp by Accts C2.1B"/>
      <sheetName val="Total Co Accts Activ C2.2A"/>
      <sheetName val="Total Co Accts Activ C2.2B"/>
      <sheetName val="Input O&amp;M FERC 7-13"/>
      <sheetName val="Input O&amp;M FERC 11-14"/>
      <sheetName val="DO NOT USE - Accts Activ C2.2A"/>
      <sheetName val="DO NOT USE - Accts Activ C2.2B"/>
      <sheetName val="D-1"/>
      <sheetName val="D-2.1"/>
      <sheetName val="D-2.2"/>
      <sheetName val="D-2.3"/>
      <sheetName val="D-2.4"/>
      <sheetName val="Input O&amp;M CE Adjustments"/>
    </sheetNames>
    <sheetDataSet>
      <sheetData sheetId="0" refreshError="1"/>
      <sheetData sheetId="1" refreshError="1"/>
      <sheetData sheetId="2" refreshError="1">
        <row r="1">
          <cell r="A1" t="str">
            <v>COLUMBIA GAS OF KENTUCKY, INC.</v>
          </cell>
        </row>
        <row r="4">
          <cell r="A4" t="str">
            <v>FOR THE BASE PERIOD 12 MONTHS ENDED JULY 31, 2013 AND THE FORECAST PERIOD 12 MONTHS ENDED NOVEMBER 30, 2014</v>
          </cell>
        </row>
        <row r="9">
          <cell r="M9" t="str">
            <v>WITNESS:  S. M. KATKO</v>
          </cell>
        </row>
      </sheetData>
      <sheetData sheetId="3" refreshError="1"/>
      <sheetData sheetId="4" refreshError="1">
        <row r="4">
          <cell r="A4" t="str">
            <v>FOR THE TWELVE MONTHS ENDED JULY 31, 2013</v>
          </cell>
        </row>
      </sheetData>
      <sheetData sheetId="5" refreshError="1">
        <row r="4">
          <cell r="A4" t="str">
            <v>FOR THE TWELVE MONTHS ENDED NOVEMBER 30, 2014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Financials Menu"/>
      <sheetName val="A (Input) Inv MO Service Charge"/>
      <sheetName val="B (Input) MO Volumes"/>
      <sheetName val="C (Input) MO ARC - RRC Charges"/>
      <sheetName val="D (Output)- Volume Analysis"/>
      <sheetName val="E (Calc) -MO ARC-RRC Charge"/>
      <sheetName val="F (Valid) - MO Service Charge"/>
      <sheetName val="G (Valid) - MO ARC-RRC Charge"/>
      <sheetName val="H (Ref) - Mnthly Svc Fees"/>
      <sheetName val="I (Ref) - Mnthly Baseline Units"/>
      <sheetName val="I(a) (Ref) Mnth Baseline %"/>
      <sheetName val="J (Ref) - ARC RRC Rates"/>
      <sheetName val="K Graph (Input)"/>
      <sheetName val="L Graph (Data)"/>
      <sheetName val="M Graph (Baseline)"/>
      <sheetName val="N Graph (RU)"/>
      <sheetName val="O Graph (Charges)"/>
      <sheetName val="SLA Menu"/>
      <sheetName val="K (Input) SLA Achieved"/>
      <sheetName val="L (Output) Service Credit"/>
      <sheetName val="M (Output) Srvice Credt True Up"/>
      <sheetName val="N (Valid) Service Credit Sum"/>
      <sheetName val="O (Ref) At Risk"/>
      <sheetName val="P (Ref) Pool Allocation"/>
      <sheetName val="(Ref) Invoice Detail "/>
      <sheetName val="Rate Schedu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1"/>
      <sheetName val="E-2"/>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S List"/>
      <sheetName val="Assumptions"/>
      <sheetName val="Analysis"/>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Sources"/>
      <sheetName val="Input"/>
      <sheetName val="Cover"/>
      <sheetName val="Table of Contents"/>
      <sheetName val="Sheet 1- Summary"/>
      <sheetName val="Pg. 2 - Composite"/>
      <sheetName val="Pg. 3 - Daily Demand"/>
      <sheetName val="Pg. 4 - Ann. Demand"/>
      <sheetName val="Pg. 5 - Commodity"/>
      <sheetName val="Pg. 6 - Comm. Rates &amp; Vol."/>
      <sheetName val="Pg. 7 - TCO&amp;CGT Rates"/>
      <sheetName val="Pg. 8 - Transco Rates"/>
      <sheetName val="Pg. 9 - Sales"/>
      <sheetName val="Pg. 10 - Banking"/>
      <sheetName val="Pg. 11 - Misc."/>
      <sheetName val="Pg. 12 PDS"/>
      <sheetName val="Pg. 13 - Balancing Charge"/>
      <sheetName val="Pg. 14 - Variable Storage"/>
      <sheetName val="Pg. 15 - Total Gas Cost"/>
      <sheetName val="Pg 16- Comm. Actual"/>
      <sheetName val="Pg. 17 - Dem Actual"/>
      <sheetName val="Pg. 18 - Alloc"/>
      <sheetName val="Pg. 19 - EBS"/>
      <sheetName val="Pg. 20 - SIS"/>
      <sheetName val="Tabs"/>
    </sheetNames>
    <sheetDataSet>
      <sheetData sheetId="0"/>
      <sheetData sheetId="1">
        <row r="11">
          <cell r="B11">
            <v>1.0379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ter Configuration"/>
      <sheetName val="Location"/>
      <sheetName val="BT Order Form - Equipment"/>
      <sheetName val="BT Order Form - Services"/>
      <sheetName val="Maint Countries"/>
      <sheetName val="Clarification"/>
      <sheetName val="Cisco Price List"/>
      <sheetName val="Baseline Support"/>
      <sheetName val="Getronics in-Country Entit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Income Sum Index C"/>
      <sheetName val="Operating Income Summary C-1"/>
      <sheetName val="Adj Operating Income Sum C-2"/>
      <sheetName val="Oper Rev&amp;Exp by Accts C2.1p1-2"/>
      <sheetName val="Total Co Accts Activ C2.2p1-10"/>
    </sheetNames>
    <sheetDataSet>
      <sheetData sheetId="0" refreshError="1"/>
      <sheetData sheetId="1">
        <row r="4">
          <cell r="A4" t="str">
            <v>FOR THE TWELVE MONTHS ENDED JUNE 30, 2009</v>
          </cell>
        </row>
      </sheetData>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B"/>
      <sheetName val="526849-48"/>
      <sheetName val="106200"/>
      <sheetName val="Input"/>
      <sheetName val="Weather"/>
      <sheetName val="Calculations"/>
      <sheetName val="Cash Working Cap"/>
      <sheetName val="Debt and Equity"/>
      <sheetName val="issue nxt qtr"/>
      <sheetName val="NH Return on Rate Base ReportFi"/>
      <sheetName val="#REF"/>
    </sheetNames>
    <sheetDataSet>
      <sheetData sheetId="0" refreshError="1">
        <row r="2">
          <cell r="B2" t="str">
            <v>New Hampshire Division</v>
          </cell>
        </row>
        <row r="3">
          <cell r="B3" t="str">
            <v>Historical Rates of Return - Normalized</v>
          </cell>
        </row>
        <row r="4">
          <cell r="B4" t="str">
            <v>12 Months Ending  09/30/03</v>
          </cell>
        </row>
        <row r="7">
          <cell r="B7" t="str">
            <v>Cost of Service :</v>
          </cell>
          <cell r="D7" t="str">
            <v>Actuals</v>
          </cell>
          <cell r="E7" t="str">
            <v>Per Settlement</v>
          </cell>
        </row>
        <row r="9">
          <cell r="B9" t="str">
            <v xml:space="preserve">Revenues </v>
          </cell>
          <cell r="D9">
            <v>55676556.019999996</v>
          </cell>
          <cell r="E9">
            <v>47746999</v>
          </cell>
        </row>
        <row r="10">
          <cell r="B10" t="str">
            <v>Weather Adjustment ( After Tax )</v>
          </cell>
          <cell r="D10">
            <v>-579544.02674999996</v>
          </cell>
        </row>
        <row r="11">
          <cell r="B11" t="str">
            <v>Gas Costs</v>
          </cell>
          <cell r="D11">
            <v>-35263858.420000002</v>
          </cell>
          <cell r="E11">
            <v>-28866180</v>
          </cell>
        </row>
        <row r="12">
          <cell r="B12" t="str">
            <v>Normalized Revenues</v>
          </cell>
          <cell r="D12">
            <v>19833153.573249996</v>
          </cell>
          <cell r="E12">
            <v>18880819</v>
          </cell>
        </row>
        <row r="13">
          <cell r="F13">
            <v>513401</v>
          </cell>
        </row>
        <row r="14">
          <cell r="B14" t="str">
            <v>O&amp;M:</v>
          </cell>
        </row>
        <row r="15">
          <cell r="B15" t="str">
            <v>Other Production</v>
          </cell>
          <cell r="D15">
            <v>87642.079999999987</v>
          </cell>
          <cell r="E15">
            <v>94112</v>
          </cell>
        </row>
        <row r="16">
          <cell r="B16" t="str">
            <v>Distribution</v>
          </cell>
          <cell r="D16">
            <v>1613597.9500000002</v>
          </cell>
          <cell r="E16">
            <v>2435651</v>
          </cell>
        </row>
        <row r="17">
          <cell r="B17" t="str">
            <v>Customer Accounting</v>
          </cell>
          <cell r="D17">
            <v>1375486.29</v>
          </cell>
          <cell r="E17">
            <v>651787</v>
          </cell>
        </row>
        <row r="18">
          <cell r="B18" t="str">
            <v>Sales &amp; New Business</v>
          </cell>
          <cell r="D18">
            <v>786319.4</v>
          </cell>
          <cell r="E18">
            <v>362580</v>
          </cell>
        </row>
        <row r="19">
          <cell r="B19" t="str">
            <v>Admin. &amp; General</v>
          </cell>
          <cell r="D19">
            <v>5400521.0600000005</v>
          </cell>
          <cell r="E19">
            <v>4185559</v>
          </cell>
          <cell r="F19" t="str">
            <v>(a)</v>
          </cell>
        </row>
        <row r="20">
          <cell r="B20" t="str">
            <v>Subtotal O&amp;M</v>
          </cell>
          <cell r="D20">
            <v>9263566.7800000012</v>
          </cell>
          <cell r="E20">
            <v>7729689</v>
          </cell>
        </row>
        <row r="21">
          <cell r="F21" t="str">
            <v>523722</v>
          </cell>
        </row>
        <row r="22">
          <cell r="B22" t="str">
            <v>Federal &amp; State Income Tax</v>
          </cell>
          <cell r="D22">
            <v>2728469.0292175002</v>
          </cell>
          <cell r="E22">
            <v>2072231</v>
          </cell>
        </row>
        <row r="23">
          <cell r="B23" t="str">
            <v>Property Tax</v>
          </cell>
          <cell r="D23">
            <v>1325069.69</v>
          </cell>
          <cell r="E23">
            <v>1415023</v>
          </cell>
        </row>
        <row r="24">
          <cell r="B24" t="str">
            <v>Other Tax</v>
          </cell>
          <cell r="C24" t="str">
            <v>?</v>
          </cell>
          <cell r="D24">
            <v>198077.43999999994</v>
          </cell>
          <cell r="E24">
            <v>388546</v>
          </cell>
          <cell r="F24" t="str">
            <v>523603</v>
          </cell>
        </row>
        <row r="25">
          <cell r="B25" t="str">
            <v>Depreciation</v>
          </cell>
          <cell r="D25">
            <v>2980385.88</v>
          </cell>
          <cell r="E25">
            <v>2869213</v>
          </cell>
          <cell r="F25" t="str">
            <v>523611</v>
          </cell>
          <cell r="G25" t="str">
            <v>Pension &amp; Benefit Reserves</v>
          </cell>
        </row>
        <row r="26">
          <cell r="B26" t="str">
            <v>Amortization</v>
          </cell>
          <cell r="D26">
            <v>414129.72</v>
          </cell>
          <cell r="E26">
            <v>164759</v>
          </cell>
          <cell r="F26" t="str">
            <v>(a)</v>
          </cell>
        </row>
        <row r="27">
          <cell r="B27" t="str">
            <v>Operating Rents</v>
          </cell>
          <cell r="D27">
            <v>-404214.45</v>
          </cell>
          <cell r="E27">
            <v>-400982</v>
          </cell>
          <cell r="F27" t="str">
            <v>526300</v>
          </cell>
          <cell r="G27" t="str">
            <v>Total Rate Base</v>
          </cell>
        </row>
        <row r="28">
          <cell r="B28" t="str">
            <v>Interest on Customer Deposits</v>
          </cell>
          <cell r="D28">
            <v>19051.25</v>
          </cell>
          <cell r="E28">
            <v>18676</v>
          </cell>
        </row>
        <row r="29">
          <cell r="G29" t="str">
            <v>Utility Operating Income</v>
          </cell>
        </row>
        <row r="30">
          <cell r="B30" t="str">
            <v xml:space="preserve">     Subtotal Operating Expenses</v>
          </cell>
          <cell r="D30">
            <v>16524535.339217499</v>
          </cell>
          <cell r="E30">
            <v>14257155</v>
          </cell>
        </row>
        <row r="33">
          <cell r="G33" t="str">
            <v>Return on Rate Base</v>
          </cell>
        </row>
        <row r="35">
          <cell r="B35" t="str">
            <v>Total Operating Expenses</v>
          </cell>
          <cell r="D35">
            <v>16524535.339217499</v>
          </cell>
          <cell r="E35">
            <v>14257155</v>
          </cell>
          <cell r="G35" t="str">
            <v>Return on Common Equity</v>
          </cell>
        </row>
        <row r="37">
          <cell r="B37" t="str">
            <v>Utility Operating Income</v>
          </cell>
          <cell r="D37">
            <v>3308618.2340324968</v>
          </cell>
          <cell r="E37">
            <v>4623664</v>
          </cell>
        </row>
        <row r="40">
          <cell r="A40" t="str">
            <v xml:space="preserve"> </v>
          </cell>
          <cell r="B40" t="str">
            <v>Return Surplus (Deficiency)</v>
          </cell>
          <cell r="D40">
            <v>-1117794.9672567276</v>
          </cell>
        </row>
        <row r="41">
          <cell r="B41" t="str">
            <v>Revenue Surplus (Deficiency)</v>
          </cell>
          <cell r="D41">
            <v>-1879436.683071421</v>
          </cell>
        </row>
        <row r="45">
          <cell r="B45" t="str">
            <v>Notes:</v>
          </cell>
        </row>
        <row r="47">
          <cell r="B47" t="str">
            <v>Northern's last rate case, D601-182, was settled.  The per</v>
          </cell>
          <cell r="G47" t="str">
            <v>Debt</v>
          </cell>
        </row>
        <row r="48">
          <cell r="B48" t="str">
            <v>settlement numbers are from the Staff's schedules.</v>
          </cell>
          <cell r="G48" t="str">
            <v>Preferred Stock</v>
          </cell>
        </row>
        <row r="49">
          <cell r="G49" t="str">
            <v>Common Equity</v>
          </cell>
        </row>
      </sheetData>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A2" t="str">
            <v>CASE NO. 2002-00145</v>
          </cell>
        </row>
        <row r="3">
          <cell r="A3" t="str">
            <v>ADJUSTMENT TO PAYROLL TAXES</v>
          </cell>
        </row>
        <row r="4">
          <cell r="A4" t="str">
            <v>FOR THE TWELVE MONTHS ENDED DECEMBER 31, 2001</v>
          </cell>
        </row>
        <row r="6">
          <cell r="F6" t="str">
            <v>WPD-2.10</v>
          </cell>
        </row>
        <row r="7">
          <cell r="F7" t="str">
            <v>SHEET 1 OF 1</v>
          </cell>
        </row>
        <row r="8">
          <cell r="F8" t="str">
            <v>REFERENCE: WPD-2.4</v>
          </cell>
        </row>
        <row r="11">
          <cell r="A11" t="str">
            <v>LINE</v>
          </cell>
          <cell r="E11" t="str">
            <v xml:space="preserve">TAXABLE @ </v>
          </cell>
          <cell r="G11" t="str">
            <v xml:space="preserve">TAXABLE @ </v>
          </cell>
        </row>
        <row r="12">
          <cell r="A12" t="str">
            <v>NO.</v>
          </cell>
          <cell r="C12" t="str">
            <v>DESCRIPTION</v>
          </cell>
          <cell r="E12" t="str">
            <v>OASDI &amp; HI</v>
          </cell>
          <cell r="G12" t="str">
            <v>HI ONLY</v>
          </cell>
        </row>
        <row r="13">
          <cell r="E13" t="str">
            <v>(1)</v>
          </cell>
          <cell r="G13" t="str">
            <v>(2)</v>
          </cell>
        </row>
        <row r="14">
          <cell r="E14" t="str">
            <v>$</v>
          </cell>
        </row>
        <row r="15">
          <cell r="A15">
            <v>1</v>
          </cell>
          <cell r="C15" t="str">
            <v>O&amp;M PAYROLL ADJUSTMENT [1]</v>
          </cell>
          <cell r="E15">
            <v>129205</v>
          </cell>
        </row>
        <row r="17">
          <cell r="A17">
            <v>2</v>
          </cell>
          <cell r="C17" t="str">
            <v>TAX RATE</v>
          </cell>
          <cell r="E17">
            <v>7.6499999999999999E-2</v>
          </cell>
        </row>
        <row r="19">
          <cell r="A19">
            <v>3</v>
          </cell>
          <cell r="C19" t="str">
            <v>SUBTOTAL</v>
          </cell>
          <cell r="E19">
            <v>9884</v>
          </cell>
        </row>
        <row r="21">
          <cell r="A21">
            <v>4</v>
          </cell>
          <cell r="C21" t="str">
            <v>INCREASE IN MAXIMUM SUBJECT TO SOCIAL SECURITY</v>
          </cell>
          <cell r="E21">
            <v>4500</v>
          </cell>
        </row>
        <row r="22">
          <cell r="A22">
            <v>5</v>
          </cell>
          <cell r="C22" t="str">
            <v>($84,900 - $80,400)</v>
          </cell>
        </row>
        <row r="24">
          <cell r="A24">
            <v>6</v>
          </cell>
          <cell r="C24" t="str">
            <v>NUMBER OF EMPLOYEES</v>
          </cell>
          <cell r="E24">
            <v>4</v>
          </cell>
        </row>
        <row r="26">
          <cell r="A26">
            <v>7</v>
          </cell>
          <cell r="C26" t="str">
            <v>INCREASE IN BASE</v>
          </cell>
          <cell r="E26">
            <v>18000</v>
          </cell>
        </row>
        <row r="28">
          <cell r="A28">
            <v>8</v>
          </cell>
          <cell r="C28" t="str">
            <v>TAX RATE</v>
          </cell>
          <cell r="E28">
            <v>6.2E-2</v>
          </cell>
        </row>
        <row r="30">
          <cell r="A30">
            <v>9</v>
          </cell>
          <cell r="C30" t="str">
            <v>SUBTOTAL</v>
          </cell>
          <cell r="E30">
            <v>1116</v>
          </cell>
        </row>
        <row r="32">
          <cell r="A32">
            <v>10</v>
          </cell>
          <cell r="C32" t="str">
            <v>TOTAL FICA ADJUSTMENT</v>
          </cell>
          <cell r="E32">
            <v>11000</v>
          </cell>
        </row>
        <row r="35">
          <cell r="C35" t="str">
            <v>NOTES:</v>
          </cell>
        </row>
        <row r="36">
          <cell r="C36" t="str">
            <v>[1]  SEE SHEET 1 OF WPD-2.4</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Instructions"/>
      <sheetName val="Reconciliation"/>
      <sheetName val="US Detail"/>
      <sheetName val="AS"/>
      <sheetName val="Client Svcs"/>
      <sheetName val="GNS"/>
      <sheetName val="Tech Svcs"/>
      <sheetName val="Client Mgmt"/>
      <sheetName val="HQ"/>
      <sheetName val="INTL Other"/>
      <sheetName val="Total"/>
      <sheetName val="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ng Sheet"/>
      <sheetName val="Index"/>
      <sheetName val="Rev Def Sum"/>
      <sheetName val="Rev Requirement"/>
      <sheetName val="Gross Conversion Factor"/>
      <sheetName val="Proforma Adjustments"/>
      <sheetName val="Revenue  Sheet 1"/>
      <sheetName val="Summary Sheet 2"/>
      <sheetName val="Per Books Purchase Gas Exp"/>
      <sheetName val="Annualized Purchase Gas Exp "/>
      <sheetName val="Unadj. Rev 2-A"/>
      <sheetName val="Bills 2-B"/>
      <sheetName val="Mcf 2-C"/>
      <sheetName val="Norm 2-D"/>
      <sheetName val="Adj. Exhibt 2-E"/>
      <sheetName val="Adj to OGDR 2-F"/>
      <sheetName val="O&amp;M Expenses"/>
      <sheetName val="O&amp;M Adjustment Summary"/>
      <sheetName val="Labor Adj. Summary"/>
      <sheetName val="Wage Increase"/>
      <sheetName val="Gross Payroll Summary"/>
      <sheetName val="O&amp;M Percentage"/>
      <sheetName val="Incentive"/>
      <sheetName val="Profit Sharing"/>
      <sheetName val="Pensions &amp; Benefits Adj "/>
      <sheetName val="NCSC Test Year Adj"/>
      <sheetName val="Incentive Comp"/>
      <sheetName val="IBM IT"/>
      <sheetName val="NCSC Labor &amp; Benefits"/>
      <sheetName val="Lobbying Adj"/>
      <sheetName val="Lease Expense"/>
      <sheetName val="Corporate Insurance"/>
      <sheetName val="Fuel Used in Co Operations"/>
      <sheetName val="Uncollectible Adj."/>
      <sheetName val="Rate Case Expense Adj"/>
      <sheetName val="DSM Surcharge Adjustment"/>
      <sheetName val="PSC &amp; PC Fees Adj"/>
      <sheetName val="Injuries&amp; Damages Adj"/>
      <sheetName val="Meter Reading Costs"/>
      <sheetName val="Depreciation Expense Summary"/>
      <sheetName val="Taxes Other than Income Sum"/>
      <sheetName val="Payroll Taxes Adj"/>
      <sheetName val="Property Tax Adj"/>
      <sheetName val="Gross Receipts Tax Adj"/>
      <sheetName val="Inc Tax"/>
      <sheetName val="Statutory Adj"/>
      <sheetName val="Interest on Cust Deposits"/>
      <sheetName val="AFUDC"/>
      <sheetName val="Rate Base"/>
      <sheetName val="In Ser Acct 101 Sum"/>
      <sheetName val="106 "/>
      <sheetName val="107 "/>
      <sheetName val="Depreciation Reserve "/>
      <sheetName val="Material &amp; Supplies"/>
      <sheetName val="Def Tx CIAC"/>
      <sheetName val="Def Tx Inv"/>
      <sheetName val="Customer Deposits"/>
      <sheetName val="Cust Adv  Const"/>
      <sheetName val="Def Inc Taxes"/>
      <sheetName val="Def Tx Hdqts Bldg"/>
      <sheetName val="Lead Lag"/>
      <sheetName val="Cost of Capital"/>
      <sheetName val="Annualized Labor 6-30-08 Wpap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sheetName val="Remit"/>
      <sheetName val="August Timesheets"/>
      <sheetName val="September Timesheets"/>
      <sheetName val="September Travel Detail"/>
      <sheetName val="HWSW"/>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chedule M Input"/>
      <sheetName val="Fin Sum Index A"/>
      <sheetName val="Overall Fin Sum Sch-A"/>
      <sheetName val="Rate Base Index B"/>
      <sheetName val="Rate Base Summary Sch B-1"/>
      <sheetName val="Plant in Service B-2"/>
      <sheetName val="PP&amp;E  by Accounts B-2.1"/>
      <sheetName val="PP&amp;E by Accts by Type B-2.1a"/>
      <sheetName val="Adj to PP&amp;E B-2.2"/>
      <sheetName val="PP&amp;E Add. Retire. Trans. B-2.3"/>
      <sheetName val="PP&amp;E Prop Merged Acquired B-2.4"/>
      <sheetName val="Leased Property B-2.5"/>
      <sheetName val="Property for Future Use B-2.6"/>
      <sheetName val="Property Excluded B-2.7"/>
      <sheetName val="Accum Depr &amp; Amort Summary B-3"/>
      <sheetName val="Adj. to Accum Dep &amp; Amort B-3.1"/>
      <sheetName val="Dep Accur Rates &amp; Acc Bal B-3.2"/>
      <sheetName val="CWIP B-4"/>
      <sheetName val="Allowance for Work Capital B-5"/>
      <sheetName val="WC Comp 13 Mon Avg Bal B-5.1"/>
      <sheetName val="WC Comp 1-8 O&amp;M Exp  B-5.2"/>
      <sheetName val="Def Cr &amp; Accum Def Inc Tax B-6"/>
      <sheetName val="B-7"/>
      <sheetName val="B-7.1"/>
      <sheetName val="B-7.2"/>
      <sheetName val="Comparative Bal Sheets B-8"/>
      <sheetName val="Operating Income Sum Index C"/>
      <sheetName val="Operating Income Summary C-1"/>
      <sheetName val="Adj Operating Income Sum C-2"/>
      <sheetName val="Oper Rev&amp;Exp by Accts C2.1p1-2"/>
      <sheetName val="Total Co Accts Activ C2.2p1-11"/>
      <sheetName val="Adj to Operating Income Index D"/>
      <sheetName val="Sum Adj  Oper Inc D-1, Sht 1-2"/>
      <sheetName val="Ann of Sales Rev D-2.1, Sht 1-6"/>
      <sheetName val="Labor Adj D-2.2"/>
      <sheetName val="Bonus Accrual-Incen Comp  D-2.3"/>
      <sheetName val="Benefits Adj D-2.4"/>
      <sheetName val="Postage D-2.5"/>
      <sheetName val="Depr Exp Adj D-2.6"/>
      <sheetName val="Depr Exp Adj D-2.6 p2"/>
      <sheetName val="Rate Case Expense D-2.7"/>
      <sheetName val="NCSC D-2.8 p1"/>
      <sheetName val="NCSC D-2.8 p2 "/>
      <sheetName val="NCSC D-2.8 p3"/>
      <sheetName val="NCSC D-2.8 p4"/>
      <sheetName val="NCSC D-2.8 p5"/>
      <sheetName val="NCSC D-2.8 p6"/>
      <sheetName val="Corporate Insurance  D-2.9"/>
      <sheetName val="Payroll Tax Adj D-2.10"/>
      <sheetName val="Property Tax Adj D-2.11"/>
      <sheetName val="Out-of-Period D-2.12"/>
      <sheetName val="Non-Recoverable D-2.13"/>
      <sheetName val="D-3"/>
      <sheetName val="D-4"/>
      <sheetName val="D-5"/>
      <sheetName val="Income Taxes Index E"/>
      <sheetName val="Fed &amp; State Income Taxes E-1.1"/>
      <sheetName val="Develop Fed &amp; State Inc Tax E-2"/>
      <sheetName val="Other Expenses Index F"/>
      <sheetName val="Payroll Cost Analysis Index G"/>
      <sheetName val="Gross Conversion Factor Index H"/>
      <sheetName val="Gross Conversion Factor H-1"/>
      <sheetName val="Statisical Data Index I"/>
      <sheetName val="Cost of Capital Index J"/>
      <sheetName val="Cost of Capital Summary J-1"/>
      <sheetName val="Avg Base Period  Cap Str J-1.1"/>
      <sheetName val="Embedded Cost of STD J-2"/>
      <sheetName val="Embedded Cost of LTD J-3"/>
      <sheetName val="Embedded Cost of Pre Stock J-4"/>
      <sheetName val="Financial Data Index K"/>
      <sheetName val="Rates &amp; Tariffs Index L"/>
      <sheetName val="Sch. L"/>
      <sheetName val="WPB-5.1 MIS WC"/>
      <sheetName val="WPB-6 Acct. 101, 252, 255, 283"/>
      <sheetName val="Acct. 282 pg 1"/>
      <sheetName val="Acct. 282 pg 2"/>
      <sheetName val="Acct. 19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MAstsumry"/>
      <sheetName val="Exectutive Summry vs. GL"/>
      <sheetName val="ACTIVITY TIE OUT"/>
      <sheetName val="Working Gas Storage Position"/>
      <sheetName val="BOOK 0503"/>
      <sheetName val="storgvol_smrypricing_GL"/>
      <sheetName val="DSAR"/>
      <sheetName val="summary by source 2004"/>
    </sheetNames>
    <sheetDataSet>
      <sheetData sheetId="0"/>
      <sheetData sheetId="1"/>
      <sheetData sheetId="2"/>
      <sheetData sheetId="3"/>
      <sheetData sheetId="4"/>
      <sheetData sheetId="5"/>
      <sheetData sheetId="6"/>
      <sheetData sheetId="7" refreshError="1">
        <row r="6">
          <cell r="A6">
            <v>1</v>
          </cell>
          <cell r="B6">
            <v>76</v>
          </cell>
          <cell r="C6">
            <v>-96</v>
          </cell>
          <cell r="D6">
            <v>0</v>
          </cell>
          <cell r="E6">
            <v>-191</v>
          </cell>
          <cell r="F6">
            <v>0</v>
          </cell>
          <cell r="G6">
            <v>-89</v>
          </cell>
          <cell r="H6">
            <v>-104</v>
          </cell>
          <cell r="I6">
            <v>-49</v>
          </cell>
          <cell r="J6">
            <v>-100</v>
          </cell>
          <cell r="K6">
            <v>-32</v>
          </cell>
          <cell r="L6">
            <v>-16</v>
          </cell>
          <cell r="M6">
            <v>-414</v>
          </cell>
          <cell r="P6">
            <v>-1015</v>
          </cell>
          <cell r="S6">
            <v>-601.89285714285711</v>
          </cell>
          <cell r="T6">
            <v>-1015</v>
          </cell>
          <cell r="U6">
            <v>-750</v>
          </cell>
          <cell r="V6">
            <v>-601.89285714285711</v>
          </cell>
          <cell r="W6">
            <v>-374</v>
          </cell>
          <cell r="X6">
            <v>-405</v>
          </cell>
          <cell r="Y6">
            <v>-317.07142857142856</v>
          </cell>
          <cell r="AA6">
            <v>0</v>
          </cell>
          <cell r="AB6">
            <v>-12.178571428571429</v>
          </cell>
          <cell r="AF6">
            <v>0</v>
          </cell>
          <cell r="AG6">
            <v>2.6428571428571428</v>
          </cell>
          <cell r="AL6">
            <v>-287</v>
          </cell>
          <cell r="AM6">
            <v>-345</v>
          </cell>
          <cell r="AN6">
            <v>-275.28571428571428</v>
          </cell>
          <cell r="AR6">
            <v>-661</v>
          </cell>
          <cell r="AS6">
            <v>-750</v>
          </cell>
          <cell r="AT6">
            <v>-592.35714285714289</v>
          </cell>
          <cell r="AV6">
            <v>-16.321428571428573</v>
          </cell>
          <cell r="AW6">
            <v>-74.857142857142861</v>
          </cell>
          <cell r="AX6">
            <v>-90.678571428571431</v>
          </cell>
          <cell r="AY6">
            <v>-73.642857142857139</v>
          </cell>
          <cell r="AZ6">
            <v>-27.071428571428573</v>
          </cell>
          <cell r="BA6">
            <v>-34.5</v>
          </cell>
          <cell r="BB6">
            <v>-212.03571428571428</v>
          </cell>
          <cell r="BC6">
            <v>1.5</v>
          </cell>
          <cell r="BD6">
            <v>-59.5</v>
          </cell>
          <cell r="BE6">
            <v>-5.25</v>
          </cell>
          <cell r="BJ6">
            <v>-15</v>
          </cell>
          <cell r="BK6">
            <v>-110</v>
          </cell>
          <cell r="BL6">
            <v>-100</v>
          </cell>
          <cell r="BM6">
            <v>-100</v>
          </cell>
          <cell r="BN6">
            <v>-35</v>
          </cell>
          <cell r="BO6">
            <v>-45</v>
          </cell>
          <cell r="BP6">
            <v>-225</v>
          </cell>
          <cell r="BQ6">
            <v>-40</v>
          </cell>
          <cell r="BR6">
            <v>-80</v>
          </cell>
          <cell r="BS6">
            <v>0</v>
          </cell>
          <cell r="BY6">
            <v>-0.60189285714285712</v>
          </cell>
          <cell r="CB6">
            <v>-1.0149999999999999</v>
          </cell>
          <cell r="CD6">
            <v>-0.60189285714285712</v>
          </cell>
        </row>
        <row r="7">
          <cell r="A7">
            <v>2</v>
          </cell>
          <cell r="B7">
            <v>-33</v>
          </cell>
          <cell r="C7">
            <v>-90</v>
          </cell>
          <cell r="D7">
            <v>-17</v>
          </cell>
          <cell r="E7">
            <v>-151</v>
          </cell>
          <cell r="F7">
            <v>0</v>
          </cell>
          <cell r="G7">
            <v>-111</v>
          </cell>
          <cell r="H7">
            <v>-105</v>
          </cell>
          <cell r="I7">
            <v>-45</v>
          </cell>
          <cell r="J7">
            <v>-97</v>
          </cell>
          <cell r="K7">
            <v>-37</v>
          </cell>
          <cell r="L7">
            <v>-33</v>
          </cell>
          <cell r="M7">
            <v>-706</v>
          </cell>
          <cell r="P7">
            <v>-1425</v>
          </cell>
          <cell r="S7">
            <v>-601.89285714285711</v>
          </cell>
          <cell r="T7">
            <v>-1425</v>
          </cell>
          <cell r="U7">
            <v>-750</v>
          </cell>
          <cell r="V7">
            <v>-601.89285714285711</v>
          </cell>
          <cell r="W7">
            <v>-395</v>
          </cell>
          <cell r="X7">
            <v>-405</v>
          </cell>
          <cell r="Y7">
            <v>-317.07142857142856</v>
          </cell>
          <cell r="AA7">
            <v>0</v>
          </cell>
          <cell r="AB7">
            <v>-12.178571428571429</v>
          </cell>
          <cell r="AF7">
            <v>0</v>
          </cell>
          <cell r="AG7">
            <v>2.6428571428571428</v>
          </cell>
          <cell r="AL7">
            <v>-258</v>
          </cell>
          <cell r="AM7">
            <v>-345</v>
          </cell>
          <cell r="AN7">
            <v>-275.28571428571428</v>
          </cell>
          <cell r="AR7">
            <v>-653</v>
          </cell>
          <cell r="AS7">
            <v>-750</v>
          </cell>
          <cell r="AT7">
            <v>-592.35714285714289</v>
          </cell>
          <cell r="AV7">
            <v>-16.321428571428573</v>
          </cell>
          <cell r="AW7">
            <v>-74.857142857142861</v>
          </cell>
          <cell r="AX7">
            <v>-90.678571428571431</v>
          </cell>
          <cell r="AY7">
            <v>-73.642857142857139</v>
          </cell>
          <cell r="AZ7">
            <v>-27.071428571428573</v>
          </cell>
          <cell r="BA7">
            <v>-34.5</v>
          </cell>
          <cell r="BB7">
            <v>-212.03571428571428</v>
          </cell>
          <cell r="BC7">
            <v>1.5</v>
          </cell>
          <cell r="BD7">
            <v>-59.5</v>
          </cell>
          <cell r="BE7">
            <v>-5.25</v>
          </cell>
          <cell r="BJ7">
            <v>-15</v>
          </cell>
          <cell r="BK7">
            <v>-110</v>
          </cell>
          <cell r="BL7">
            <v>-100</v>
          </cell>
          <cell r="BM7">
            <v>-100</v>
          </cell>
          <cell r="BN7">
            <v>-35</v>
          </cell>
          <cell r="BO7">
            <v>-45</v>
          </cell>
          <cell r="BP7">
            <v>-225</v>
          </cell>
          <cell r="BQ7">
            <v>-40</v>
          </cell>
          <cell r="BR7">
            <v>-80</v>
          </cell>
          <cell r="BS7">
            <v>0</v>
          </cell>
          <cell r="BY7">
            <v>-1.2037857142857142</v>
          </cell>
          <cell r="CB7">
            <v>-2.44</v>
          </cell>
          <cell r="CD7">
            <v>-1.2037857142857142</v>
          </cell>
        </row>
        <row r="8">
          <cell r="A8">
            <v>3</v>
          </cell>
          <cell r="B8">
            <v>-30</v>
          </cell>
          <cell r="C8">
            <v>-84</v>
          </cell>
          <cell r="D8">
            <v>0</v>
          </cell>
          <cell r="E8">
            <v>-163</v>
          </cell>
          <cell r="F8">
            <v>0</v>
          </cell>
          <cell r="G8">
            <v>-33</v>
          </cell>
          <cell r="H8">
            <v>-105</v>
          </cell>
          <cell r="I8">
            <v>-28</v>
          </cell>
          <cell r="J8">
            <v>-86</v>
          </cell>
          <cell r="K8">
            <v>-11</v>
          </cell>
          <cell r="L8">
            <v>0</v>
          </cell>
          <cell r="M8">
            <v>-528</v>
          </cell>
          <cell r="P8">
            <v>-1068</v>
          </cell>
          <cell r="S8">
            <v>-601.89285714285711</v>
          </cell>
          <cell r="T8">
            <v>-1068</v>
          </cell>
          <cell r="U8">
            <v>-750</v>
          </cell>
          <cell r="V8">
            <v>-601.89285714285711</v>
          </cell>
          <cell r="W8">
            <v>-263</v>
          </cell>
          <cell r="X8">
            <v>-405</v>
          </cell>
          <cell r="Y8">
            <v>-317.07142857142856</v>
          </cell>
          <cell r="AA8">
            <v>0</v>
          </cell>
          <cell r="AB8">
            <v>-12.178571428571429</v>
          </cell>
          <cell r="AF8">
            <v>0</v>
          </cell>
          <cell r="AG8">
            <v>2.6428571428571428</v>
          </cell>
          <cell r="AL8">
            <v>-247</v>
          </cell>
          <cell r="AM8">
            <v>-345</v>
          </cell>
          <cell r="AN8">
            <v>-275.28571428571428</v>
          </cell>
          <cell r="AR8">
            <v>-510</v>
          </cell>
          <cell r="AS8">
            <v>-750</v>
          </cell>
          <cell r="AT8">
            <v>-592.35714285714289</v>
          </cell>
          <cell r="AV8">
            <v>-16.321428571428573</v>
          </cell>
          <cell r="AW8">
            <v>-74.857142857142861</v>
          </cell>
          <cell r="AX8">
            <v>-90.678571428571431</v>
          </cell>
          <cell r="AY8">
            <v>-73.642857142857139</v>
          </cell>
          <cell r="AZ8">
            <v>-27.071428571428573</v>
          </cell>
          <cell r="BA8">
            <v>-34.5</v>
          </cell>
          <cell r="BB8">
            <v>-212.03571428571428</v>
          </cell>
          <cell r="BC8">
            <v>1.5</v>
          </cell>
          <cell r="BD8">
            <v>-59.5</v>
          </cell>
          <cell r="BE8">
            <v>-5.25</v>
          </cell>
          <cell r="BJ8">
            <v>-15</v>
          </cell>
          <cell r="BK8">
            <v>-110</v>
          </cell>
          <cell r="BL8">
            <v>-100</v>
          </cell>
          <cell r="BM8">
            <v>-100</v>
          </cell>
          <cell r="BN8">
            <v>-35</v>
          </cell>
          <cell r="BO8">
            <v>-45</v>
          </cell>
          <cell r="BP8">
            <v>-225</v>
          </cell>
          <cell r="BQ8">
            <v>-40</v>
          </cell>
          <cell r="BR8">
            <v>-80</v>
          </cell>
          <cell r="BS8">
            <v>0</v>
          </cell>
          <cell r="BY8">
            <v>-1.8056785714285715</v>
          </cell>
          <cell r="CB8">
            <v>-3.508</v>
          </cell>
          <cell r="CD8">
            <v>-1.8056785714285715</v>
          </cell>
        </row>
        <row r="9">
          <cell r="A9">
            <v>4</v>
          </cell>
          <cell r="B9">
            <v>-60</v>
          </cell>
          <cell r="C9">
            <v>-52</v>
          </cell>
          <cell r="D9">
            <v>0</v>
          </cell>
          <cell r="E9">
            <v>0</v>
          </cell>
          <cell r="F9">
            <v>0</v>
          </cell>
          <cell r="G9">
            <v>-12</v>
          </cell>
          <cell r="H9">
            <v>-105</v>
          </cell>
          <cell r="I9">
            <v>0</v>
          </cell>
          <cell r="J9">
            <v>-98</v>
          </cell>
          <cell r="K9">
            <v>-4</v>
          </cell>
          <cell r="L9">
            <v>90</v>
          </cell>
          <cell r="M9">
            <v>-67</v>
          </cell>
          <cell r="P9">
            <v>-308</v>
          </cell>
          <cell r="S9">
            <v>-601.89285714285711</v>
          </cell>
          <cell r="T9">
            <v>-308</v>
          </cell>
          <cell r="U9">
            <v>-750</v>
          </cell>
          <cell r="V9">
            <v>-601.89285714285711</v>
          </cell>
          <cell r="W9">
            <v>-219</v>
          </cell>
          <cell r="X9">
            <v>-405</v>
          </cell>
          <cell r="Y9">
            <v>-317.07142857142856</v>
          </cell>
          <cell r="AA9">
            <v>0</v>
          </cell>
          <cell r="AB9">
            <v>-12.178571428571429</v>
          </cell>
          <cell r="AF9">
            <v>0</v>
          </cell>
          <cell r="AG9">
            <v>2.6428571428571428</v>
          </cell>
          <cell r="AL9">
            <v>-52</v>
          </cell>
          <cell r="AM9">
            <v>-345</v>
          </cell>
          <cell r="AN9">
            <v>-275.28571428571428</v>
          </cell>
          <cell r="AR9">
            <v>-271</v>
          </cell>
          <cell r="AS9">
            <v>-750</v>
          </cell>
          <cell r="AT9">
            <v>-592.35714285714289</v>
          </cell>
          <cell r="AV9">
            <v>-16.321428571428573</v>
          </cell>
          <cell r="AW9">
            <v>-74.857142857142861</v>
          </cell>
          <cell r="AX9">
            <v>-90.678571428571431</v>
          </cell>
          <cell r="AY9">
            <v>-73.642857142857139</v>
          </cell>
          <cell r="AZ9">
            <v>-27.071428571428573</v>
          </cell>
          <cell r="BA9">
            <v>-34.5</v>
          </cell>
          <cell r="BB9">
            <v>-212.03571428571428</v>
          </cell>
          <cell r="BC9">
            <v>1.5</v>
          </cell>
          <cell r="BD9">
            <v>-59.5</v>
          </cell>
          <cell r="BE9">
            <v>-5.25</v>
          </cell>
          <cell r="BJ9">
            <v>-15</v>
          </cell>
          <cell r="BK9">
            <v>-110</v>
          </cell>
          <cell r="BL9">
            <v>-100</v>
          </cell>
          <cell r="BM9">
            <v>-100</v>
          </cell>
          <cell r="BN9">
            <v>-35</v>
          </cell>
          <cell r="BO9">
            <v>-45</v>
          </cell>
          <cell r="BP9">
            <v>-225</v>
          </cell>
          <cell r="BQ9">
            <v>-40</v>
          </cell>
          <cell r="BR9">
            <v>-80</v>
          </cell>
          <cell r="BS9">
            <v>0</v>
          </cell>
          <cell r="BY9">
            <v>-2.4075714285714285</v>
          </cell>
          <cell r="CB9">
            <v>-3.8159999999999998</v>
          </cell>
          <cell r="CD9">
            <v>-2.4075714285714285</v>
          </cell>
        </row>
        <row r="10">
          <cell r="A10">
            <v>5</v>
          </cell>
          <cell r="B10">
            <v>12</v>
          </cell>
          <cell r="C10">
            <v>-28</v>
          </cell>
          <cell r="D10">
            <v>46</v>
          </cell>
          <cell r="E10">
            <v>0</v>
          </cell>
          <cell r="F10">
            <v>0</v>
          </cell>
          <cell r="G10">
            <v>0</v>
          </cell>
          <cell r="H10">
            <v>-105</v>
          </cell>
          <cell r="I10">
            <v>-1</v>
          </cell>
          <cell r="J10">
            <v>-38</v>
          </cell>
          <cell r="K10">
            <v>0</v>
          </cell>
          <cell r="L10">
            <v>225</v>
          </cell>
          <cell r="M10">
            <v>129</v>
          </cell>
          <cell r="P10">
            <v>240</v>
          </cell>
          <cell r="S10">
            <v>-601.89285714285711</v>
          </cell>
          <cell r="T10">
            <v>240</v>
          </cell>
          <cell r="U10">
            <v>-750</v>
          </cell>
          <cell r="V10">
            <v>-601.89285714285711</v>
          </cell>
          <cell r="W10">
            <v>-144</v>
          </cell>
          <cell r="X10">
            <v>-405</v>
          </cell>
          <cell r="Y10">
            <v>-317.07142857142856</v>
          </cell>
          <cell r="AA10">
            <v>0</v>
          </cell>
          <cell r="AB10">
            <v>-12.178571428571429</v>
          </cell>
          <cell r="AF10">
            <v>0</v>
          </cell>
          <cell r="AG10">
            <v>2.6428571428571428</v>
          </cell>
          <cell r="AL10">
            <v>18</v>
          </cell>
          <cell r="AM10">
            <v>-345</v>
          </cell>
          <cell r="AN10">
            <v>-275.28571428571428</v>
          </cell>
          <cell r="AR10">
            <v>-126</v>
          </cell>
          <cell r="AS10">
            <v>-750</v>
          </cell>
          <cell r="AT10">
            <v>-592.35714285714289</v>
          </cell>
          <cell r="AV10">
            <v>-16.321428571428573</v>
          </cell>
          <cell r="AW10">
            <v>-74.857142857142861</v>
          </cell>
          <cell r="AX10">
            <v>-90.678571428571431</v>
          </cell>
          <cell r="AY10">
            <v>-73.642857142857139</v>
          </cell>
          <cell r="AZ10">
            <v>-27.071428571428573</v>
          </cell>
          <cell r="BA10">
            <v>-34.5</v>
          </cell>
          <cell r="BB10">
            <v>-212.03571428571428</v>
          </cell>
          <cell r="BC10">
            <v>1.5</v>
          </cell>
          <cell r="BD10">
            <v>-59.5</v>
          </cell>
          <cell r="BE10">
            <v>-5.25</v>
          </cell>
          <cell r="BJ10">
            <v>-15</v>
          </cell>
          <cell r="BK10">
            <v>-110</v>
          </cell>
          <cell r="BL10">
            <v>-100</v>
          </cell>
          <cell r="BM10">
            <v>-100</v>
          </cell>
          <cell r="BN10">
            <v>-35</v>
          </cell>
          <cell r="BO10">
            <v>-45</v>
          </cell>
          <cell r="BP10">
            <v>-225</v>
          </cell>
          <cell r="BQ10">
            <v>-40</v>
          </cell>
          <cell r="BR10">
            <v>-80</v>
          </cell>
          <cell r="BS10">
            <v>0</v>
          </cell>
          <cell r="BY10">
            <v>-3.0094642857142855</v>
          </cell>
          <cell r="CD10">
            <v>-3.0094642857142855</v>
          </cell>
        </row>
        <row r="11">
          <cell r="A11">
            <v>6</v>
          </cell>
          <cell r="B11">
            <v>48</v>
          </cell>
          <cell r="C11">
            <v>-30</v>
          </cell>
          <cell r="D11">
            <v>30</v>
          </cell>
          <cell r="E11">
            <v>-10</v>
          </cell>
          <cell r="F11">
            <v>0</v>
          </cell>
          <cell r="G11">
            <v>-28</v>
          </cell>
          <cell r="H11">
            <v>-105</v>
          </cell>
          <cell r="I11">
            <v>-2</v>
          </cell>
          <cell r="J11">
            <v>-80</v>
          </cell>
          <cell r="K11">
            <v>-10</v>
          </cell>
          <cell r="L11">
            <v>179</v>
          </cell>
          <cell r="M11">
            <v>48</v>
          </cell>
          <cell r="P11">
            <v>40</v>
          </cell>
          <cell r="S11">
            <v>-601.89285714285711</v>
          </cell>
          <cell r="T11">
            <v>40</v>
          </cell>
          <cell r="U11">
            <v>-750</v>
          </cell>
          <cell r="V11">
            <v>-601.89285714285711</v>
          </cell>
          <cell r="W11">
            <v>-225</v>
          </cell>
          <cell r="X11">
            <v>-405</v>
          </cell>
          <cell r="Y11">
            <v>-317.07142857142856</v>
          </cell>
          <cell r="AA11">
            <v>0</v>
          </cell>
          <cell r="AB11">
            <v>-12.178571428571429</v>
          </cell>
          <cell r="AF11">
            <v>0</v>
          </cell>
          <cell r="AG11">
            <v>2.6428571428571428</v>
          </cell>
          <cell r="AL11">
            <v>-10</v>
          </cell>
          <cell r="AM11">
            <v>-345</v>
          </cell>
          <cell r="AN11">
            <v>-275.28571428571428</v>
          </cell>
          <cell r="AR11">
            <v>-235</v>
          </cell>
          <cell r="AS11">
            <v>-750</v>
          </cell>
          <cell r="AT11">
            <v>-592.35714285714289</v>
          </cell>
          <cell r="AV11">
            <v>-16.321428571428573</v>
          </cell>
          <cell r="AW11">
            <v>-74.857142857142861</v>
          </cell>
          <cell r="AX11">
            <v>-90.678571428571431</v>
          </cell>
          <cell r="AY11">
            <v>-73.642857142857139</v>
          </cell>
          <cell r="AZ11">
            <v>-27.071428571428573</v>
          </cell>
          <cell r="BA11">
            <v>-34.5</v>
          </cell>
          <cell r="BB11">
            <v>-212.03571428571428</v>
          </cell>
          <cell r="BC11">
            <v>1.5</v>
          </cell>
          <cell r="BD11">
            <v>-59.5</v>
          </cell>
          <cell r="BE11">
            <v>-5.25</v>
          </cell>
          <cell r="BJ11">
            <v>-15</v>
          </cell>
          <cell r="BK11">
            <v>-110</v>
          </cell>
          <cell r="BL11">
            <v>-100</v>
          </cell>
          <cell r="BM11">
            <v>-100</v>
          </cell>
          <cell r="BN11">
            <v>-35</v>
          </cell>
          <cell r="BO11">
            <v>-45</v>
          </cell>
          <cell r="BP11">
            <v>-225</v>
          </cell>
          <cell r="BQ11">
            <v>-40</v>
          </cell>
          <cell r="BR11">
            <v>-80</v>
          </cell>
          <cell r="BS11">
            <v>0</v>
          </cell>
          <cell r="BY11">
            <v>-3.6113571428571425</v>
          </cell>
          <cell r="CD11">
            <v>-3.6113571428571425</v>
          </cell>
        </row>
        <row r="12">
          <cell r="A12">
            <v>7</v>
          </cell>
          <cell r="B12">
            <v>0</v>
          </cell>
          <cell r="C12">
            <v>-60</v>
          </cell>
          <cell r="D12">
            <v>0</v>
          </cell>
          <cell r="E12">
            <v>-88</v>
          </cell>
          <cell r="F12">
            <v>0</v>
          </cell>
          <cell r="G12">
            <v>-125</v>
          </cell>
          <cell r="H12">
            <v>-105</v>
          </cell>
          <cell r="I12">
            <v>-45</v>
          </cell>
          <cell r="J12">
            <v>-98</v>
          </cell>
          <cell r="K12">
            <v>-40</v>
          </cell>
          <cell r="L12">
            <v>-53</v>
          </cell>
          <cell r="M12">
            <v>-153</v>
          </cell>
          <cell r="P12">
            <v>-767</v>
          </cell>
          <cell r="S12">
            <v>-601.89285714285711</v>
          </cell>
          <cell r="T12">
            <v>-767</v>
          </cell>
          <cell r="U12">
            <v>-750</v>
          </cell>
          <cell r="V12">
            <v>-601.89285714285711</v>
          </cell>
          <cell r="W12">
            <v>-413</v>
          </cell>
          <cell r="X12">
            <v>-405</v>
          </cell>
          <cell r="Y12">
            <v>-317.07142857142856</v>
          </cell>
          <cell r="AA12">
            <v>0</v>
          </cell>
          <cell r="AB12">
            <v>-12.178571428571429</v>
          </cell>
          <cell r="AF12">
            <v>0</v>
          </cell>
          <cell r="AG12">
            <v>2.6428571428571428</v>
          </cell>
          <cell r="AL12">
            <v>-148</v>
          </cell>
          <cell r="AM12">
            <v>-345</v>
          </cell>
          <cell r="AN12">
            <v>-275.28571428571428</v>
          </cell>
          <cell r="AR12">
            <v>-561</v>
          </cell>
          <cell r="AS12">
            <v>-750</v>
          </cell>
          <cell r="AT12">
            <v>-592.35714285714289</v>
          </cell>
          <cell r="AV12">
            <v>-16.321428571428573</v>
          </cell>
          <cell r="AW12">
            <v>-74.857142857142861</v>
          </cell>
          <cell r="AX12">
            <v>-90.678571428571431</v>
          </cell>
          <cell r="AY12">
            <v>-73.642857142857139</v>
          </cell>
          <cell r="AZ12">
            <v>-27.071428571428573</v>
          </cell>
          <cell r="BA12">
            <v>-34.5</v>
          </cell>
          <cell r="BB12">
            <v>-212.03571428571428</v>
          </cell>
          <cell r="BC12">
            <v>1.5</v>
          </cell>
          <cell r="BD12">
            <v>-59.5</v>
          </cell>
          <cell r="BE12">
            <v>-5.25</v>
          </cell>
          <cell r="BJ12">
            <v>-15</v>
          </cell>
          <cell r="BK12">
            <v>-110</v>
          </cell>
          <cell r="BL12">
            <v>-100</v>
          </cell>
          <cell r="BM12">
            <v>-100</v>
          </cell>
          <cell r="BN12">
            <v>-35</v>
          </cell>
          <cell r="BO12">
            <v>-45</v>
          </cell>
          <cell r="BP12">
            <v>-225</v>
          </cell>
          <cell r="BQ12">
            <v>-40</v>
          </cell>
          <cell r="BR12">
            <v>-80</v>
          </cell>
          <cell r="BS12">
            <v>0</v>
          </cell>
          <cell r="BY12">
            <v>-4.2132499999999995</v>
          </cell>
          <cell r="CD12">
            <v>-4.2132499999999995</v>
          </cell>
        </row>
        <row r="13">
          <cell r="A13">
            <v>8</v>
          </cell>
          <cell r="B13">
            <v>0</v>
          </cell>
          <cell r="C13">
            <v>-78</v>
          </cell>
          <cell r="D13">
            <v>-37</v>
          </cell>
          <cell r="E13">
            <v>-294</v>
          </cell>
          <cell r="F13">
            <v>-18</v>
          </cell>
          <cell r="G13">
            <v>-121</v>
          </cell>
          <cell r="H13">
            <v>-105</v>
          </cell>
          <cell r="I13">
            <v>-46</v>
          </cell>
          <cell r="J13">
            <v>-99</v>
          </cell>
          <cell r="K13">
            <v>-40</v>
          </cell>
          <cell r="L13">
            <v>-131</v>
          </cell>
          <cell r="M13">
            <v>-331</v>
          </cell>
          <cell r="P13">
            <v>-1300</v>
          </cell>
          <cell r="S13">
            <v>-601.89285714285711</v>
          </cell>
          <cell r="T13">
            <v>-1300</v>
          </cell>
          <cell r="U13">
            <v>-750</v>
          </cell>
          <cell r="V13">
            <v>-601.89285714285711</v>
          </cell>
          <cell r="W13">
            <v>-429</v>
          </cell>
          <cell r="X13">
            <v>-405</v>
          </cell>
          <cell r="Y13">
            <v>-317.07142857142856</v>
          </cell>
          <cell r="AA13">
            <v>0</v>
          </cell>
          <cell r="AB13">
            <v>-12.178571428571429</v>
          </cell>
          <cell r="AF13">
            <v>0</v>
          </cell>
          <cell r="AG13">
            <v>2.6428571428571428</v>
          </cell>
          <cell r="AL13">
            <v>-409</v>
          </cell>
          <cell r="AM13">
            <v>-345</v>
          </cell>
          <cell r="AN13">
            <v>-275.28571428571428</v>
          </cell>
          <cell r="AR13">
            <v>-838</v>
          </cell>
          <cell r="AS13">
            <v>-750</v>
          </cell>
          <cell r="AT13">
            <v>-592.35714285714289</v>
          </cell>
          <cell r="AV13">
            <v>-16.321428571428573</v>
          </cell>
          <cell r="AW13">
            <v>-74.857142857142861</v>
          </cell>
          <cell r="AX13">
            <v>-90.678571428571431</v>
          </cell>
          <cell r="AY13">
            <v>-73.642857142857139</v>
          </cell>
          <cell r="AZ13">
            <v>-27.071428571428573</v>
          </cell>
          <cell r="BA13">
            <v>-34.5</v>
          </cell>
          <cell r="BB13">
            <v>-212.03571428571428</v>
          </cell>
          <cell r="BC13">
            <v>1.5</v>
          </cell>
          <cell r="BD13">
            <v>-59.5</v>
          </cell>
          <cell r="BE13">
            <v>-5.25</v>
          </cell>
          <cell r="BJ13">
            <v>-15</v>
          </cell>
          <cell r="BK13">
            <v>-110</v>
          </cell>
          <cell r="BL13">
            <v>-100</v>
          </cell>
          <cell r="BM13">
            <v>-100</v>
          </cell>
          <cell r="BN13">
            <v>-35</v>
          </cell>
          <cell r="BO13">
            <v>-45</v>
          </cell>
          <cell r="BP13">
            <v>-225</v>
          </cell>
          <cell r="BQ13">
            <v>-40</v>
          </cell>
          <cell r="BR13">
            <v>-80</v>
          </cell>
          <cell r="BS13">
            <v>0</v>
          </cell>
          <cell r="BY13">
            <v>-4.8151428571428569</v>
          </cell>
          <cell r="CD13">
            <v>-4.8151428571428569</v>
          </cell>
        </row>
        <row r="14">
          <cell r="A14">
            <v>9</v>
          </cell>
          <cell r="B14">
            <v>0</v>
          </cell>
          <cell r="C14">
            <v>-74</v>
          </cell>
          <cell r="D14">
            <v>-44</v>
          </cell>
          <cell r="E14">
            <v>-413</v>
          </cell>
          <cell r="F14">
            <v>-20</v>
          </cell>
          <cell r="G14">
            <v>-120</v>
          </cell>
          <cell r="H14">
            <v>-105</v>
          </cell>
          <cell r="I14">
            <v>-46</v>
          </cell>
          <cell r="J14">
            <v>-100</v>
          </cell>
          <cell r="K14">
            <v>-40</v>
          </cell>
          <cell r="L14">
            <v>-181</v>
          </cell>
          <cell r="M14">
            <v>-219</v>
          </cell>
          <cell r="P14">
            <v>-1362</v>
          </cell>
          <cell r="S14">
            <v>-601.89285714285711</v>
          </cell>
          <cell r="T14">
            <v>-1362</v>
          </cell>
          <cell r="U14">
            <v>-750</v>
          </cell>
          <cell r="V14">
            <v>-601.89285714285711</v>
          </cell>
          <cell r="W14">
            <v>-431</v>
          </cell>
          <cell r="X14">
            <v>-405</v>
          </cell>
          <cell r="Y14">
            <v>-317.07142857142856</v>
          </cell>
          <cell r="AA14">
            <v>0</v>
          </cell>
          <cell r="AB14">
            <v>-12.178571428571429</v>
          </cell>
          <cell r="AF14">
            <v>0</v>
          </cell>
          <cell r="AG14">
            <v>2.6428571428571428</v>
          </cell>
          <cell r="AL14">
            <v>-531</v>
          </cell>
          <cell r="AM14">
            <v>-345</v>
          </cell>
          <cell r="AN14">
            <v>-275.28571428571428</v>
          </cell>
          <cell r="AR14">
            <v>-962</v>
          </cell>
          <cell r="AS14">
            <v>-750</v>
          </cell>
          <cell r="AT14">
            <v>-592.35714285714289</v>
          </cell>
          <cell r="AV14">
            <v>-16.321428571428573</v>
          </cell>
          <cell r="AW14">
            <v>-74.857142857142861</v>
          </cell>
          <cell r="AX14">
            <v>-90.678571428571431</v>
          </cell>
          <cell r="AY14">
            <v>-73.642857142857139</v>
          </cell>
          <cell r="AZ14">
            <v>-27.071428571428573</v>
          </cell>
          <cell r="BA14">
            <v>-34.5</v>
          </cell>
          <cell r="BB14">
            <v>-212.03571428571428</v>
          </cell>
          <cell r="BC14">
            <v>1.5</v>
          </cell>
          <cell r="BD14">
            <v>-59.5</v>
          </cell>
          <cell r="BE14">
            <v>-5.25</v>
          </cell>
          <cell r="BJ14">
            <v>-15</v>
          </cell>
          <cell r="BK14">
            <v>-110</v>
          </cell>
          <cell r="BL14">
            <v>-100</v>
          </cell>
          <cell r="BM14">
            <v>-100</v>
          </cell>
          <cell r="BN14">
            <v>-35</v>
          </cell>
          <cell r="BO14">
            <v>-45</v>
          </cell>
          <cell r="BP14">
            <v>-225</v>
          </cell>
          <cell r="BQ14">
            <v>-40</v>
          </cell>
          <cell r="BR14">
            <v>-80</v>
          </cell>
          <cell r="BS14">
            <v>0</v>
          </cell>
          <cell r="BY14">
            <v>-5.4170357142857144</v>
          </cell>
          <cell r="CD14">
            <v>-5.4170357142857144</v>
          </cell>
        </row>
        <row r="15">
          <cell r="A15">
            <v>10</v>
          </cell>
          <cell r="B15">
            <v>0</v>
          </cell>
          <cell r="C15">
            <v>-71</v>
          </cell>
          <cell r="D15">
            <v>-14</v>
          </cell>
          <cell r="E15">
            <v>-286</v>
          </cell>
          <cell r="F15">
            <v>-18</v>
          </cell>
          <cell r="G15">
            <v>-86</v>
          </cell>
          <cell r="H15">
            <v>-105</v>
          </cell>
          <cell r="I15">
            <v>-38</v>
          </cell>
          <cell r="J15">
            <v>-80</v>
          </cell>
          <cell r="K15">
            <v>-35</v>
          </cell>
          <cell r="L15">
            <v>-87</v>
          </cell>
          <cell r="M15">
            <v>-203</v>
          </cell>
          <cell r="P15">
            <v>-1023</v>
          </cell>
          <cell r="S15">
            <v>-601.89285714285711</v>
          </cell>
          <cell r="T15">
            <v>-1023</v>
          </cell>
          <cell r="U15">
            <v>-750</v>
          </cell>
          <cell r="V15">
            <v>-601.89285714285711</v>
          </cell>
          <cell r="W15">
            <v>-362</v>
          </cell>
          <cell r="X15">
            <v>-405</v>
          </cell>
          <cell r="Y15">
            <v>-317.07142857142856</v>
          </cell>
          <cell r="AA15">
            <v>0</v>
          </cell>
          <cell r="AB15">
            <v>-12.178571428571429</v>
          </cell>
          <cell r="AF15">
            <v>0</v>
          </cell>
          <cell r="AG15">
            <v>2.6428571428571428</v>
          </cell>
          <cell r="AL15">
            <v>-371</v>
          </cell>
          <cell r="AM15">
            <v>-345</v>
          </cell>
          <cell r="AN15">
            <v>-275.28571428571428</v>
          </cell>
          <cell r="AR15">
            <v>-733</v>
          </cell>
          <cell r="AS15">
            <v>-750</v>
          </cell>
          <cell r="AT15">
            <v>-592.35714285714289</v>
          </cell>
          <cell r="AV15">
            <v>-16.321428571428573</v>
          </cell>
          <cell r="AW15">
            <v>-74.857142857142861</v>
          </cell>
          <cell r="AX15">
            <v>-90.678571428571431</v>
          </cell>
          <cell r="AY15">
            <v>-73.642857142857139</v>
          </cell>
          <cell r="AZ15">
            <v>-27.071428571428573</v>
          </cell>
          <cell r="BA15">
            <v>-34.5</v>
          </cell>
          <cell r="BB15">
            <v>-212.03571428571428</v>
          </cell>
          <cell r="BC15">
            <v>1.5</v>
          </cell>
          <cell r="BD15">
            <v>-59.5</v>
          </cell>
          <cell r="BE15">
            <v>-5.25</v>
          </cell>
          <cell r="BJ15">
            <v>-15</v>
          </cell>
          <cell r="BK15">
            <v>-110</v>
          </cell>
          <cell r="BL15">
            <v>-100</v>
          </cell>
          <cell r="BM15">
            <v>-100</v>
          </cell>
          <cell r="BN15">
            <v>-35</v>
          </cell>
          <cell r="BO15">
            <v>-45</v>
          </cell>
          <cell r="BP15">
            <v>-225</v>
          </cell>
          <cell r="BQ15">
            <v>-40</v>
          </cell>
          <cell r="BR15">
            <v>-80</v>
          </cell>
          <cell r="BS15">
            <v>0</v>
          </cell>
          <cell r="BY15">
            <v>-6.0189285714285718</v>
          </cell>
          <cell r="CD15">
            <v>-6.0189285714285718</v>
          </cell>
        </row>
        <row r="16">
          <cell r="A16">
            <v>11</v>
          </cell>
          <cell r="B16">
            <v>0</v>
          </cell>
          <cell r="C16">
            <v>-54</v>
          </cell>
          <cell r="D16">
            <v>2</v>
          </cell>
          <cell r="E16">
            <v>-269</v>
          </cell>
          <cell r="F16">
            <v>-18</v>
          </cell>
          <cell r="G16">
            <v>-101</v>
          </cell>
          <cell r="H16">
            <v>-105</v>
          </cell>
          <cell r="I16">
            <v>-40</v>
          </cell>
          <cell r="J16">
            <v>-77</v>
          </cell>
          <cell r="K16">
            <v>-38</v>
          </cell>
          <cell r="L16">
            <v>-8</v>
          </cell>
          <cell r="M16">
            <v>-100</v>
          </cell>
          <cell r="P16">
            <v>-808</v>
          </cell>
          <cell r="S16">
            <v>-601.89285714285711</v>
          </cell>
          <cell r="T16">
            <v>-808</v>
          </cell>
          <cell r="U16">
            <v>-750</v>
          </cell>
          <cell r="V16">
            <v>-601.89285714285711</v>
          </cell>
          <cell r="W16">
            <v>-379</v>
          </cell>
          <cell r="X16">
            <v>-405</v>
          </cell>
          <cell r="Y16">
            <v>-317.07142857142856</v>
          </cell>
          <cell r="AA16">
            <v>0</v>
          </cell>
          <cell r="AB16">
            <v>-12.178571428571429</v>
          </cell>
          <cell r="AF16">
            <v>0</v>
          </cell>
          <cell r="AG16">
            <v>2.6428571428571428</v>
          </cell>
          <cell r="AL16">
            <v>-321</v>
          </cell>
          <cell r="AM16">
            <v>-345</v>
          </cell>
          <cell r="AN16">
            <v>-275.28571428571428</v>
          </cell>
          <cell r="AR16">
            <v>-700</v>
          </cell>
          <cell r="AS16">
            <v>-750</v>
          </cell>
          <cell r="AT16">
            <v>-592.35714285714289</v>
          </cell>
          <cell r="AV16">
            <v>-16.321428571428573</v>
          </cell>
          <cell r="AW16">
            <v>-74.857142857142861</v>
          </cell>
          <cell r="AX16">
            <v>-90.678571428571431</v>
          </cell>
          <cell r="AY16">
            <v>-73.642857142857139</v>
          </cell>
          <cell r="AZ16">
            <v>-27.071428571428573</v>
          </cell>
          <cell r="BA16">
            <v>-34.5</v>
          </cell>
          <cell r="BB16">
            <v>-212.03571428571428</v>
          </cell>
          <cell r="BC16">
            <v>1.5</v>
          </cell>
          <cell r="BD16">
            <v>-59.5</v>
          </cell>
          <cell r="BE16">
            <v>-5.25</v>
          </cell>
          <cell r="BJ16">
            <v>-15</v>
          </cell>
          <cell r="BK16">
            <v>-110</v>
          </cell>
          <cell r="BL16">
            <v>-100</v>
          </cell>
          <cell r="BM16">
            <v>-100</v>
          </cell>
          <cell r="BN16">
            <v>-35</v>
          </cell>
          <cell r="BO16">
            <v>-45</v>
          </cell>
          <cell r="BP16">
            <v>-225</v>
          </cell>
          <cell r="BQ16">
            <v>-40</v>
          </cell>
          <cell r="BR16">
            <v>-80</v>
          </cell>
          <cell r="BS16">
            <v>0</v>
          </cell>
          <cell r="BY16">
            <v>-6.6208214285714293</v>
          </cell>
          <cell r="CD16">
            <v>-6.6208214285714293</v>
          </cell>
        </row>
        <row r="17">
          <cell r="A17">
            <v>12</v>
          </cell>
          <cell r="B17">
            <v>46</v>
          </cell>
          <cell r="C17">
            <v>-25</v>
          </cell>
          <cell r="D17">
            <v>0</v>
          </cell>
          <cell r="E17">
            <v>-48</v>
          </cell>
          <cell r="F17">
            <v>-18</v>
          </cell>
          <cell r="G17">
            <v>-9</v>
          </cell>
          <cell r="H17">
            <v>-105</v>
          </cell>
          <cell r="I17">
            <v>-4</v>
          </cell>
          <cell r="J17">
            <v>-96</v>
          </cell>
          <cell r="K17">
            <v>-3</v>
          </cell>
          <cell r="L17">
            <v>0</v>
          </cell>
          <cell r="M17">
            <v>192</v>
          </cell>
          <cell r="P17">
            <v>-70</v>
          </cell>
          <cell r="S17">
            <v>-601.89285714285711</v>
          </cell>
          <cell r="T17">
            <v>-70</v>
          </cell>
          <cell r="U17">
            <v>-750</v>
          </cell>
          <cell r="V17">
            <v>-601.89285714285711</v>
          </cell>
          <cell r="W17">
            <v>-235</v>
          </cell>
          <cell r="X17">
            <v>-405</v>
          </cell>
          <cell r="Y17">
            <v>-317.07142857142856</v>
          </cell>
          <cell r="AA17">
            <v>0</v>
          </cell>
          <cell r="AB17">
            <v>-12.178571428571429</v>
          </cell>
          <cell r="AF17">
            <v>0</v>
          </cell>
          <cell r="AG17">
            <v>2.6428571428571428</v>
          </cell>
          <cell r="AL17">
            <v>-73</v>
          </cell>
          <cell r="AM17">
            <v>-345</v>
          </cell>
          <cell r="AN17">
            <v>-275.28571428571428</v>
          </cell>
          <cell r="AR17">
            <v>-308</v>
          </cell>
          <cell r="AS17">
            <v>-750</v>
          </cell>
          <cell r="AT17">
            <v>-592.35714285714289</v>
          </cell>
          <cell r="AV17">
            <v>-16.321428571428573</v>
          </cell>
          <cell r="AW17">
            <v>-74.857142857142861</v>
          </cell>
          <cell r="AX17">
            <v>-90.678571428571431</v>
          </cell>
          <cell r="AY17">
            <v>-73.642857142857139</v>
          </cell>
          <cell r="AZ17">
            <v>-27.071428571428573</v>
          </cell>
          <cell r="BA17">
            <v>-34.5</v>
          </cell>
          <cell r="BB17">
            <v>-212.03571428571428</v>
          </cell>
          <cell r="BC17">
            <v>1.5</v>
          </cell>
          <cell r="BD17">
            <v>-59.5</v>
          </cell>
          <cell r="BE17">
            <v>-5.25</v>
          </cell>
          <cell r="BJ17">
            <v>-15</v>
          </cell>
          <cell r="BK17">
            <v>-110</v>
          </cell>
          <cell r="BL17">
            <v>-100</v>
          </cell>
          <cell r="BM17">
            <v>-100</v>
          </cell>
          <cell r="BN17">
            <v>-35</v>
          </cell>
          <cell r="BO17">
            <v>-45</v>
          </cell>
          <cell r="BP17">
            <v>-225</v>
          </cell>
          <cell r="BQ17">
            <v>-40</v>
          </cell>
          <cell r="BR17">
            <v>-80</v>
          </cell>
          <cell r="BS17">
            <v>0</v>
          </cell>
          <cell r="BY17">
            <v>-7.2227142857142868</v>
          </cell>
          <cell r="CD17">
            <v>-7.2227142857142868</v>
          </cell>
        </row>
        <row r="18">
          <cell r="A18">
            <v>13</v>
          </cell>
          <cell r="B18">
            <v>38</v>
          </cell>
          <cell r="C18">
            <v>-69</v>
          </cell>
          <cell r="D18">
            <v>39</v>
          </cell>
          <cell r="E18">
            <v>-136</v>
          </cell>
          <cell r="F18">
            <v>-17</v>
          </cell>
          <cell r="G18">
            <v>0</v>
          </cell>
          <cell r="H18">
            <v>-105</v>
          </cell>
          <cell r="I18">
            <v>0</v>
          </cell>
          <cell r="J18">
            <v>-87</v>
          </cell>
          <cell r="K18">
            <v>0</v>
          </cell>
          <cell r="L18">
            <v>0</v>
          </cell>
          <cell r="M18">
            <v>233</v>
          </cell>
          <cell r="P18">
            <v>-104</v>
          </cell>
          <cell r="S18">
            <v>-601.89285714285711</v>
          </cell>
          <cell r="T18">
            <v>-104</v>
          </cell>
          <cell r="U18">
            <v>-750</v>
          </cell>
          <cell r="V18">
            <v>-601.89285714285711</v>
          </cell>
          <cell r="W18">
            <v>-209</v>
          </cell>
          <cell r="X18">
            <v>-405</v>
          </cell>
          <cell r="Y18">
            <v>-317.07142857142856</v>
          </cell>
          <cell r="AA18">
            <v>0</v>
          </cell>
          <cell r="AB18">
            <v>-12.178571428571429</v>
          </cell>
          <cell r="AF18">
            <v>0</v>
          </cell>
          <cell r="AG18">
            <v>2.6428571428571428</v>
          </cell>
          <cell r="AL18">
            <v>-166</v>
          </cell>
          <cell r="AM18">
            <v>-345</v>
          </cell>
          <cell r="AN18">
            <v>-275.28571428571428</v>
          </cell>
          <cell r="AR18">
            <v>-375</v>
          </cell>
          <cell r="AS18">
            <v>-750</v>
          </cell>
          <cell r="AT18">
            <v>-592.35714285714289</v>
          </cell>
          <cell r="AV18">
            <v>-16.321428571428573</v>
          </cell>
          <cell r="AW18">
            <v>-74.857142857142861</v>
          </cell>
          <cell r="AX18">
            <v>-90.678571428571431</v>
          </cell>
          <cell r="AY18">
            <v>-73.642857142857139</v>
          </cell>
          <cell r="AZ18">
            <v>-27.071428571428573</v>
          </cell>
          <cell r="BA18">
            <v>-34.5</v>
          </cell>
          <cell r="BB18">
            <v>-212.03571428571428</v>
          </cell>
          <cell r="BC18">
            <v>1.5</v>
          </cell>
          <cell r="BD18">
            <v>-59.5</v>
          </cell>
          <cell r="BE18">
            <v>-5.25</v>
          </cell>
          <cell r="BJ18">
            <v>-15</v>
          </cell>
          <cell r="BK18">
            <v>-110</v>
          </cell>
          <cell r="BL18">
            <v>-100</v>
          </cell>
          <cell r="BM18">
            <v>-100</v>
          </cell>
          <cell r="BN18">
            <v>-35</v>
          </cell>
          <cell r="BO18">
            <v>-45</v>
          </cell>
          <cell r="BP18">
            <v>-225</v>
          </cell>
          <cell r="BQ18">
            <v>-40</v>
          </cell>
          <cell r="BR18">
            <v>-80</v>
          </cell>
          <cell r="BS18">
            <v>0</v>
          </cell>
          <cell r="BY18">
            <v>-7.8246071428571442</v>
          </cell>
          <cell r="CD18">
            <v>-7.8246071428571442</v>
          </cell>
        </row>
        <row r="19">
          <cell r="A19">
            <v>14</v>
          </cell>
          <cell r="B19">
            <v>-15</v>
          </cell>
          <cell r="C19">
            <v>-71</v>
          </cell>
          <cell r="D19">
            <v>4</v>
          </cell>
          <cell r="E19">
            <v>-250</v>
          </cell>
          <cell r="F19">
            <v>-17</v>
          </cell>
          <cell r="G19">
            <v>0</v>
          </cell>
          <cell r="H19">
            <v>-91</v>
          </cell>
          <cell r="I19">
            <v>0</v>
          </cell>
          <cell r="J19">
            <v>-85</v>
          </cell>
          <cell r="K19">
            <v>0</v>
          </cell>
          <cell r="L19">
            <v>0</v>
          </cell>
          <cell r="M19">
            <v>23</v>
          </cell>
          <cell r="P19">
            <v>-502</v>
          </cell>
          <cell r="S19">
            <v>-601.89285714285711</v>
          </cell>
          <cell r="T19">
            <v>-502</v>
          </cell>
          <cell r="U19">
            <v>-750</v>
          </cell>
          <cell r="V19">
            <v>-601.89285714285711</v>
          </cell>
          <cell r="W19">
            <v>-193</v>
          </cell>
          <cell r="X19">
            <v>-405</v>
          </cell>
          <cell r="Y19">
            <v>-317.07142857142856</v>
          </cell>
          <cell r="AA19">
            <v>0</v>
          </cell>
          <cell r="AB19">
            <v>-12.178571428571429</v>
          </cell>
          <cell r="AF19">
            <v>0</v>
          </cell>
          <cell r="AG19">
            <v>2.6428571428571428</v>
          </cell>
          <cell r="AL19">
            <v>-317</v>
          </cell>
          <cell r="AM19">
            <v>-345</v>
          </cell>
          <cell r="AN19">
            <v>-275.28571428571428</v>
          </cell>
          <cell r="AR19">
            <v>-510</v>
          </cell>
          <cell r="AS19">
            <v>-750</v>
          </cell>
          <cell r="AT19">
            <v>-592.35714285714289</v>
          </cell>
          <cell r="AV19">
            <v>-16.321428571428573</v>
          </cell>
          <cell r="AW19">
            <v>-74.857142857142861</v>
          </cell>
          <cell r="AX19">
            <v>-90.678571428571431</v>
          </cell>
          <cell r="AY19">
            <v>-73.642857142857139</v>
          </cell>
          <cell r="AZ19">
            <v>-27.071428571428573</v>
          </cell>
          <cell r="BA19">
            <v>-34.5</v>
          </cell>
          <cell r="BB19">
            <v>-212.03571428571428</v>
          </cell>
          <cell r="BC19">
            <v>1.5</v>
          </cell>
          <cell r="BD19">
            <v>-59.5</v>
          </cell>
          <cell r="BE19">
            <v>-5.25</v>
          </cell>
          <cell r="BJ19">
            <v>-15</v>
          </cell>
          <cell r="BK19">
            <v>-110</v>
          </cell>
          <cell r="BL19">
            <v>-100</v>
          </cell>
          <cell r="BM19">
            <v>-100</v>
          </cell>
          <cell r="BN19">
            <v>-35</v>
          </cell>
          <cell r="BO19">
            <v>-45</v>
          </cell>
          <cell r="BP19">
            <v>-225</v>
          </cell>
          <cell r="BQ19">
            <v>-40</v>
          </cell>
          <cell r="BR19">
            <v>-80</v>
          </cell>
          <cell r="BS19">
            <v>0</v>
          </cell>
          <cell r="BY19">
            <v>-8.4265000000000008</v>
          </cell>
          <cell r="CD19">
            <v>-8.4265000000000008</v>
          </cell>
        </row>
        <row r="20">
          <cell r="A20">
            <v>15</v>
          </cell>
          <cell r="B20">
            <v>-33</v>
          </cell>
          <cell r="C20">
            <v>-38</v>
          </cell>
          <cell r="D20">
            <v>81</v>
          </cell>
          <cell r="E20">
            <v>-256</v>
          </cell>
          <cell r="F20">
            <v>-17</v>
          </cell>
          <cell r="G20">
            <v>-87</v>
          </cell>
          <cell r="H20">
            <v>-92</v>
          </cell>
          <cell r="I20">
            <v>-28</v>
          </cell>
          <cell r="J20">
            <v>-78</v>
          </cell>
          <cell r="K20">
            <v>-29</v>
          </cell>
          <cell r="L20">
            <v>0</v>
          </cell>
          <cell r="M20">
            <v>290</v>
          </cell>
          <cell r="P20">
            <v>-287</v>
          </cell>
          <cell r="S20">
            <v>-601.89285714285711</v>
          </cell>
          <cell r="T20">
            <v>-287</v>
          </cell>
          <cell r="U20">
            <v>-750</v>
          </cell>
          <cell r="V20">
            <v>-601.89285714285711</v>
          </cell>
          <cell r="W20">
            <v>-331</v>
          </cell>
          <cell r="X20">
            <v>-405</v>
          </cell>
          <cell r="Y20">
            <v>-317.07142857142856</v>
          </cell>
          <cell r="AA20">
            <v>0</v>
          </cell>
          <cell r="AB20">
            <v>-12.178571428571429</v>
          </cell>
          <cell r="AF20">
            <v>0</v>
          </cell>
          <cell r="AG20">
            <v>2.6428571428571428</v>
          </cell>
          <cell r="AL20">
            <v>-213</v>
          </cell>
          <cell r="AM20">
            <v>-345</v>
          </cell>
          <cell r="AN20">
            <v>-275.28571428571428</v>
          </cell>
          <cell r="AR20">
            <v>-544</v>
          </cell>
          <cell r="AS20">
            <v>-750</v>
          </cell>
          <cell r="AT20">
            <v>-592.35714285714289</v>
          </cell>
          <cell r="AV20">
            <v>-16.321428571428573</v>
          </cell>
          <cell r="AW20">
            <v>-74.857142857142861</v>
          </cell>
          <cell r="AX20">
            <v>-90.678571428571431</v>
          </cell>
          <cell r="AY20">
            <v>-73.642857142857139</v>
          </cell>
          <cell r="AZ20">
            <v>-27.071428571428573</v>
          </cell>
          <cell r="BA20">
            <v>-34.5</v>
          </cell>
          <cell r="BB20">
            <v>-212.03571428571428</v>
          </cell>
          <cell r="BC20">
            <v>1.5</v>
          </cell>
          <cell r="BD20">
            <v>-59.5</v>
          </cell>
          <cell r="BE20">
            <v>-5.25</v>
          </cell>
          <cell r="BJ20">
            <v>-15</v>
          </cell>
          <cell r="BK20">
            <v>-110</v>
          </cell>
          <cell r="BL20">
            <v>-100</v>
          </cell>
          <cell r="BM20">
            <v>-100</v>
          </cell>
          <cell r="BN20">
            <v>-35</v>
          </cell>
          <cell r="BO20">
            <v>-45</v>
          </cell>
          <cell r="BP20">
            <v>-225</v>
          </cell>
          <cell r="BQ20">
            <v>-40</v>
          </cell>
          <cell r="BR20">
            <v>-80</v>
          </cell>
          <cell r="BS20">
            <v>0</v>
          </cell>
          <cell r="BY20">
            <v>-9.0283928571428582</v>
          </cell>
          <cell r="CD20">
            <v>-9.0283928571428582</v>
          </cell>
        </row>
        <row r="21">
          <cell r="A21">
            <v>16</v>
          </cell>
          <cell r="B21">
            <v>-77</v>
          </cell>
          <cell r="C21">
            <v>-22</v>
          </cell>
          <cell r="D21">
            <v>-18</v>
          </cell>
          <cell r="E21">
            <v>-260</v>
          </cell>
          <cell r="F21">
            <v>-17</v>
          </cell>
          <cell r="G21">
            <v>-118</v>
          </cell>
          <cell r="H21">
            <v>-93</v>
          </cell>
          <cell r="I21">
            <v>-45</v>
          </cell>
          <cell r="J21">
            <v>-78</v>
          </cell>
          <cell r="K21">
            <v>-41</v>
          </cell>
          <cell r="L21">
            <v>0</v>
          </cell>
          <cell r="M21">
            <v>271</v>
          </cell>
          <cell r="P21">
            <v>-498</v>
          </cell>
          <cell r="S21">
            <v>-601.89285714285711</v>
          </cell>
          <cell r="T21">
            <v>-498</v>
          </cell>
          <cell r="U21">
            <v>-750</v>
          </cell>
          <cell r="V21">
            <v>-601.89285714285711</v>
          </cell>
          <cell r="W21">
            <v>-392</v>
          </cell>
          <cell r="X21">
            <v>-405</v>
          </cell>
          <cell r="Y21">
            <v>-317.07142857142856</v>
          </cell>
          <cell r="AA21">
            <v>0</v>
          </cell>
          <cell r="AB21">
            <v>-12.178571428571429</v>
          </cell>
          <cell r="AF21">
            <v>0</v>
          </cell>
          <cell r="AG21">
            <v>2.6428571428571428</v>
          </cell>
          <cell r="AL21">
            <v>-300</v>
          </cell>
          <cell r="AM21">
            <v>-345</v>
          </cell>
          <cell r="AN21">
            <v>-275.28571428571428</v>
          </cell>
          <cell r="AR21">
            <v>-692</v>
          </cell>
          <cell r="AS21">
            <v>-750</v>
          </cell>
          <cell r="AT21">
            <v>-592.35714285714289</v>
          </cell>
          <cell r="AV21">
            <v>-16.321428571428573</v>
          </cell>
          <cell r="AW21">
            <v>-74.857142857142861</v>
          </cell>
          <cell r="AX21">
            <v>-90.678571428571431</v>
          </cell>
          <cell r="AY21">
            <v>-73.642857142857139</v>
          </cell>
          <cell r="AZ21">
            <v>-27.071428571428573</v>
          </cell>
          <cell r="BA21">
            <v>-34.5</v>
          </cell>
          <cell r="BB21">
            <v>-212.03571428571428</v>
          </cell>
          <cell r="BC21">
            <v>1.5</v>
          </cell>
          <cell r="BD21">
            <v>-59.5</v>
          </cell>
          <cell r="BE21">
            <v>-5.25</v>
          </cell>
          <cell r="BJ21">
            <v>-15</v>
          </cell>
          <cell r="BK21">
            <v>-110</v>
          </cell>
          <cell r="BL21">
            <v>-100</v>
          </cell>
          <cell r="BM21">
            <v>-100</v>
          </cell>
          <cell r="BN21">
            <v>-35</v>
          </cell>
          <cell r="BO21">
            <v>-45</v>
          </cell>
          <cell r="BP21">
            <v>-225</v>
          </cell>
          <cell r="BQ21">
            <v>-40</v>
          </cell>
          <cell r="BR21">
            <v>-80</v>
          </cell>
          <cell r="BS21">
            <v>0</v>
          </cell>
          <cell r="BY21">
            <v>-9.6302857142857157</v>
          </cell>
          <cell r="CD21">
            <v>-9.6302857142857157</v>
          </cell>
        </row>
        <row r="22">
          <cell r="A22">
            <v>17</v>
          </cell>
          <cell r="B22">
            <v>-129</v>
          </cell>
          <cell r="C22">
            <v>-75</v>
          </cell>
          <cell r="D22">
            <v>-46</v>
          </cell>
          <cell r="E22">
            <v>-500</v>
          </cell>
          <cell r="F22">
            <v>-29</v>
          </cell>
          <cell r="G22">
            <v>-113</v>
          </cell>
          <cell r="H22">
            <v>-119</v>
          </cell>
          <cell r="I22">
            <v>-46</v>
          </cell>
          <cell r="J22">
            <v>-80</v>
          </cell>
          <cell r="K22">
            <v>-40</v>
          </cell>
          <cell r="L22">
            <v>0</v>
          </cell>
          <cell r="M22">
            <v>-244</v>
          </cell>
          <cell r="P22">
            <v>-1421</v>
          </cell>
          <cell r="S22">
            <v>-601.89285714285711</v>
          </cell>
          <cell r="T22">
            <v>-1421</v>
          </cell>
          <cell r="U22">
            <v>-750</v>
          </cell>
          <cell r="V22">
            <v>-601.89285714285711</v>
          </cell>
          <cell r="W22">
            <v>-427</v>
          </cell>
          <cell r="X22">
            <v>-405</v>
          </cell>
          <cell r="Y22">
            <v>-317.07142857142856</v>
          </cell>
          <cell r="AA22">
            <v>0</v>
          </cell>
          <cell r="AB22">
            <v>-12.178571428571429</v>
          </cell>
          <cell r="AF22">
            <v>0</v>
          </cell>
          <cell r="AG22">
            <v>2.6428571428571428</v>
          </cell>
          <cell r="AL22">
            <v>-621</v>
          </cell>
          <cell r="AM22">
            <v>-345</v>
          </cell>
          <cell r="AN22">
            <v>-275.28571428571428</v>
          </cell>
          <cell r="AR22">
            <v>-1048</v>
          </cell>
          <cell r="AS22">
            <v>-750</v>
          </cell>
          <cell r="AT22">
            <v>-592.35714285714289</v>
          </cell>
          <cell r="AV22">
            <v>-16.321428571428573</v>
          </cell>
          <cell r="AW22">
            <v>-74.857142857142861</v>
          </cell>
          <cell r="AX22">
            <v>-90.678571428571431</v>
          </cell>
          <cell r="AY22">
            <v>-73.642857142857139</v>
          </cell>
          <cell r="AZ22">
            <v>-27.071428571428573</v>
          </cell>
          <cell r="BA22">
            <v>-34.5</v>
          </cell>
          <cell r="BB22">
            <v>-212.03571428571428</v>
          </cell>
          <cell r="BC22">
            <v>1.5</v>
          </cell>
          <cell r="BD22">
            <v>-59.5</v>
          </cell>
          <cell r="BE22">
            <v>-5.25</v>
          </cell>
          <cell r="BJ22">
            <v>-15</v>
          </cell>
          <cell r="BK22">
            <v>-110</v>
          </cell>
          <cell r="BL22">
            <v>-100</v>
          </cell>
          <cell r="BM22">
            <v>-100</v>
          </cell>
          <cell r="BN22">
            <v>-35</v>
          </cell>
          <cell r="BO22">
            <v>-45</v>
          </cell>
          <cell r="BP22">
            <v>-225</v>
          </cell>
          <cell r="BQ22">
            <v>-40</v>
          </cell>
          <cell r="BR22">
            <v>-80</v>
          </cell>
          <cell r="BS22">
            <v>0</v>
          </cell>
          <cell r="BY22">
            <v>-10.232178571428573</v>
          </cell>
          <cell r="CD22">
            <v>-10.232178571428573</v>
          </cell>
        </row>
        <row r="23">
          <cell r="A23">
            <v>18</v>
          </cell>
          <cell r="B23">
            <v>-55</v>
          </cell>
          <cell r="C23">
            <v>-71</v>
          </cell>
          <cell r="D23">
            <v>-51</v>
          </cell>
          <cell r="E23">
            <v>-397</v>
          </cell>
          <cell r="F23">
            <v>-29</v>
          </cell>
          <cell r="G23">
            <v>-122</v>
          </cell>
          <cell r="H23">
            <v>-113</v>
          </cell>
          <cell r="I23">
            <v>-46</v>
          </cell>
          <cell r="J23">
            <v>-80</v>
          </cell>
          <cell r="K23">
            <v>-43</v>
          </cell>
          <cell r="L23">
            <v>0</v>
          </cell>
          <cell r="M23">
            <v>-44</v>
          </cell>
          <cell r="P23">
            <v>-1051</v>
          </cell>
          <cell r="S23">
            <v>-601.89285714285711</v>
          </cell>
          <cell r="T23">
            <v>-1051</v>
          </cell>
          <cell r="U23">
            <v>-750</v>
          </cell>
          <cell r="V23">
            <v>-601.89285714285711</v>
          </cell>
          <cell r="W23">
            <v>-433</v>
          </cell>
          <cell r="X23">
            <v>-405</v>
          </cell>
          <cell r="Y23">
            <v>-317.07142857142856</v>
          </cell>
          <cell r="AA23">
            <v>0</v>
          </cell>
          <cell r="AB23">
            <v>-12.178571428571429</v>
          </cell>
          <cell r="AF23">
            <v>0</v>
          </cell>
          <cell r="AG23">
            <v>2.6428571428571428</v>
          </cell>
          <cell r="AL23">
            <v>-519</v>
          </cell>
          <cell r="AM23">
            <v>-345</v>
          </cell>
          <cell r="AN23">
            <v>-275.28571428571428</v>
          </cell>
          <cell r="AR23">
            <v>-952</v>
          </cell>
          <cell r="AS23">
            <v>-750</v>
          </cell>
          <cell r="AT23">
            <v>-592.35714285714289</v>
          </cell>
          <cell r="AV23">
            <v>-16.321428571428573</v>
          </cell>
          <cell r="AW23">
            <v>-74.857142857142861</v>
          </cell>
          <cell r="AX23">
            <v>-90.678571428571431</v>
          </cell>
          <cell r="AY23">
            <v>-73.642857142857139</v>
          </cell>
          <cell r="AZ23">
            <v>-27.071428571428573</v>
          </cell>
          <cell r="BA23">
            <v>-34.5</v>
          </cell>
          <cell r="BB23">
            <v>-212.03571428571428</v>
          </cell>
          <cell r="BC23">
            <v>1.5</v>
          </cell>
          <cell r="BD23">
            <v>-59.5</v>
          </cell>
          <cell r="BE23">
            <v>-5.25</v>
          </cell>
          <cell r="BJ23">
            <v>-15</v>
          </cell>
          <cell r="BK23">
            <v>-110</v>
          </cell>
          <cell r="BL23">
            <v>-100</v>
          </cell>
          <cell r="BM23">
            <v>-100</v>
          </cell>
          <cell r="BN23">
            <v>-35</v>
          </cell>
          <cell r="BO23">
            <v>-45</v>
          </cell>
          <cell r="BP23">
            <v>-225</v>
          </cell>
          <cell r="BQ23">
            <v>-40</v>
          </cell>
          <cell r="BR23">
            <v>-80</v>
          </cell>
          <cell r="BS23">
            <v>0</v>
          </cell>
          <cell r="BY23">
            <v>-10.834071428571431</v>
          </cell>
          <cell r="CD23">
            <v>-10.834071428571431</v>
          </cell>
        </row>
        <row r="24">
          <cell r="A24">
            <v>19</v>
          </cell>
          <cell r="B24">
            <v>88</v>
          </cell>
          <cell r="C24">
            <v>-68</v>
          </cell>
          <cell r="D24">
            <v>-5</v>
          </cell>
          <cell r="E24">
            <v>-225</v>
          </cell>
          <cell r="F24">
            <v>-29</v>
          </cell>
          <cell r="G24">
            <v>-88</v>
          </cell>
          <cell r="H24">
            <v>-9</v>
          </cell>
          <cell r="I24">
            <v>-50</v>
          </cell>
          <cell r="J24">
            <v>-6</v>
          </cell>
          <cell r="K24">
            <v>-37</v>
          </cell>
          <cell r="L24">
            <v>0</v>
          </cell>
          <cell r="M24">
            <v>114</v>
          </cell>
          <cell r="P24">
            <v>-315</v>
          </cell>
          <cell r="U24">
            <v>-750</v>
          </cell>
          <cell r="W24">
            <v>-219</v>
          </cell>
          <cell r="X24">
            <v>-405</v>
          </cell>
          <cell r="Y24">
            <v>-317.07142857142856</v>
          </cell>
          <cell r="AA24">
            <v>0</v>
          </cell>
          <cell r="AB24">
            <v>-12.178571428571429</v>
          </cell>
          <cell r="AF24">
            <v>0</v>
          </cell>
          <cell r="AG24">
            <v>2.6428571428571428</v>
          </cell>
          <cell r="AM24">
            <v>-345</v>
          </cell>
          <cell r="AS24">
            <v>-750</v>
          </cell>
          <cell r="AV24">
            <v>-16.321428571428573</v>
          </cell>
          <cell r="AW24">
            <v>-74.857142857142861</v>
          </cell>
          <cell r="AX24">
            <v>-90.678571428571431</v>
          </cell>
          <cell r="AY24">
            <v>-73.642857142857139</v>
          </cell>
          <cell r="AZ24">
            <v>-27.071428571428573</v>
          </cell>
          <cell r="BA24">
            <v>-34.5</v>
          </cell>
          <cell r="BB24">
            <v>-212.03571428571428</v>
          </cell>
          <cell r="BC24">
            <v>1.5</v>
          </cell>
          <cell r="BD24">
            <v>-59.5</v>
          </cell>
          <cell r="BE24">
            <v>-5.25</v>
          </cell>
          <cell r="BJ24">
            <v>-15</v>
          </cell>
          <cell r="BK24">
            <v>-110</v>
          </cell>
          <cell r="BL24">
            <v>-100</v>
          </cell>
          <cell r="BM24">
            <v>-100</v>
          </cell>
          <cell r="BN24">
            <v>-35</v>
          </cell>
          <cell r="BO24">
            <v>-45</v>
          </cell>
          <cell r="BP24">
            <v>-225</v>
          </cell>
          <cell r="BQ24">
            <v>-40</v>
          </cell>
          <cell r="BR24">
            <v>-80</v>
          </cell>
          <cell r="BS24">
            <v>0</v>
          </cell>
          <cell r="BY24">
            <v>-11.435964285714288</v>
          </cell>
          <cell r="CD24">
            <v>-11.435964285714288</v>
          </cell>
        </row>
        <row r="25">
          <cell r="A25">
            <v>20</v>
          </cell>
          <cell r="B25">
            <v>52</v>
          </cell>
          <cell r="C25">
            <v>-70</v>
          </cell>
          <cell r="D25">
            <v>36</v>
          </cell>
          <cell r="E25">
            <v>-221</v>
          </cell>
          <cell r="F25">
            <v>-27</v>
          </cell>
          <cell r="G25">
            <v>-117</v>
          </cell>
          <cell r="H25">
            <v>0</v>
          </cell>
          <cell r="I25">
            <v>-50</v>
          </cell>
          <cell r="J25">
            <v>0</v>
          </cell>
          <cell r="K25">
            <v>-42</v>
          </cell>
          <cell r="L25">
            <v>0</v>
          </cell>
          <cell r="M25">
            <v>79</v>
          </cell>
          <cell r="P25">
            <v>-360</v>
          </cell>
          <cell r="U25">
            <v>-750</v>
          </cell>
          <cell r="W25">
            <v>-236</v>
          </cell>
          <cell r="X25">
            <v>-405</v>
          </cell>
          <cell r="Y25">
            <v>-317.07142857142856</v>
          </cell>
          <cell r="AA25">
            <v>0</v>
          </cell>
          <cell r="AB25">
            <v>-12.178571428571429</v>
          </cell>
          <cell r="AF25">
            <v>0</v>
          </cell>
          <cell r="AG25">
            <v>2.6428571428571428</v>
          </cell>
          <cell r="AM25">
            <v>-345</v>
          </cell>
          <cell r="AS25">
            <v>-750</v>
          </cell>
          <cell r="AV25">
            <v>-16.321428571428573</v>
          </cell>
          <cell r="AW25">
            <v>-74.857142857142861</v>
          </cell>
          <cell r="AX25">
            <v>-90.678571428571431</v>
          </cell>
          <cell r="AY25">
            <v>-73.642857142857139</v>
          </cell>
          <cell r="AZ25">
            <v>-27.071428571428573</v>
          </cell>
          <cell r="BA25">
            <v>-34.5</v>
          </cell>
          <cell r="BB25">
            <v>-212.03571428571428</v>
          </cell>
          <cell r="BC25">
            <v>1.5</v>
          </cell>
          <cell r="BD25">
            <v>-59.5</v>
          </cell>
          <cell r="BE25">
            <v>-5.25</v>
          </cell>
          <cell r="BJ25">
            <v>-15</v>
          </cell>
          <cell r="BK25">
            <v>-110</v>
          </cell>
          <cell r="BL25">
            <v>-100</v>
          </cell>
          <cell r="BM25">
            <v>-100</v>
          </cell>
          <cell r="BN25">
            <v>-35</v>
          </cell>
          <cell r="BO25">
            <v>-45</v>
          </cell>
          <cell r="BP25">
            <v>-225</v>
          </cell>
          <cell r="BQ25">
            <v>-40</v>
          </cell>
          <cell r="BR25">
            <v>-80</v>
          </cell>
          <cell r="BS25">
            <v>0</v>
          </cell>
          <cell r="BY25">
            <v>-12.037857142857145</v>
          </cell>
          <cell r="CD25">
            <v>-12.037857142857145</v>
          </cell>
        </row>
        <row r="26">
          <cell r="A26">
            <v>21</v>
          </cell>
          <cell r="B26">
            <v>3</v>
          </cell>
          <cell r="C26">
            <v>-70</v>
          </cell>
          <cell r="D26">
            <v>103</v>
          </cell>
          <cell r="E26">
            <v>-225</v>
          </cell>
          <cell r="F26">
            <v>-26</v>
          </cell>
          <cell r="G26">
            <v>-120</v>
          </cell>
          <cell r="H26">
            <v>0</v>
          </cell>
          <cell r="I26">
            <v>-50</v>
          </cell>
          <cell r="J26">
            <v>0</v>
          </cell>
          <cell r="K26">
            <v>-44</v>
          </cell>
          <cell r="L26">
            <v>0</v>
          </cell>
          <cell r="M26">
            <v>114</v>
          </cell>
          <cell r="P26">
            <v>-315</v>
          </cell>
          <cell r="U26">
            <v>-750</v>
          </cell>
          <cell r="W26">
            <v>-240</v>
          </cell>
          <cell r="X26">
            <v>-405</v>
          </cell>
          <cell r="Y26">
            <v>-317.07142857142856</v>
          </cell>
          <cell r="AA26">
            <v>0</v>
          </cell>
          <cell r="AB26">
            <v>-12.178571428571429</v>
          </cell>
          <cell r="AF26">
            <v>0</v>
          </cell>
          <cell r="AG26">
            <v>2.6428571428571428</v>
          </cell>
          <cell r="AM26">
            <v>-345</v>
          </cell>
          <cell r="AS26">
            <v>-750</v>
          </cell>
          <cell r="AV26">
            <v>-16.321428571428573</v>
          </cell>
          <cell r="AW26">
            <v>-74.857142857142861</v>
          </cell>
          <cell r="AX26">
            <v>-90.678571428571431</v>
          </cell>
          <cell r="AY26">
            <v>-73.642857142857139</v>
          </cell>
          <cell r="AZ26">
            <v>-27.071428571428573</v>
          </cell>
          <cell r="BA26">
            <v>-34.5</v>
          </cell>
          <cell r="BB26">
            <v>-212.03571428571428</v>
          </cell>
          <cell r="BC26">
            <v>1.5</v>
          </cell>
          <cell r="BD26">
            <v>-59.5</v>
          </cell>
          <cell r="BE26">
            <v>-5.25</v>
          </cell>
          <cell r="BJ26">
            <v>-15</v>
          </cell>
          <cell r="BK26">
            <v>-110</v>
          </cell>
          <cell r="BL26">
            <v>-100</v>
          </cell>
          <cell r="BM26">
            <v>-100</v>
          </cell>
          <cell r="BN26">
            <v>-35</v>
          </cell>
          <cell r="BO26">
            <v>-45</v>
          </cell>
          <cell r="BP26">
            <v>-225</v>
          </cell>
          <cell r="BQ26">
            <v>-40</v>
          </cell>
          <cell r="BR26">
            <v>-80</v>
          </cell>
          <cell r="BS26">
            <v>0</v>
          </cell>
          <cell r="BY26">
            <v>-12.639750000000003</v>
          </cell>
          <cell r="CD26">
            <v>-12.639750000000003</v>
          </cell>
        </row>
        <row r="27">
          <cell r="A27">
            <v>22</v>
          </cell>
          <cell r="B27">
            <v>4</v>
          </cell>
          <cell r="C27">
            <v>-62</v>
          </cell>
          <cell r="D27">
            <v>3</v>
          </cell>
          <cell r="E27">
            <v>-225</v>
          </cell>
          <cell r="F27">
            <v>-27</v>
          </cell>
          <cell r="G27">
            <v>-116</v>
          </cell>
          <cell r="H27">
            <v>-92</v>
          </cell>
          <cell r="I27">
            <v>-48</v>
          </cell>
          <cell r="J27">
            <v>-68</v>
          </cell>
          <cell r="K27">
            <v>-43</v>
          </cell>
          <cell r="L27">
            <v>0</v>
          </cell>
          <cell r="M27">
            <v>225</v>
          </cell>
          <cell r="P27">
            <v>-449</v>
          </cell>
          <cell r="U27">
            <v>-750</v>
          </cell>
          <cell r="W27">
            <v>-394</v>
          </cell>
          <cell r="X27">
            <v>-405</v>
          </cell>
          <cell r="Y27">
            <v>-317.07142857142856</v>
          </cell>
          <cell r="AA27">
            <v>0</v>
          </cell>
          <cell r="AB27">
            <v>-12.178571428571429</v>
          </cell>
          <cell r="AF27">
            <v>0</v>
          </cell>
          <cell r="AG27">
            <v>2.6428571428571428</v>
          </cell>
          <cell r="AM27">
            <v>-345</v>
          </cell>
          <cell r="AS27">
            <v>-750</v>
          </cell>
          <cell r="AV27">
            <v>-16.321428571428573</v>
          </cell>
          <cell r="AW27">
            <v>-74.857142857142861</v>
          </cell>
          <cell r="AX27">
            <v>-90.678571428571431</v>
          </cell>
          <cell r="AY27">
            <v>-73.642857142857139</v>
          </cell>
          <cell r="AZ27">
            <v>-27.071428571428573</v>
          </cell>
          <cell r="BA27">
            <v>-34.5</v>
          </cell>
          <cell r="BB27">
            <v>-212.03571428571428</v>
          </cell>
          <cell r="BC27">
            <v>1.5</v>
          </cell>
          <cell r="BD27">
            <v>-59.5</v>
          </cell>
          <cell r="BE27">
            <v>-5.25</v>
          </cell>
          <cell r="BJ27">
            <v>-15</v>
          </cell>
          <cell r="BK27">
            <v>-110</v>
          </cell>
          <cell r="BL27">
            <v>-100</v>
          </cell>
          <cell r="BM27">
            <v>-100</v>
          </cell>
          <cell r="BN27">
            <v>-35</v>
          </cell>
          <cell r="BO27">
            <v>-45</v>
          </cell>
          <cell r="BP27">
            <v>-225</v>
          </cell>
          <cell r="BQ27">
            <v>-40</v>
          </cell>
          <cell r="BR27">
            <v>-80</v>
          </cell>
          <cell r="BS27">
            <v>0</v>
          </cell>
          <cell r="BY27">
            <v>-13.24164285714286</v>
          </cell>
          <cell r="CD27">
            <v>-13.24164285714286</v>
          </cell>
        </row>
        <row r="28">
          <cell r="A28">
            <v>23</v>
          </cell>
          <cell r="B28">
            <v>0</v>
          </cell>
          <cell r="C28">
            <v>-55</v>
          </cell>
          <cell r="D28">
            <v>-21</v>
          </cell>
          <cell r="E28">
            <v>-225</v>
          </cell>
          <cell r="F28">
            <v>-26</v>
          </cell>
          <cell r="G28">
            <v>-81</v>
          </cell>
          <cell r="H28">
            <v>-95</v>
          </cell>
          <cell r="I28">
            <v>-46</v>
          </cell>
          <cell r="J28">
            <v>-75</v>
          </cell>
          <cell r="K28">
            <v>-37</v>
          </cell>
          <cell r="L28">
            <v>-39</v>
          </cell>
          <cell r="M28">
            <v>69</v>
          </cell>
          <cell r="P28">
            <v>-631</v>
          </cell>
          <cell r="U28">
            <v>-750</v>
          </cell>
          <cell r="W28">
            <v>-360</v>
          </cell>
          <cell r="X28">
            <v>-405</v>
          </cell>
          <cell r="Y28">
            <v>-317.07142857142856</v>
          </cell>
          <cell r="AA28">
            <v>0</v>
          </cell>
          <cell r="AB28">
            <v>-12.178571428571429</v>
          </cell>
          <cell r="AF28">
            <v>0</v>
          </cell>
          <cell r="AG28">
            <v>2.6428571428571428</v>
          </cell>
          <cell r="AM28">
            <v>-345</v>
          </cell>
          <cell r="AS28">
            <v>-750</v>
          </cell>
          <cell r="AV28">
            <v>-16.321428571428573</v>
          </cell>
          <cell r="AW28">
            <v>-74.857142857142861</v>
          </cell>
          <cell r="AX28">
            <v>-90.678571428571431</v>
          </cell>
          <cell r="AY28">
            <v>-73.642857142857139</v>
          </cell>
          <cell r="AZ28">
            <v>-27.071428571428573</v>
          </cell>
          <cell r="BA28">
            <v>-34.5</v>
          </cell>
          <cell r="BB28">
            <v>-212.03571428571428</v>
          </cell>
          <cell r="BC28">
            <v>1.5</v>
          </cell>
          <cell r="BD28">
            <v>-59.5</v>
          </cell>
          <cell r="BE28">
            <v>-5.25</v>
          </cell>
          <cell r="BJ28">
            <v>-15</v>
          </cell>
          <cell r="BK28">
            <v>-110</v>
          </cell>
          <cell r="BL28">
            <v>-100</v>
          </cell>
          <cell r="BM28">
            <v>-100</v>
          </cell>
          <cell r="BN28">
            <v>-35</v>
          </cell>
          <cell r="BO28">
            <v>-45</v>
          </cell>
          <cell r="BP28">
            <v>-225</v>
          </cell>
          <cell r="BQ28">
            <v>-40</v>
          </cell>
          <cell r="BR28">
            <v>-80</v>
          </cell>
          <cell r="BS28">
            <v>0</v>
          </cell>
          <cell r="BY28">
            <v>-13.843535714285718</v>
          </cell>
          <cell r="CD28">
            <v>-13.843535714285718</v>
          </cell>
        </row>
        <row r="29">
          <cell r="A29">
            <v>24</v>
          </cell>
          <cell r="B29">
            <v>0</v>
          </cell>
          <cell r="C29">
            <v>-54</v>
          </cell>
          <cell r="D29">
            <v>33</v>
          </cell>
          <cell r="E29">
            <v>-225</v>
          </cell>
          <cell r="F29">
            <v>-26</v>
          </cell>
          <cell r="G29">
            <v>-111</v>
          </cell>
          <cell r="H29">
            <v>-95</v>
          </cell>
          <cell r="I29">
            <v>-44</v>
          </cell>
          <cell r="J29">
            <v>-75</v>
          </cell>
          <cell r="K29">
            <v>-43</v>
          </cell>
          <cell r="L29">
            <v>0</v>
          </cell>
          <cell r="M29">
            <v>297</v>
          </cell>
          <cell r="P29">
            <v>-343</v>
          </cell>
          <cell r="U29">
            <v>-750</v>
          </cell>
          <cell r="W29">
            <v>-394</v>
          </cell>
          <cell r="X29">
            <v>-405</v>
          </cell>
          <cell r="Y29">
            <v>-317.07142857142856</v>
          </cell>
          <cell r="AA29">
            <v>0</v>
          </cell>
          <cell r="AB29">
            <v>-12.178571428571429</v>
          </cell>
          <cell r="AF29">
            <v>0</v>
          </cell>
          <cell r="AG29">
            <v>2.6428571428571428</v>
          </cell>
          <cell r="AM29">
            <v>-345</v>
          </cell>
          <cell r="AS29">
            <v>-750</v>
          </cell>
          <cell r="AV29">
            <v>-16.321428571428573</v>
          </cell>
          <cell r="AW29">
            <v>-74.857142857142861</v>
          </cell>
          <cell r="AX29">
            <v>-90.678571428571431</v>
          </cell>
          <cell r="AY29">
            <v>-73.642857142857139</v>
          </cell>
          <cell r="AZ29">
            <v>-27.071428571428573</v>
          </cell>
          <cell r="BA29">
            <v>-34.5</v>
          </cell>
          <cell r="BB29">
            <v>-212.03571428571428</v>
          </cell>
          <cell r="BC29">
            <v>1.5</v>
          </cell>
          <cell r="BD29">
            <v>-59.5</v>
          </cell>
          <cell r="BE29">
            <v>-5.25</v>
          </cell>
          <cell r="BJ29">
            <v>-15</v>
          </cell>
          <cell r="BK29">
            <v>-110</v>
          </cell>
          <cell r="BL29">
            <v>-100</v>
          </cell>
          <cell r="BM29">
            <v>-100</v>
          </cell>
          <cell r="BN29">
            <v>-35</v>
          </cell>
          <cell r="BO29">
            <v>-45</v>
          </cell>
          <cell r="BP29">
            <v>-225</v>
          </cell>
          <cell r="BQ29">
            <v>-40</v>
          </cell>
          <cell r="BR29">
            <v>-80</v>
          </cell>
          <cell r="BS29">
            <v>0</v>
          </cell>
          <cell r="BY29">
            <v>-14.445428571428575</v>
          </cell>
          <cell r="CD29">
            <v>-14.445428571428575</v>
          </cell>
        </row>
        <row r="30">
          <cell r="A30">
            <v>25</v>
          </cell>
          <cell r="B30">
            <v>0</v>
          </cell>
          <cell r="C30">
            <v>-57</v>
          </cell>
          <cell r="D30">
            <v>0</v>
          </cell>
          <cell r="E30">
            <v>-225</v>
          </cell>
          <cell r="F30">
            <v>-20</v>
          </cell>
          <cell r="G30">
            <v>-109</v>
          </cell>
          <cell r="H30">
            <v>-95</v>
          </cell>
          <cell r="I30">
            <v>-43</v>
          </cell>
          <cell r="J30">
            <v>-75</v>
          </cell>
          <cell r="K30">
            <v>-43</v>
          </cell>
          <cell r="L30">
            <v>0</v>
          </cell>
          <cell r="M30">
            <v>152</v>
          </cell>
          <cell r="P30">
            <v>-515</v>
          </cell>
          <cell r="U30">
            <v>-750</v>
          </cell>
          <cell r="W30">
            <v>-385</v>
          </cell>
          <cell r="X30">
            <v>-405</v>
          </cell>
          <cell r="Y30">
            <v>-317.07142857142856</v>
          </cell>
          <cell r="AA30">
            <v>0</v>
          </cell>
          <cell r="AB30">
            <v>-12.178571428571429</v>
          </cell>
          <cell r="AF30">
            <v>0</v>
          </cell>
          <cell r="AG30">
            <v>2.6428571428571428</v>
          </cell>
          <cell r="AM30">
            <v>-345</v>
          </cell>
          <cell r="AS30">
            <v>-750</v>
          </cell>
          <cell r="AV30">
            <v>-16.321428571428573</v>
          </cell>
          <cell r="AW30">
            <v>-74.857142857142861</v>
          </cell>
          <cell r="AX30">
            <v>-90.678571428571431</v>
          </cell>
          <cell r="BC30">
            <v>1.5</v>
          </cell>
          <cell r="BJ30">
            <v>-15</v>
          </cell>
          <cell r="BK30">
            <v>-110</v>
          </cell>
          <cell r="BL30">
            <v>-100</v>
          </cell>
          <cell r="BM30">
            <v>-100</v>
          </cell>
          <cell r="BN30">
            <v>-35</v>
          </cell>
          <cell r="BO30">
            <v>-45</v>
          </cell>
          <cell r="BP30">
            <v>-225</v>
          </cell>
          <cell r="BQ30">
            <v>-40</v>
          </cell>
          <cell r="BR30">
            <v>-80</v>
          </cell>
          <cell r="BS30">
            <v>0</v>
          </cell>
          <cell r="BY30">
            <v>-15.047321428571433</v>
          </cell>
          <cell r="CD30">
            <v>-15.047321428571433</v>
          </cell>
        </row>
        <row r="31">
          <cell r="A31">
            <v>26</v>
          </cell>
          <cell r="B31">
            <v>0</v>
          </cell>
          <cell r="C31">
            <v>-27</v>
          </cell>
          <cell r="D31">
            <v>1</v>
          </cell>
          <cell r="E31">
            <v>-138</v>
          </cell>
          <cell r="F31">
            <v>-20</v>
          </cell>
          <cell r="G31">
            <v>0</v>
          </cell>
          <cell r="H31">
            <v>-94</v>
          </cell>
          <cell r="I31">
            <v>-42</v>
          </cell>
          <cell r="J31">
            <v>-75</v>
          </cell>
          <cell r="K31">
            <v>0</v>
          </cell>
          <cell r="L31">
            <v>36</v>
          </cell>
          <cell r="M31">
            <v>290</v>
          </cell>
          <cell r="P31">
            <v>-69</v>
          </cell>
          <cell r="U31">
            <v>-750</v>
          </cell>
          <cell r="W31">
            <v>-231</v>
          </cell>
          <cell r="X31">
            <v>-405</v>
          </cell>
          <cell r="Y31">
            <v>-317.07142857142856</v>
          </cell>
          <cell r="AA31">
            <v>0</v>
          </cell>
          <cell r="AF31">
            <v>0</v>
          </cell>
          <cell r="AM31">
            <v>-345</v>
          </cell>
          <cell r="AS31">
            <v>-750</v>
          </cell>
          <cell r="AV31">
            <v>-16.321428571428573</v>
          </cell>
          <cell r="AW31">
            <v>-74.857142857142861</v>
          </cell>
          <cell r="AX31">
            <v>-90.678571428571431</v>
          </cell>
          <cell r="BC31">
            <v>1.5</v>
          </cell>
          <cell r="BJ31">
            <v>-15</v>
          </cell>
          <cell r="BK31">
            <v>-110</v>
          </cell>
          <cell r="BL31">
            <v>-100</v>
          </cell>
          <cell r="BM31">
            <v>-100</v>
          </cell>
          <cell r="BN31">
            <v>-35</v>
          </cell>
          <cell r="BO31">
            <v>-45</v>
          </cell>
          <cell r="BP31">
            <v>-225</v>
          </cell>
          <cell r="BQ31">
            <v>-40</v>
          </cell>
          <cell r="BR31">
            <v>-80</v>
          </cell>
          <cell r="BS31">
            <v>0</v>
          </cell>
          <cell r="BY31">
            <v>-15.64921428571429</v>
          </cell>
          <cell r="CD31">
            <v>-15.64921428571429</v>
          </cell>
        </row>
        <row r="32">
          <cell r="A32">
            <v>27</v>
          </cell>
          <cell r="B32">
            <v>-29</v>
          </cell>
          <cell r="C32">
            <v>-60</v>
          </cell>
          <cell r="D32">
            <v>0</v>
          </cell>
          <cell r="E32">
            <v>-154</v>
          </cell>
          <cell r="F32">
            <v>-19</v>
          </cell>
          <cell r="G32">
            <v>0</v>
          </cell>
          <cell r="H32">
            <v>-93</v>
          </cell>
          <cell r="I32">
            <v>-43</v>
          </cell>
          <cell r="J32">
            <v>-75</v>
          </cell>
          <cell r="K32">
            <v>0</v>
          </cell>
          <cell r="L32">
            <v>93</v>
          </cell>
          <cell r="M32">
            <v>182</v>
          </cell>
          <cell r="P32">
            <v>-198</v>
          </cell>
          <cell r="U32">
            <v>-750</v>
          </cell>
          <cell r="X32">
            <v>-405</v>
          </cell>
          <cell r="AA32">
            <v>0</v>
          </cell>
          <cell r="AF32">
            <v>0</v>
          </cell>
          <cell r="AM32">
            <v>-345</v>
          </cell>
          <cell r="AS32">
            <v>-750</v>
          </cell>
          <cell r="BJ32">
            <v>-15</v>
          </cell>
          <cell r="BK32">
            <v>-110</v>
          </cell>
          <cell r="BL32">
            <v>-100</v>
          </cell>
          <cell r="BM32">
            <v>-100</v>
          </cell>
          <cell r="BN32">
            <v>-35</v>
          </cell>
          <cell r="BO32">
            <v>-45</v>
          </cell>
          <cell r="BP32">
            <v>-225</v>
          </cell>
          <cell r="BQ32">
            <v>-40</v>
          </cell>
          <cell r="BR32">
            <v>-80</v>
          </cell>
          <cell r="BS32">
            <v>0</v>
          </cell>
          <cell r="BY32">
            <v>-16.251107142857148</v>
          </cell>
          <cell r="CD32">
            <v>-16.251107142857148</v>
          </cell>
        </row>
      </sheetData>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2"/>
      <sheetName val="B2.1"/>
      <sheetName val="B-2.1a"/>
      <sheetName val="B-2.2"/>
      <sheetName val="B-2.3"/>
      <sheetName val="B-2.4"/>
      <sheetName val="B-2.5"/>
      <sheetName val="B-2.6"/>
      <sheetName val="B-2.7"/>
    </sheetNames>
    <sheetDataSet>
      <sheetData sheetId="0"/>
      <sheetData sheetId="1"/>
      <sheetData sheetId="2"/>
      <sheetData sheetId="3"/>
      <sheetData sheetId="4"/>
      <sheetData sheetId="5"/>
      <sheetData sheetId="6"/>
      <sheetData sheetId="7"/>
      <sheetData sheetId="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e Data, Margins, Discounts"/>
      <sheetName val="Price Workout Sheet"/>
      <sheetName val="Customer Issue"/>
      <sheetName val="Deal Summary"/>
      <sheetName val="Product List"/>
    </sheetNames>
    <sheetDataSet>
      <sheetData sheetId="0" refreshError="1"/>
      <sheetData sheetId="1" refreshError="1"/>
      <sheetData sheetId="2" refreshError="1"/>
      <sheetData sheetId="3" refreshError="1"/>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angible Plant"/>
      <sheetName val="Production"/>
      <sheetName val="Storage"/>
      <sheetName val="Transmission"/>
      <sheetName val="Distribution"/>
      <sheetName val="General Plant"/>
      <sheetName val="Tax Rates"/>
      <sheetName val="39 Year Rate"/>
      <sheetName val="Summary"/>
    </sheetNames>
    <sheetDataSet>
      <sheetData sheetId="0"/>
      <sheetData sheetId="1"/>
      <sheetData sheetId="2"/>
      <sheetData sheetId="3"/>
      <sheetData sheetId="4"/>
      <sheetData sheetId="5"/>
      <sheetData sheetId="6">
        <row r="1">
          <cell r="A1" t="str">
            <v>Yr. Life</v>
          </cell>
          <cell r="B1" t="str">
            <v>Year 1</v>
          </cell>
          <cell r="C1" t="str">
            <v>Year 2</v>
          </cell>
          <cell r="D1" t="str">
            <v>Year 3</v>
          </cell>
          <cell r="E1" t="str">
            <v>Year 4</v>
          </cell>
          <cell r="F1" t="str">
            <v>Description</v>
          </cell>
        </row>
        <row r="2">
          <cell r="A2">
            <v>1</v>
          </cell>
          <cell r="B2">
            <v>1</v>
          </cell>
          <cell r="C2">
            <v>0</v>
          </cell>
          <cell r="D2">
            <v>0</v>
          </cell>
          <cell r="E2">
            <v>0</v>
          </cell>
          <cell r="F2" t="str">
            <v>Transportation Equipment - Duel Fuel Kits &lt;= 2,000</v>
          </cell>
        </row>
        <row r="3">
          <cell r="A3">
            <v>1</v>
          </cell>
          <cell r="B3">
            <v>1</v>
          </cell>
          <cell r="C3">
            <v>0</v>
          </cell>
          <cell r="D3">
            <v>0</v>
          </cell>
          <cell r="E3">
            <v>0</v>
          </cell>
          <cell r="F3" t="str">
            <v>Duel Fuel Stations &lt;= 100,000</v>
          </cell>
        </row>
        <row r="4">
          <cell r="A4">
            <v>3</v>
          </cell>
          <cell r="B4">
            <v>0.16666666666666666</v>
          </cell>
          <cell r="C4">
            <v>0.33333333333333331</v>
          </cell>
          <cell r="D4">
            <v>0.33333333333333331</v>
          </cell>
          <cell r="E4">
            <v>0.16666666666666666</v>
          </cell>
          <cell r="F4" t="str">
            <v>Intangible Plant</v>
          </cell>
        </row>
        <row r="5">
          <cell r="A5">
            <v>5</v>
          </cell>
          <cell r="B5">
            <v>0.2</v>
          </cell>
          <cell r="C5">
            <v>0.32</v>
          </cell>
          <cell r="D5">
            <v>0.192</v>
          </cell>
          <cell r="E5">
            <v>0.1152</v>
          </cell>
          <cell r="F5" t="str">
            <v>Office Furniture &amp; Equipment - Computers</v>
          </cell>
        </row>
        <row r="6">
          <cell r="A6">
            <v>5</v>
          </cell>
          <cell r="B6">
            <v>0.2</v>
          </cell>
          <cell r="C6">
            <v>0.32</v>
          </cell>
          <cell r="D6">
            <v>0.192</v>
          </cell>
          <cell r="E6">
            <v>0.1152</v>
          </cell>
          <cell r="F6" t="str">
            <v>Office Furniture &amp; Equipment - Equipment</v>
          </cell>
        </row>
        <row r="7">
          <cell r="A7">
            <v>5</v>
          </cell>
          <cell r="B7">
            <v>0.2</v>
          </cell>
          <cell r="C7">
            <v>0.32</v>
          </cell>
          <cell r="D7">
            <v>0.192</v>
          </cell>
          <cell r="E7">
            <v>0.1152</v>
          </cell>
          <cell r="F7" t="str">
            <v>Transportation Equipment - Automobiles</v>
          </cell>
        </row>
        <row r="8">
          <cell r="A8">
            <v>5</v>
          </cell>
          <cell r="B8">
            <v>0.2</v>
          </cell>
          <cell r="C8">
            <v>0.32</v>
          </cell>
          <cell r="D8">
            <v>0.192</v>
          </cell>
          <cell r="E8">
            <v>0.1152</v>
          </cell>
          <cell r="F8" t="str">
            <v>Transportation Equipment - Trucks</v>
          </cell>
        </row>
        <row r="9">
          <cell r="A9">
            <v>5</v>
          </cell>
          <cell r="B9">
            <v>0.2</v>
          </cell>
          <cell r="C9">
            <v>0.32</v>
          </cell>
          <cell r="D9">
            <v>0.192</v>
          </cell>
          <cell r="E9">
            <v>0.1152</v>
          </cell>
          <cell r="F9" t="str">
            <v>Transportation Equipment - Trailers</v>
          </cell>
        </row>
        <row r="10">
          <cell r="A10">
            <v>5</v>
          </cell>
          <cell r="B10">
            <v>0.2</v>
          </cell>
          <cell r="C10">
            <v>0.32</v>
          </cell>
          <cell r="D10">
            <v>0.192</v>
          </cell>
          <cell r="E10">
            <v>0.1152</v>
          </cell>
          <cell r="F10" t="str">
            <v>Transportation Equipment - Duel Fuel Kits &gt; 2,000</v>
          </cell>
        </row>
        <row r="11">
          <cell r="A11">
            <v>7</v>
          </cell>
          <cell r="B11">
            <v>0.14285999999999999</v>
          </cell>
          <cell r="C11">
            <v>0.24490000000000001</v>
          </cell>
          <cell r="D11">
            <v>0.17493</v>
          </cell>
          <cell r="E11">
            <v>0.12495000000000001</v>
          </cell>
          <cell r="F11" t="str">
            <v>Production &amp; Gathering</v>
          </cell>
        </row>
        <row r="12">
          <cell r="A12">
            <v>7</v>
          </cell>
          <cell r="B12">
            <v>0.14285999999999999</v>
          </cell>
          <cell r="C12">
            <v>0.24490000000000001</v>
          </cell>
          <cell r="D12">
            <v>0.17493</v>
          </cell>
          <cell r="E12">
            <v>0.12495000000000001</v>
          </cell>
          <cell r="F12" t="str">
            <v>Office Furniture &amp; Equipment - Furniture</v>
          </cell>
        </row>
        <row r="13">
          <cell r="A13">
            <v>7</v>
          </cell>
          <cell r="B13">
            <v>0.14285999999999999</v>
          </cell>
          <cell r="C13">
            <v>0.24490000000000001</v>
          </cell>
          <cell r="D13">
            <v>0.17493</v>
          </cell>
          <cell r="E13">
            <v>0.12495000000000001</v>
          </cell>
          <cell r="F13" t="str">
            <v>Stores Equipment</v>
          </cell>
        </row>
        <row r="14">
          <cell r="A14">
            <v>7</v>
          </cell>
          <cell r="B14">
            <v>0.14285999999999999</v>
          </cell>
          <cell r="C14">
            <v>0.24490000000000001</v>
          </cell>
          <cell r="D14">
            <v>0.17493</v>
          </cell>
          <cell r="E14">
            <v>0.12495000000000001</v>
          </cell>
          <cell r="F14" t="str">
            <v>Tools, Shop &amp; Garage Equipment</v>
          </cell>
        </row>
        <row r="15">
          <cell r="A15">
            <v>7</v>
          </cell>
          <cell r="B15">
            <v>0.14285999999999999</v>
          </cell>
          <cell r="C15">
            <v>0.24490000000000001</v>
          </cell>
          <cell r="D15">
            <v>0.17493</v>
          </cell>
          <cell r="E15">
            <v>0.12495000000000001</v>
          </cell>
          <cell r="F15" t="str">
            <v>Miscellaneous Equipment</v>
          </cell>
        </row>
        <row r="16">
          <cell r="A16">
            <v>7</v>
          </cell>
          <cell r="B16">
            <v>0.14285999999999999</v>
          </cell>
          <cell r="C16">
            <v>0.24490000000000001</v>
          </cell>
          <cell r="D16">
            <v>0.17493</v>
          </cell>
          <cell r="E16">
            <v>0.12495000000000001</v>
          </cell>
          <cell r="F16" t="str">
            <v>Office Furniture &amp; Equipment - Legal Books</v>
          </cell>
        </row>
        <row r="17">
          <cell r="A17">
            <v>15</v>
          </cell>
          <cell r="B17">
            <v>0.05</v>
          </cell>
          <cell r="C17">
            <v>9.5000000000000001E-2</v>
          </cell>
          <cell r="D17">
            <v>8.5500000000000007E-2</v>
          </cell>
          <cell r="E17">
            <v>7.6899999999999996E-2</v>
          </cell>
          <cell r="F17" t="str">
            <v>Storage, Transmission, &amp; Distribution for 08, 09 &amp; 2010 Investments</v>
          </cell>
        </row>
        <row r="18">
          <cell r="A18">
            <v>20</v>
          </cell>
          <cell r="B18">
            <v>3.7499999999999999E-2</v>
          </cell>
          <cell r="C18">
            <v>7.22E-2</v>
          </cell>
          <cell r="D18">
            <v>6.6799999999999998E-2</v>
          </cell>
          <cell r="E18">
            <v>6.1800000000000001E-2</v>
          </cell>
          <cell r="F18" t="str">
            <v>Distribution for 2011 &amp; Beyond Investments</v>
          </cell>
        </row>
        <row r="19">
          <cell r="A19">
            <v>20</v>
          </cell>
          <cell r="B19">
            <v>3.7499999999999999E-2</v>
          </cell>
          <cell r="C19">
            <v>7.22E-2</v>
          </cell>
          <cell r="D19">
            <v>6.6799999999999998E-2</v>
          </cell>
          <cell r="E19">
            <v>6.1800000000000001E-2</v>
          </cell>
          <cell r="F19" t="str">
            <v>Duel Fuel Stations &gt; 100,000</v>
          </cell>
        </row>
        <row r="20">
          <cell r="A20">
            <v>20</v>
          </cell>
          <cell r="B20">
            <v>3.7499999999999999E-2</v>
          </cell>
          <cell r="C20">
            <v>7.22E-2</v>
          </cell>
          <cell r="D20">
            <v>6.6799999999999998E-2</v>
          </cell>
          <cell r="E20">
            <v>6.1800000000000001E-2</v>
          </cell>
          <cell r="F20" t="str">
            <v>Power Operated Equipment</v>
          </cell>
        </row>
        <row r="21">
          <cell r="A21">
            <v>20</v>
          </cell>
          <cell r="B21">
            <v>3.7499999999999999E-2</v>
          </cell>
          <cell r="C21">
            <v>7.22E-2</v>
          </cell>
          <cell r="D21">
            <v>6.6799999999999998E-2</v>
          </cell>
          <cell r="E21">
            <v>6.1800000000000001E-2</v>
          </cell>
          <cell r="F21" t="str">
            <v>Communication Equipment - Radio</v>
          </cell>
        </row>
        <row r="22">
          <cell r="A22">
            <v>20</v>
          </cell>
          <cell r="B22">
            <v>3.7499999999999999E-2</v>
          </cell>
          <cell r="C22">
            <v>7.22E-2</v>
          </cell>
          <cell r="D22">
            <v>6.6799999999999998E-2</v>
          </cell>
          <cell r="E22">
            <v>6.1800000000000001E-2</v>
          </cell>
          <cell r="F22" t="str">
            <v>Communication Equipment - Telephone</v>
          </cell>
        </row>
        <row r="23">
          <cell r="A23">
            <v>20</v>
          </cell>
          <cell r="B23">
            <v>3.7499999999999999E-2</v>
          </cell>
          <cell r="C23">
            <v>7.22E-2</v>
          </cell>
          <cell r="D23">
            <v>6.6799999999999998E-2</v>
          </cell>
          <cell r="E23">
            <v>6.1800000000000001E-2</v>
          </cell>
          <cell r="F23" t="str">
            <v>Rights of Way - Communication</v>
          </cell>
        </row>
        <row r="24">
          <cell r="A24">
            <v>39</v>
          </cell>
          <cell r="B24">
            <v>1.391E-2</v>
          </cell>
          <cell r="C24">
            <v>2.564E-2</v>
          </cell>
          <cell r="D24">
            <v>2.564E-2</v>
          </cell>
          <cell r="E24">
            <v>2.564E-2</v>
          </cell>
          <cell r="F24" t="str">
            <v>Structures and Improvements</v>
          </cell>
        </row>
      </sheetData>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Details"/>
      <sheetName val="Count of Nodes by Type"/>
      <sheetName val="Complete Listing incl LCN"/>
      <sheetName val="LCN Nodes"/>
    </sheetNames>
    <sheetDataSet>
      <sheetData sheetId="0" refreshError="1"/>
      <sheetData sheetId="1" refreshError="1"/>
      <sheetData sheetId="2" refreshError="1"/>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 Summary"/>
      <sheetName val="Sheet3"/>
      <sheetName val="P&amp;L"/>
      <sheetName val="BT Summary ASC 101504"/>
      <sheetName val="Signed off PB Finsumm"/>
      <sheetName val="Finsumm"/>
      <sheetName val="Equipt"/>
      <sheetName val="Price Summ"/>
      <sheetName val="Revised Position"/>
      <sheetName val="Bus Case 101304"/>
      <sheetName val="CAPEX Normalization - BT Ca (3)"/>
      <sheetName val="CAPEX Normalization - BT Case"/>
      <sheetName val="BT Summary ASC 101304 (2)"/>
      <sheetName val="I. Summary ASC 101304"/>
      <sheetName val="Roll-Forward"/>
      <sheetName val="Normalization Change"/>
      <sheetName val="Bus Case 091004"/>
      <sheetName val="I. Summary ASC 090104 (2)"/>
      <sheetName val="CAPEX Normalization - BT Ca (2)"/>
      <sheetName val="Original Technology"/>
      <sheetName val="BT Yr 1 Base Case Review"/>
      <sheetName val="BT 7 Year Base Case Review"/>
      <sheetName val="Consider Revised Target"/>
      <sheetName val="BT Pricing Initiatives"/>
      <sheetName val="BMS Actions"/>
      <sheetName val="BMS Scars"/>
      <sheetName val="D - Global Remote Access"/>
      <sheetName val="Dial Internet User"/>
      <sheetName val="Managed Broadband User"/>
      <sheetName val="MPLS"/>
      <sheetName val="Nwks"/>
      <sheetName val="Bus Case Total"/>
      <sheetName val="Pay1"/>
      <sheetName val="Pay2"/>
      <sheetName val="Pay3"/>
      <sheetName val="I. Summary ASC 101304 (2)"/>
      <sheetName val="Base Inputs"/>
      <sheetName val="Sheet1"/>
      <sheetName val="XI. Resource Baselines"/>
      <sheetName val="Revised Bus Case (2)"/>
      <sheetName val="I. Summary ASC 101204"/>
      <sheetName val="I. Summary ASC 090104"/>
      <sheetName val="Voice Transport 2003"/>
      <sheetName val="BMS - Base Case Control Sheet"/>
      <sheetName val="Refresh&amp;Depn (2)"/>
      <sheetName val="In Scope Business Case"/>
      <sheetName val="Original Fin summ incremental"/>
      <sheetName val="Voice Reconciliation"/>
      <sheetName val="Voice"/>
      <sheetName val="PB Reconciliation"/>
      <sheetName val="Sheet2"/>
      <sheetName val="Revised Bus Case"/>
      <sheetName val="Original Buy Back"/>
      <sheetName val="Future State Savings Initiative"/>
      <sheetName val="New Wan Summary"/>
      <sheetName val="MPLS Transport future"/>
      <sheetName val="New Lan Summary"/>
      <sheetName val="New Remote Access"/>
      <sheetName val="New Internet Infrastructue"/>
      <sheetName val="New Jersey Man"/>
      <sheetName val="New Global Enterprise Service"/>
      <sheetName val="Product Summary"/>
      <sheetName val="Roll Out"/>
      <sheetName val="N Business Partner Connectivity"/>
      <sheetName val="New Voice Support"/>
      <sheetName val="Wireless Support Services"/>
      <sheetName val="E Bonding Mgmt"/>
      <sheetName val="Volumetrics"/>
      <sheetName val="MPLS Savings"/>
      <sheetName val="Assumptions"/>
      <sheetName val="Peer Review"/>
      <sheetName val="FX Rates"/>
      <sheetName val="Access savings"/>
      <sheetName val="Error Checks"/>
      <sheetName val="Resource"/>
      <sheetName val="Resource Costs"/>
      <sheetName val="BMS Salary Costs"/>
      <sheetName val="Tech Des Res"/>
      <sheetName val="Transition res"/>
      <sheetName val="HR Costs"/>
      <sheetName val="MPLS P&amp;L"/>
      <sheetName val="Wan circuit costs"/>
      <sheetName val="Management Links"/>
      <sheetName val="Voice IP cards"/>
      <sheetName val="Rolloutdetail"/>
      <sheetName val="Voice refresh"/>
      <sheetName val="Parallel Run costs"/>
      <sheetName val="site type"/>
      <sheetName val="Refresh&amp;Depn"/>
      <sheetName val="Misc."/>
      <sheetName val="Voice Commun"/>
      <sheetName val="Price Pres"/>
      <sheetName val="3rd party contracts"/>
      <sheetName val="Original Asset Depreciation"/>
      <sheetName val="FB BT"/>
      <sheetName val="Signed off PB FB BT"/>
      <sheetName val="FB BTGsol"/>
      <sheetName val="FB BTGsol VA"/>
      <sheetName val="Names"/>
      <sheetName val="IPR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sheetName val="Rating Tables"/>
      <sheetName val="Hourly"/>
      <sheetName val="Contractor"/>
      <sheetName val="Consulting"/>
      <sheetName val="Outside Purchased Services"/>
      <sheetName val="Expense Worksheet"/>
      <sheetName val="BUDGET SUMMARY"/>
      <sheetName val="xref acct"/>
      <sheetName val="Headcount"/>
      <sheetName val="Print File"/>
      <sheetName val="Chart of Accounts"/>
      <sheetName val="Module1"/>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row r="3">
          <cell r="A3" t="str">
            <v>Acct</v>
          </cell>
          <cell r="B3" t="str">
            <v>ACCOUNTS</v>
          </cell>
          <cell r="C3" t="str">
            <v>Classification</v>
          </cell>
        </row>
        <row r="4">
          <cell r="A4">
            <v>601000</v>
          </cell>
          <cell r="B4" t="str">
            <v>601000  SALARIES-EXEMPT</v>
          </cell>
          <cell r="C4" t="str">
            <v>SALARIES AND BENEFITS</v>
          </cell>
        </row>
        <row r="5">
          <cell r="A5">
            <v>601001</v>
          </cell>
          <cell r="B5" t="str">
            <v>601001  SALARIES-NON-EXEMPT</v>
          </cell>
          <cell r="C5" t="str">
            <v>SALARIES AND BENEFITS</v>
          </cell>
        </row>
        <row r="6">
          <cell r="A6">
            <v>601005</v>
          </cell>
          <cell r="B6" t="str">
            <v>601005  SALARIES-OVERTIME</v>
          </cell>
          <cell r="C6" t="str">
            <v>SALARIES AND BENEFITS</v>
          </cell>
        </row>
        <row r="7">
          <cell r="A7">
            <v>601007</v>
          </cell>
          <cell r="B7" t="str">
            <v>601007  SAL-SHIFT DIFF</v>
          </cell>
          <cell r="C7" t="str">
            <v>SALARIES AND BENEFITS</v>
          </cell>
        </row>
        <row r="8">
          <cell r="A8">
            <v>601010</v>
          </cell>
          <cell r="B8" t="str">
            <v>601010  SAL-TEMP LABOR</v>
          </cell>
          <cell r="C8" t="str">
            <v>SALARIES AND BENEFITS</v>
          </cell>
        </row>
        <row r="9">
          <cell r="A9">
            <v>601012</v>
          </cell>
          <cell r="B9" t="str">
            <v>601012  SALARIES-EXEMPT FLEX</v>
          </cell>
          <cell r="C9" t="str">
            <v>SALARIES AND BENEFITS</v>
          </cell>
        </row>
        <row r="10">
          <cell r="A10">
            <v>601055</v>
          </cell>
          <cell r="B10" t="str">
            <v>601055  SAL-OTHER PAID TIME</v>
          </cell>
          <cell r="C10" t="str">
            <v>SALARIES AND BENEFITS</v>
          </cell>
        </row>
        <row r="11">
          <cell r="A11">
            <v>601056</v>
          </cell>
          <cell r="B11" t="str">
            <v>601056  SAL-GAIN SHARING</v>
          </cell>
          <cell r="C11" t="str">
            <v>SALARIES AND BENEFITS</v>
          </cell>
        </row>
        <row r="12">
          <cell r="A12">
            <v>601061</v>
          </cell>
          <cell r="B12" t="str">
            <v>601061  EXEMPT/PER FRINGE</v>
          </cell>
          <cell r="C12" t="str">
            <v>SALARIES AND BENEFITS</v>
          </cell>
        </row>
        <row r="13">
          <cell r="A13">
            <v>601062</v>
          </cell>
          <cell r="B13" t="str">
            <v>601062  NON-EX/PER FRINGE</v>
          </cell>
          <cell r="C13" t="str">
            <v>SALARIES AND BENEFITS</v>
          </cell>
        </row>
        <row r="14">
          <cell r="A14">
            <v>601069</v>
          </cell>
          <cell r="B14" t="str">
            <v>601069  TEMP/PER FRINGE</v>
          </cell>
          <cell r="C14" t="str">
            <v>SALARIES AND BENEFITS</v>
          </cell>
        </row>
        <row r="15">
          <cell r="A15">
            <v>601070</v>
          </cell>
          <cell r="B15" t="str">
            <v>601070  TEMP FRINGE % OF SAL</v>
          </cell>
          <cell r="C15" t="str">
            <v>SALARIES AND BENEFITS</v>
          </cell>
        </row>
        <row r="16">
          <cell r="A16">
            <v>601071</v>
          </cell>
          <cell r="B16" t="str">
            <v>601071  EXEMPT FRINGE % OF S</v>
          </cell>
          <cell r="C16" t="str">
            <v>SALARIES AND BENEFITS</v>
          </cell>
        </row>
        <row r="17">
          <cell r="A17">
            <v>601072</v>
          </cell>
          <cell r="B17" t="str">
            <v>601072  NON-EX FRINGE % OF S</v>
          </cell>
          <cell r="C17" t="str">
            <v>SALARIES AND BENEFITS</v>
          </cell>
        </row>
        <row r="18">
          <cell r="A18">
            <v>601161</v>
          </cell>
          <cell r="B18" t="str">
            <v>601161  WELLNESS PROGRAM</v>
          </cell>
          <cell r="C18" t="str">
            <v>SALARIES AND BENEFITS</v>
          </cell>
        </row>
        <row r="19">
          <cell r="A19">
            <v>602000</v>
          </cell>
          <cell r="B19" t="str">
            <v>602000  HRLY-SALARIES</v>
          </cell>
          <cell r="C19" t="str">
            <v>SALARIES AND BENEFITS</v>
          </cell>
        </row>
        <row r="20">
          <cell r="A20">
            <v>603002</v>
          </cell>
          <cell r="B20" t="str">
            <v>603002  SAFETY PROGRAM</v>
          </cell>
          <cell r="C20" t="str">
            <v>SALARIES AND BENEFITS</v>
          </cell>
        </row>
        <row r="21">
          <cell r="A21">
            <v>603010</v>
          </cell>
          <cell r="B21" t="str">
            <v>603010  EMPL REWARD AND REC</v>
          </cell>
          <cell r="C21" t="str">
            <v>SALARIES AND BENEFITS</v>
          </cell>
        </row>
        <row r="22">
          <cell r="A22">
            <v>603024</v>
          </cell>
          <cell r="B22" t="str">
            <v>603024  EMPLOYEE PROGRAMS</v>
          </cell>
          <cell r="C22" t="str">
            <v>SALARIES AND BENEFITS</v>
          </cell>
        </row>
        <row r="23">
          <cell r="A23">
            <v>603025</v>
          </cell>
          <cell r="B23" t="str">
            <v>603025  EMPLOYEE RELATIONS</v>
          </cell>
          <cell r="C23" t="str">
            <v>SALARIES AND BENEFITS</v>
          </cell>
        </row>
        <row r="24">
          <cell r="A24">
            <v>603028</v>
          </cell>
          <cell r="B24" t="str">
            <v>603028  SPOT AWARDS</v>
          </cell>
          <cell r="C24" t="str">
            <v>SALARIES AND BENEFITS</v>
          </cell>
        </row>
        <row r="25">
          <cell r="A25">
            <v>603115</v>
          </cell>
          <cell r="B25" t="str">
            <v>603115  PROD INTL CONS CLEAR</v>
          </cell>
          <cell r="C25" t="str">
            <v>SALARIES AND BENEFITS</v>
          </cell>
        </row>
        <row r="26">
          <cell r="A26">
            <v>602014</v>
          </cell>
          <cell r="B26" t="str">
            <v>602014  HOURLY-CAPITALIZED LABOR</v>
          </cell>
          <cell r="C26" t="str">
            <v>SALARIES AND BENEFITS</v>
          </cell>
        </row>
        <row r="27">
          <cell r="A27">
            <v>601901</v>
          </cell>
          <cell r="B27" t="str">
            <v>601901  ACTUAL DIRECT LABOR</v>
          </cell>
          <cell r="C27" t="str">
            <v>SALARIES AND BENEFITS</v>
          </cell>
        </row>
        <row r="28">
          <cell r="A28" t="e">
            <v>#VALUE!</v>
          </cell>
          <cell r="B28" t="str">
            <v>SALARIES AND BENEFITS</v>
          </cell>
          <cell r="C28" t="str">
            <v>SALARIES AND BENEFITS</v>
          </cell>
        </row>
        <row r="29">
          <cell r="A29">
            <v>601130</v>
          </cell>
          <cell r="B29" t="str">
            <v>601130  PROF&amp;CIVIC DUES/FEES</v>
          </cell>
          <cell r="C29" t="str">
            <v>EDUCATION AND TRAINING</v>
          </cell>
        </row>
        <row r="30">
          <cell r="A30">
            <v>601165</v>
          </cell>
          <cell r="B30" t="str">
            <v>601165  SAL-EXT SEMINARS</v>
          </cell>
          <cell r="C30" t="str">
            <v>EDUCATION AND TRAINING</v>
          </cell>
        </row>
        <row r="31">
          <cell r="A31">
            <v>601170</v>
          </cell>
          <cell r="B31" t="str">
            <v>601170  SAL-EDUC BENEFIT</v>
          </cell>
          <cell r="C31" t="str">
            <v>EDUCATION AND TRAINING</v>
          </cell>
        </row>
        <row r="32">
          <cell r="A32">
            <v>604105</v>
          </cell>
          <cell r="B32" t="str">
            <v>604105  SAL-INTERNAL TRAING</v>
          </cell>
          <cell r="C32" t="str">
            <v>EDUCATION AND TRAINING</v>
          </cell>
        </row>
        <row r="33">
          <cell r="A33">
            <v>604135</v>
          </cell>
          <cell r="B33" t="str">
            <v>604135  TRAINING MATERIAL</v>
          </cell>
          <cell r="C33" t="str">
            <v>EDUCATION AND TRAINING</v>
          </cell>
        </row>
        <row r="34">
          <cell r="A34">
            <v>604140</v>
          </cell>
          <cell r="B34" t="str">
            <v>604140  TRAINING-OTHER</v>
          </cell>
          <cell r="C34" t="str">
            <v>EDUCATION AND TRAINING</v>
          </cell>
        </row>
        <row r="35">
          <cell r="A35">
            <v>604142</v>
          </cell>
          <cell r="B35" t="str">
            <v>604142  TRAINING DEVELOPMENT</v>
          </cell>
          <cell r="C35" t="str">
            <v>EDUCATION AND TRAINING</v>
          </cell>
        </row>
        <row r="36">
          <cell r="A36">
            <v>604230</v>
          </cell>
          <cell r="B36" t="str">
            <v>604230  DEALR TRAIN-OTHER</v>
          </cell>
          <cell r="C36" t="str">
            <v>EDUCATION AND TRAINING</v>
          </cell>
        </row>
        <row r="37">
          <cell r="A37">
            <v>610400</v>
          </cell>
          <cell r="B37" t="str">
            <v>610400  SUBSCRIPT-TRADE</v>
          </cell>
          <cell r="C37" t="str">
            <v>EDUCATION AND TRAINING</v>
          </cell>
        </row>
        <row r="38">
          <cell r="A38" t="e">
            <v>#VALUE!</v>
          </cell>
          <cell r="B38" t="str">
            <v>EDUCATION AND TRAINING</v>
          </cell>
          <cell r="C38" t="str">
            <v>EDUCATION AND TRAINING</v>
          </cell>
        </row>
        <row r="39">
          <cell r="A39">
            <v>605000</v>
          </cell>
          <cell r="B39" t="str">
            <v>605000  TRAVEL EXPENSE</v>
          </cell>
          <cell r="C39" t="str">
            <v>TRAVEL EXPENSE</v>
          </cell>
        </row>
        <row r="40">
          <cell r="A40">
            <v>605100</v>
          </cell>
          <cell r="B40" t="str">
            <v>605100  TRAVEL INTERNATIONAL</v>
          </cell>
          <cell r="C40" t="str">
            <v>TRAVEL EXPENSE</v>
          </cell>
        </row>
        <row r="41">
          <cell r="A41">
            <v>605500</v>
          </cell>
          <cell r="B41" t="str">
            <v>605500  TRAVEL-MEAL COST</v>
          </cell>
          <cell r="C41" t="str">
            <v>TRAVEL EXPENSE</v>
          </cell>
        </row>
        <row r="42">
          <cell r="A42">
            <v>605600</v>
          </cell>
          <cell r="B42" t="str">
            <v>605600  TRAVEL-MEAL COST INT</v>
          </cell>
          <cell r="C42" t="str">
            <v>TRAVEL EXPENSE</v>
          </cell>
        </row>
        <row r="43">
          <cell r="A43">
            <v>606230</v>
          </cell>
          <cell r="B43" t="str">
            <v>606230  OWNED AUTO-REPAIRS</v>
          </cell>
          <cell r="C43" t="str">
            <v>TRAVEL EXPENSE</v>
          </cell>
        </row>
        <row r="44">
          <cell r="A44">
            <v>606100</v>
          </cell>
          <cell r="B44" t="str">
            <v>606100  LEASED AUTO-CAR</v>
          </cell>
          <cell r="C44" t="str">
            <v>TRAVEL EXPENSE</v>
          </cell>
        </row>
        <row r="45">
          <cell r="A45" t="e">
            <v>#VALUE!</v>
          </cell>
          <cell r="B45" t="str">
            <v>TRAVEL EXPENSE</v>
          </cell>
          <cell r="C45" t="str">
            <v>TRAVEL EXPENSE</v>
          </cell>
        </row>
        <row r="46">
          <cell r="A46">
            <v>603031</v>
          </cell>
          <cell r="B46" t="str">
            <v>603031  TRANSF MOVING &amp; LIVI</v>
          </cell>
          <cell r="C46" t="str">
            <v>RECRUITING &amp; RELOCATION</v>
          </cell>
        </row>
        <row r="47">
          <cell r="A47">
            <v>603032</v>
          </cell>
          <cell r="B47" t="str">
            <v>603032  RECRUIT/EMPLOYMENT</v>
          </cell>
          <cell r="C47" t="str">
            <v>RECRUITING &amp; RELOCATION</v>
          </cell>
        </row>
        <row r="48">
          <cell r="A48">
            <v>603035</v>
          </cell>
          <cell r="B48" t="str">
            <v>603035  FOREIGN ALLOWANCE</v>
          </cell>
          <cell r="C48" t="str">
            <v>RECRUITING &amp; RELOCATION</v>
          </cell>
        </row>
        <row r="49">
          <cell r="A49">
            <v>603036</v>
          </cell>
          <cell r="B49" t="str">
            <v>603036  EXPAT FOREIGN TAXES</v>
          </cell>
          <cell r="C49" t="str">
            <v>RECRUITING &amp; RELOCATION</v>
          </cell>
        </row>
        <row r="50">
          <cell r="A50">
            <v>603047</v>
          </cell>
          <cell r="B50" t="str">
            <v>603047  VISA-HR SERVICES</v>
          </cell>
          <cell r="C50" t="str">
            <v>RECRUITING &amp; RELOCATION</v>
          </cell>
        </row>
        <row r="51">
          <cell r="A51" t="e">
            <v>#VALUE!</v>
          </cell>
          <cell r="B51" t="str">
            <v>RECRUITING &amp; RELOCATION</v>
          </cell>
          <cell r="C51" t="str">
            <v>RECRUITING &amp; RELOCATION</v>
          </cell>
        </row>
        <row r="52">
          <cell r="A52" t="e">
            <v>#VALUE!</v>
          </cell>
          <cell r="B52" t="str">
            <v>WHIRLPOOL PERSONNEL</v>
          </cell>
          <cell r="C52" t="str">
            <v>WHIRLPOOL PERSONNEL</v>
          </cell>
        </row>
        <row r="53">
          <cell r="A53">
            <v>613000</v>
          </cell>
          <cell r="B53" t="str">
            <v>613000  OUTSIDE SVCS CONSULT</v>
          </cell>
          <cell r="C53" t="str">
            <v>CONSULTING</v>
          </cell>
        </row>
        <row r="54">
          <cell r="A54">
            <v>613010</v>
          </cell>
          <cell r="B54" t="str">
            <v>613010  CONSULTANT LIVING EX</v>
          </cell>
          <cell r="C54" t="str">
            <v>CONSULTING</v>
          </cell>
        </row>
        <row r="55">
          <cell r="A55">
            <v>613040</v>
          </cell>
          <cell r="B55" t="str">
            <v>613040  IT CONSULTING</v>
          </cell>
          <cell r="C55" t="str">
            <v>CONSULTING</v>
          </cell>
        </row>
        <row r="56">
          <cell r="A56" t="e">
            <v>#VALUE!</v>
          </cell>
          <cell r="B56" t="str">
            <v>CONSULTING</v>
          </cell>
          <cell r="C56" t="str">
            <v>CONSULTING</v>
          </cell>
        </row>
        <row r="57">
          <cell r="A57">
            <v>603003</v>
          </cell>
          <cell r="B57" t="str">
            <v>603003  CONTRACT WAGES &amp; BEN</v>
          </cell>
          <cell r="C57" t="str">
            <v>CONTRACTING</v>
          </cell>
        </row>
        <row r="58">
          <cell r="A58">
            <v>613120</v>
          </cell>
          <cell r="B58" t="str">
            <v>613120  OUTSIDE PURCHASE SVC</v>
          </cell>
          <cell r="C58" t="str">
            <v>CONTRACTING</v>
          </cell>
        </row>
        <row r="59">
          <cell r="A59" t="e">
            <v>#VALUE!</v>
          </cell>
          <cell r="B59" t="str">
            <v>CONTRACTING</v>
          </cell>
          <cell r="C59" t="str">
            <v>CONTRACTING</v>
          </cell>
        </row>
        <row r="60">
          <cell r="A60">
            <v>613050</v>
          </cell>
          <cell r="B60" t="str">
            <v>613050  OUTSOURCED SERVICES</v>
          </cell>
          <cell r="C60" t="str">
            <v>OUTSOURCE</v>
          </cell>
        </row>
        <row r="61">
          <cell r="A61" t="e">
            <v>#VALUE!</v>
          </cell>
          <cell r="B61" t="str">
            <v>OUTSOURCE</v>
          </cell>
          <cell r="C61" t="str">
            <v>OUTSOURCE</v>
          </cell>
        </row>
        <row r="62">
          <cell r="A62" t="e">
            <v>#VALUE!</v>
          </cell>
          <cell r="B62" t="str">
            <v>OUTSIDE PERSONNEL</v>
          </cell>
          <cell r="C62" t="str">
            <v>OUTSIDE PERSONNEL</v>
          </cell>
        </row>
        <row r="63">
          <cell r="A63">
            <v>609210</v>
          </cell>
          <cell r="B63" t="str">
            <v>609210  MAINT-HARDWARE</v>
          </cell>
          <cell r="C63" t="str">
            <v>HW MAINTENANCE</v>
          </cell>
        </row>
        <row r="64">
          <cell r="A64">
            <v>609230</v>
          </cell>
          <cell r="B64" t="str">
            <v>609230  MAINT-OFFICE EQUIP</v>
          </cell>
          <cell r="C64" t="str">
            <v>HW MAINTENANCE</v>
          </cell>
        </row>
        <row r="65">
          <cell r="A65">
            <v>609244</v>
          </cell>
          <cell r="B65" t="str">
            <v>609244  PURCH MAINT M&amp;E</v>
          </cell>
          <cell r="C65" t="str">
            <v>HW MAINTENANCE</v>
          </cell>
        </row>
        <row r="66">
          <cell r="A66" t="e">
            <v>#VALUE!</v>
          </cell>
          <cell r="B66" t="str">
            <v>HW MAINTENANCE</v>
          </cell>
          <cell r="C66" t="str">
            <v>HW MAINTENANCE</v>
          </cell>
        </row>
        <row r="67">
          <cell r="A67">
            <v>607500</v>
          </cell>
          <cell r="B67" t="str">
            <v>607500  PROPERTY-EQUIPMENT</v>
          </cell>
          <cell r="C67" t="str">
            <v>HARWARE RENT &amp; LEASING</v>
          </cell>
        </row>
        <row r="68">
          <cell r="A68">
            <v>608110</v>
          </cell>
          <cell r="B68" t="str">
            <v>608110  RENTAL-HARDWARE</v>
          </cell>
          <cell r="C68" t="str">
            <v>HARWARE RENT &amp; LEASING</v>
          </cell>
        </row>
        <row r="69">
          <cell r="A69">
            <v>608131</v>
          </cell>
          <cell r="B69" t="str">
            <v>608131  RENTAL-COMM EQUIP</v>
          </cell>
          <cell r="C69" t="str">
            <v>HARWARE RENT &amp; LEASING</v>
          </cell>
        </row>
        <row r="70">
          <cell r="A70">
            <v>608210</v>
          </cell>
          <cell r="B70" t="str">
            <v>608210  LEASED-HARDWARE</v>
          </cell>
          <cell r="C70" t="str">
            <v>HARWARE RENT &amp; LEASING</v>
          </cell>
        </row>
        <row r="71">
          <cell r="A71">
            <v>608215</v>
          </cell>
          <cell r="B71" t="str">
            <v>608215  LEASED-PC EQUIP</v>
          </cell>
          <cell r="C71" t="str">
            <v>HARWARE RENT &amp; LEASING</v>
          </cell>
        </row>
        <row r="72">
          <cell r="A72">
            <v>608250</v>
          </cell>
          <cell r="B72" t="str">
            <v>608250  LEASING COSTS-OTHER</v>
          </cell>
          <cell r="C72" t="str">
            <v>HARWARE RENT &amp; LEASING</v>
          </cell>
        </row>
        <row r="73">
          <cell r="A73" t="e">
            <v>#VALUE!</v>
          </cell>
          <cell r="B73" t="str">
            <v>HARWARE RENT &amp; LEASING</v>
          </cell>
          <cell r="C73" t="str">
            <v>HARWARE RENT &amp; LEASING</v>
          </cell>
        </row>
        <row r="74">
          <cell r="A74">
            <v>608100</v>
          </cell>
          <cell r="B74" t="str">
            <v>608100  RENTAL-SOFTWARE</v>
          </cell>
          <cell r="C74" t="str">
            <v>SOFTWARE RENT &amp; LEASING</v>
          </cell>
        </row>
        <row r="75">
          <cell r="A75">
            <v>608200</v>
          </cell>
          <cell r="B75" t="str">
            <v>608200  LEASED-SOFTWARE</v>
          </cell>
          <cell r="C75" t="str">
            <v>SOFTWARE RENT &amp; LEASING</v>
          </cell>
        </row>
        <row r="76">
          <cell r="A76">
            <v>609200</v>
          </cell>
          <cell r="B76" t="str">
            <v>609200  MAINT-SOFTWARE</v>
          </cell>
          <cell r="C76" t="str">
            <v>SOFTWARE RENT &amp; LEASING</v>
          </cell>
        </row>
        <row r="77">
          <cell r="A77" t="e">
            <v>#VALUE!</v>
          </cell>
          <cell r="B77" t="str">
            <v>SOFTWARE RENT &amp; LEASING</v>
          </cell>
          <cell r="C77" t="str">
            <v>SOFTWARE RENT &amp; LEASING</v>
          </cell>
        </row>
        <row r="78">
          <cell r="A78">
            <v>607050</v>
          </cell>
          <cell r="B78" t="str">
            <v>607050  PRPTY-DEPRECIATION</v>
          </cell>
          <cell r="C78" t="str">
            <v>HW / SW DEPRECIATION</v>
          </cell>
        </row>
        <row r="79">
          <cell r="A79" t="e">
            <v>#VALUE!</v>
          </cell>
          <cell r="B79" t="str">
            <v>HW / SW DEPRECIATION</v>
          </cell>
          <cell r="C79" t="str">
            <v>HW / SW DEPRECIATION</v>
          </cell>
        </row>
        <row r="80">
          <cell r="A80">
            <v>610200</v>
          </cell>
          <cell r="B80" t="str">
            <v>610200  OFFICE SOFTWARE PURC</v>
          </cell>
          <cell r="C80" t="str">
            <v>PURCHASED SOFTWARE</v>
          </cell>
        </row>
        <row r="81">
          <cell r="A81" t="e">
            <v>#VALUE!</v>
          </cell>
          <cell r="B81" t="str">
            <v>PURCHASED SOFTWARE</v>
          </cell>
          <cell r="C81" t="str">
            <v>PURCHASED SOFTWARE</v>
          </cell>
        </row>
        <row r="82">
          <cell r="A82" t="e">
            <v>#VALUE!</v>
          </cell>
          <cell r="B82" t="str">
            <v>HARDWARE SOFTWARE COSTS</v>
          </cell>
          <cell r="C82" t="str">
            <v>HARDWARE SOFTWARE COSTS</v>
          </cell>
        </row>
        <row r="83">
          <cell r="A83">
            <v>612135</v>
          </cell>
          <cell r="B83" t="str">
            <v>612135  DATA TRANS LINES</v>
          </cell>
          <cell r="C83" t="str">
            <v>DATA COMMUNICATIONS</v>
          </cell>
        </row>
        <row r="84">
          <cell r="A84">
            <v>612100</v>
          </cell>
          <cell r="B84" t="str">
            <v>612100  WIDE AREA NETWORK</v>
          </cell>
          <cell r="C84" t="str">
            <v>DATA COMMUNICATIONS</v>
          </cell>
        </row>
        <row r="85">
          <cell r="A85" t="e">
            <v>#VALUE!</v>
          </cell>
          <cell r="B85" t="str">
            <v>DATA COMMUNICATIONS</v>
          </cell>
          <cell r="C85" t="str">
            <v>DATA COMMUNICATIONS</v>
          </cell>
        </row>
        <row r="86">
          <cell r="A86">
            <v>612110</v>
          </cell>
          <cell r="B86" t="str">
            <v>612110  LOCAL AREA NETWORK</v>
          </cell>
          <cell r="C86" t="str">
            <v>VOICE AND VIDEO</v>
          </cell>
        </row>
        <row r="87">
          <cell r="A87">
            <v>612210</v>
          </cell>
          <cell r="B87" t="str">
            <v>612210  INDIVIDUAL TELEPHONE</v>
          </cell>
          <cell r="C87" t="str">
            <v>VOICE AND VIDEO</v>
          </cell>
        </row>
        <row r="88">
          <cell r="A88">
            <v>612220</v>
          </cell>
          <cell r="B88" t="str">
            <v>612220  MOBIL TELEPHONE CHAR</v>
          </cell>
          <cell r="C88" t="str">
            <v>VOICE AND VIDEO</v>
          </cell>
        </row>
        <row r="89">
          <cell r="A89">
            <v>613125</v>
          </cell>
          <cell r="B89" t="str">
            <v>613125  THIRD PARTY INV FEE</v>
          </cell>
          <cell r="C89" t="str">
            <v>VOICE AND VIDEO</v>
          </cell>
        </row>
        <row r="90">
          <cell r="A90">
            <v>612120</v>
          </cell>
          <cell r="B90" t="str">
            <v>612120  NETWORK SERVICE</v>
          </cell>
          <cell r="C90" t="str">
            <v>VOICE AND VIDEO</v>
          </cell>
        </row>
        <row r="91">
          <cell r="A91">
            <v>612130</v>
          </cell>
          <cell r="B91" t="str">
            <v>612130  NETWORK-OTHER</v>
          </cell>
          <cell r="C91" t="str">
            <v>VOICE AND VIDEO</v>
          </cell>
        </row>
        <row r="92">
          <cell r="A92">
            <v>610350</v>
          </cell>
          <cell r="B92" t="str">
            <v>610350  COMMUNICATIONS</v>
          </cell>
          <cell r="C92" t="str">
            <v>VOICE AND VIDEO</v>
          </cell>
        </row>
        <row r="93">
          <cell r="A93">
            <v>612200</v>
          </cell>
          <cell r="B93" t="str">
            <v>612200  GENERAL TELEPHONE</v>
          </cell>
          <cell r="C93" t="str">
            <v>VOICE AND VIDEO</v>
          </cell>
        </row>
        <row r="94">
          <cell r="A94" t="e">
            <v>#VALUE!</v>
          </cell>
          <cell r="B94" t="str">
            <v>VOICE AND VIDEO</v>
          </cell>
          <cell r="C94" t="str">
            <v>VOICE AND VIDEO</v>
          </cell>
        </row>
        <row r="95">
          <cell r="A95">
            <v>613127</v>
          </cell>
          <cell r="B95" t="str">
            <v>613127  COMMUNICATIONS REBIL</v>
          </cell>
          <cell r="C95" t="str">
            <v>COMMUNICATIONS REBILL</v>
          </cell>
        </row>
        <row r="96">
          <cell r="A96" t="e">
            <v>#VALUE!</v>
          </cell>
          <cell r="B96" t="str">
            <v>COMMUNICATIONS REBILL</v>
          </cell>
          <cell r="C96" t="str">
            <v>COMMUNICATIONS REBILL</v>
          </cell>
        </row>
        <row r="97">
          <cell r="A97" t="e">
            <v>#VALUE!</v>
          </cell>
          <cell r="B97" t="str">
            <v>COMMUNICATIONS</v>
          </cell>
          <cell r="C97" t="str">
            <v>COMMUNICATIONS REBILL</v>
          </cell>
        </row>
        <row r="98">
          <cell r="A98">
            <v>603017</v>
          </cell>
          <cell r="B98" t="str">
            <v>603017  FLOWERS &amp; MEMORIAL</v>
          </cell>
          <cell r="C98" t="str">
            <v>MISCELLANEOUS</v>
          </cell>
        </row>
        <row r="99">
          <cell r="A99">
            <v>603030</v>
          </cell>
          <cell r="B99" t="str">
            <v>603030  EMPLOYEE STOCK PURCH</v>
          </cell>
          <cell r="C99" t="str">
            <v>MISCELLANEOUS</v>
          </cell>
        </row>
        <row r="100">
          <cell r="A100">
            <v>603100</v>
          </cell>
          <cell r="B100" t="str">
            <v>603100  CASH DONATIONS</v>
          </cell>
          <cell r="C100" t="str">
            <v>MISCELLANEOUS</v>
          </cell>
        </row>
        <row r="101">
          <cell r="A101">
            <v>603102</v>
          </cell>
          <cell r="B101" t="str">
            <v>603102  EXEC PROD INTERCHNG</v>
          </cell>
          <cell r="C101" t="str">
            <v>MISCELLANEOUS</v>
          </cell>
        </row>
        <row r="102">
          <cell r="A102">
            <v>603103</v>
          </cell>
          <cell r="B102" t="str">
            <v>603103  PROD INTERNAL CONSUM</v>
          </cell>
          <cell r="C102" t="str">
            <v>MISCELLANEOUS</v>
          </cell>
        </row>
        <row r="103">
          <cell r="A103">
            <v>603106</v>
          </cell>
          <cell r="B103" t="str">
            <v>603106  PROD INTL CONS DROP</v>
          </cell>
          <cell r="C103" t="str">
            <v>MISCELLANEOUS</v>
          </cell>
        </row>
        <row r="104">
          <cell r="A104">
            <v>603112</v>
          </cell>
          <cell r="B104" t="str">
            <v>603112  LAPORTE EPI</v>
          </cell>
          <cell r="C104" t="str">
            <v>MISCELLANEOUS</v>
          </cell>
        </row>
        <row r="105">
          <cell r="A105">
            <v>603113</v>
          </cell>
          <cell r="B105" t="str">
            <v>603113  EPI-ADD'L EXPENSES</v>
          </cell>
          <cell r="C105" t="str">
            <v>MISCELLANEOUS</v>
          </cell>
        </row>
        <row r="106">
          <cell r="A106">
            <v>605800</v>
          </cell>
          <cell r="B106" t="str">
            <v>605800  ENTERTAINING 3RD PTY</v>
          </cell>
          <cell r="C106" t="str">
            <v>MISCELLANEOUS</v>
          </cell>
        </row>
        <row r="107">
          <cell r="A107">
            <v>607064</v>
          </cell>
          <cell r="B107" t="str">
            <v>607064  PROP-PER TOOLS REQ</v>
          </cell>
          <cell r="C107" t="str">
            <v>MISCELLANEOUS</v>
          </cell>
        </row>
        <row r="108">
          <cell r="A108">
            <v>607400</v>
          </cell>
          <cell r="B108" t="str">
            <v>607400  PROPERTY-TAXES</v>
          </cell>
          <cell r="C108" t="str">
            <v>MISCELLANEOUS</v>
          </cell>
        </row>
        <row r="109">
          <cell r="A109">
            <v>607501</v>
          </cell>
          <cell r="B109" t="str">
            <v>607501  PROP EQUIP &lt; $3000</v>
          </cell>
          <cell r="C109" t="str">
            <v>MISCELLANEOUS</v>
          </cell>
        </row>
        <row r="110">
          <cell r="A110">
            <v>610000</v>
          </cell>
          <cell r="B110" t="str">
            <v>610000  OFFICE SUPPLIES</v>
          </cell>
          <cell r="C110" t="str">
            <v>MISCELLANEOUS</v>
          </cell>
        </row>
        <row r="111">
          <cell r="A111">
            <v>610050</v>
          </cell>
          <cell r="B111" t="str">
            <v>610050  PC SUPPLIES</v>
          </cell>
          <cell r="C111" t="str">
            <v>MISCELLANEOUS</v>
          </cell>
        </row>
        <row r="112">
          <cell r="A112">
            <v>610100</v>
          </cell>
          <cell r="B112" t="str">
            <v>610100  PRINTING</v>
          </cell>
          <cell r="C112" t="str">
            <v>MISCELLANEOUS</v>
          </cell>
        </row>
        <row r="113">
          <cell r="A113">
            <v>610110</v>
          </cell>
          <cell r="B113" t="str">
            <v>610110  PURCHASED FORMS</v>
          </cell>
          <cell r="C113" t="str">
            <v>MISCELLANEOUS</v>
          </cell>
        </row>
        <row r="114">
          <cell r="A114">
            <v>610300</v>
          </cell>
          <cell r="B114" t="str">
            <v>610300  BOOKS, MAGAZINES, PA</v>
          </cell>
          <cell r="C114" t="str">
            <v>MISCELLANEOUS</v>
          </cell>
        </row>
        <row r="115">
          <cell r="A115">
            <v>610600</v>
          </cell>
          <cell r="B115" t="str">
            <v>610600  MEETING EXPENSE</v>
          </cell>
          <cell r="C115" t="str">
            <v>MISCELLANEOUS</v>
          </cell>
        </row>
        <row r="116">
          <cell r="A116">
            <v>610601</v>
          </cell>
          <cell r="B116" t="str">
            <v>610601  DINNER MEETING EXP</v>
          </cell>
          <cell r="C116" t="str">
            <v>MISCELLANEOUS</v>
          </cell>
        </row>
        <row r="117">
          <cell r="A117">
            <v>612115</v>
          </cell>
          <cell r="B117" t="str">
            <v>612115  EQUIPMENT CHARGES</v>
          </cell>
          <cell r="C117" t="str">
            <v>MISCELLANEOUS</v>
          </cell>
        </row>
        <row r="118">
          <cell r="A118">
            <v>613020</v>
          </cell>
          <cell r="B118" t="str">
            <v>613020  LEGAL FEES</v>
          </cell>
          <cell r="C118" t="str">
            <v>MISCELLANEOUS</v>
          </cell>
        </row>
        <row r="119">
          <cell r="A119">
            <v>613118</v>
          </cell>
          <cell r="B119" t="str">
            <v>613118  GROUND TRANS SERV</v>
          </cell>
          <cell r="C119" t="str">
            <v>MISCELLANEOUS</v>
          </cell>
        </row>
        <row r="120">
          <cell r="A120">
            <v>616100</v>
          </cell>
          <cell r="B120" t="str">
            <v>616100  POSTAGE</v>
          </cell>
          <cell r="C120" t="str">
            <v>MISCELLANEOUS</v>
          </cell>
        </row>
        <row r="121">
          <cell r="A121">
            <v>616319</v>
          </cell>
          <cell r="B121" t="str">
            <v>616319  SUP-FACTORY REQ</v>
          </cell>
          <cell r="C121" t="str">
            <v>MISCELLANEOUS</v>
          </cell>
        </row>
        <row r="122">
          <cell r="A122">
            <v>616326</v>
          </cell>
          <cell r="B122" t="str">
            <v>616326  VISA-MISC SUPPLIES</v>
          </cell>
          <cell r="C122" t="str">
            <v>MISCELLANEOUS</v>
          </cell>
        </row>
        <row r="123">
          <cell r="A123">
            <v>616327</v>
          </cell>
          <cell r="B123" t="str">
            <v>616327  MISC SUPPLIES</v>
          </cell>
          <cell r="C123" t="str">
            <v>MISCELLANEOUS</v>
          </cell>
        </row>
        <row r="124">
          <cell r="A124">
            <v>616333</v>
          </cell>
          <cell r="B124" t="str">
            <v>616333  TEST PROD PURCH</v>
          </cell>
          <cell r="C124" t="str">
            <v>MISCELLANEOUS</v>
          </cell>
        </row>
        <row r="125">
          <cell r="A125">
            <v>616334</v>
          </cell>
          <cell r="B125" t="str">
            <v>616334  PROJECT MATERIALS</v>
          </cell>
          <cell r="C125" t="str">
            <v>MISCELLANEOUS</v>
          </cell>
        </row>
        <row r="126">
          <cell r="A126">
            <v>616340</v>
          </cell>
          <cell r="B126" t="str">
            <v>616340  SUPPLIES-PRODUCTION</v>
          </cell>
          <cell r="C126" t="str">
            <v>MISCELLANEOUS</v>
          </cell>
        </row>
        <row r="127">
          <cell r="A127">
            <v>616600</v>
          </cell>
          <cell r="B127" t="str">
            <v>616600  CANTEEN AND CATERING</v>
          </cell>
          <cell r="C127" t="str">
            <v>MISCELLANEOUS</v>
          </cell>
        </row>
        <row r="128">
          <cell r="A128">
            <v>619600</v>
          </cell>
          <cell r="B128" t="str">
            <v>619600  FIELD ADJUSTMENTS</v>
          </cell>
          <cell r="C128" t="str">
            <v>MISCELLANEOUS</v>
          </cell>
        </row>
        <row r="129">
          <cell r="A129">
            <v>620008</v>
          </cell>
          <cell r="B129" t="str">
            <v>620008  PROMO MATL EMPL ORD</v>
          </cell>
          <cell r="C129" t="str">
            <v>MISCELLANEOUS</v>
          </cell>
        </row>
        <row r="130">
          <cell r="A130">
            <v>620082</v>
          </cell>
          <cell r="B130" t="str">
            <v>620082  PROMO COSTS-FIX REV</v>
          </cell>
          <cell r="C130" t="str">
            <v>MISCELLANEOUS</v>
          </cell>
        </row>
        <row r="131">
          <cell r="A131">
            <v>620090</v>
          </cell>
          <cell r="B131" t="str">
            <v>620090  SALES PROMO ITEMS</v>
          </cell>
          <cell r="C131" t="str">
            <v>MISCELLANEOUS</v>
          </cell>
        </row>
        <row r="132">
          <cell r="A132">
            <v>622500</v>
          </cell>
          <cell r="B132" t="str">
            <v>622500  FOOD/BEV ENTERTAINMT</v>
          </cell>
          <cell r="C132" t="str">
            <v>MISCELLANEOUS</v>
          </cell>
        </row>
        <row r="133">
          <cell r="A133">
            <v>626195</v>
          </cell>
          <cell r="B133" t="str">
            <v>626195  3-PRTY LOG SVCS CHGS</v>
          </cell>
          <cell r="C133" t="str">
            <v>MISCELLANEOUS</v>
          </cell>
        </row>
        <row r="134">
          <cell r="A134">
            <v>626343</v>
          </cell>
          <cell r="B134" t="str">
            <v>626343  EXCESS FREIGHT</v>
          </cell>
          <cell r="C134" t="str">
            <v>MISCELLANEOUS</v>
          </cell>
        </row>
        <row r="135">
          <cell r="A135">
            <v>626400</v>
          </cell>
          <cell r="B135" t="str">
            <v>626400  FREIGHT CHARGES</v>
          </cell>
          <cell r="C135" t="str">
            <v>MISCELLANEOUS</v>
          </cell>
        </row>
        <row r="136">
          <cell r="A136">
            <v>626410</v>
          </cell>
          <cell r="B136" t="str">
            <v>626410  FREIGHT NP MTL</v>
          </cell>
          <cell r="C136" t="str">
            <v>MISCELLANEOUS</v>
          </cell>
        </row>
        <row r="137">
          <cell r="A137">
            <v>628500</v>
          </cell>
          <cell r="B137" t="str">
            <v>628500  SUNDRY EXPENSE</v>
          </cell>
          <cell r="C137" t="str">
            <v>MISCELLANEOUS</v>
          </cell>
        </row>
        <row r="138">
          <cell r="A138">
            <v>629050</v>
          </cell>
          <cell r="B138" t="str">
            <v>629050  REARRANGE-MISC</v>
          </cell>
          <cell r="C138" t="str">
            <v>MISCELLANEOUS</v>
          </cell>
        </row>
        <row r="139">
          <cell r="A139">
            <v>629500</v>
          </cell>
          <cell r="B139" t="str">
            <v>629500  SPECIAL PROJECTS</v>
          </cell>
          <cell r="C139" t="str">
            <v>MISCELLANEOUS</v>
          </cell>
        </row>
        <row r="140">
          <cell r="A140">
            <v>630000</v>
          </cell>
          <cell r="B140" t="str">
            <v>630000  SALES TAX EXPENSE</v>
          </cell>
          <cell r="C140" t="str">
            <v>MISCELLANEOUS</v>
          </cell>
        </row>
        <row r="141">
          <cell r="A141">
            <v>631000</v>
          </cell>
          <cell r="B141" t="str">
            <v>631000  TAX ON FREE GOODS</v>
          </cell>
          <cell r="C141" t="str">
            <v>MISCELLANEOUS</v>
          </cell>
        </row>
        <row r="142">
          <cell r="A142">
            <v>603019</v>
          </cell>
          <cell r="B142" t="str">
            <v>603019  COMPANY PICNIC</v>
          </cell>
          <cell r="C142" t="str">
            <v>MISCELLANEOUS</v>
          </cell>
        </row>
        <row r="143">
          <cell r="A143">
            <v>609121</v>
          </cell>
          <cell r="B143" t="str">
            <v>609121  REPAIRS-T&amp;D MATERIAL</v>
          </cell>
          <cell r="C143" t="str">
            <v>MISCELLANEOUS</v>
          </cell>
        </row>
        <row r="144">
          <cell r="A144">
            <v>999977</v>
          </cell>
          <cell r="B144" t="str">
            <v>999977  CAPITAL ACQUISITIONS</v>
          </cell>
          <cell r="C144" t="str">
            <v>MISCELLANEOUS</v>
          </cell>
        </row>
        <row r="145">
          <cell r="A145">
            <v>603022</v>
          </cell>
          <cell r="B145" t="str">
            <v>603022  RECREATION PROGRAMS</v>
          </cell>
          <cell r="C145" t="str">
            <v>MISCELLANEOUS</v>
          </cell>
        </row>
        <row r="146">
          <cell r="A146">
            <v>603049</v>
          </cell>
          <cell r="B146" t="str">
            <v>603049  SEPARATION ALLOWANCE</v>
          </cell>
          <cell r="C146" t="str">
            <v>MISCELLANEOUS</v>
          </cell>
        </row>
        <row r="147">
          <cell r="A147">
            <v>607056</v>
          </cell>
          <cell r="B147" t="str">
            <v>607056  GAIN/LOSS ON DISP</v>
          </cell>
          <cell r="C147" t="str">
            <v>MISCELLANEOUS</v>
          </cell>
        </row>
        <row r="148">
          <cell r="A148" t="e">
            <v>#VALUE!</v>
          </cell>
          <cell r="B148" t="str">
            <v>MISCELLANEOUS</v>
          </cell>
          <cell r="C148" t="str">
            <v>MISCELLANEOUS</v>
          </cell>
        </row>
        <row r="149">
          <cell r="A149">
            <v>699025</v>
          </cell>
          <cell r="B149" t="str">
            <v>699025  TRANSFERS-WAREHOUSE</v>
          </cell>
          <cell r="C149" t="str">
            <v>MISCELLANEOUS</v>
          </cell>
        </row>
        <row r="150">
          <cell r="A150">
            <v>699035</v>
          </cell>
          <cell r="B150" t="str">
            <v>699035  TRANSFERS-CENT SERV</v>
          </cell>
          <cell r="C150" t="str">
            <v>MISCELLANEOUS</v>
          </cell>
        </row>
        <row r="151">
          <cell r="A151" t="e">
            <v>#VALUE!</v>
          </cell>
          <cell r="B151" t="str">
            <v>TRANSFERS MISCELLANEOUS</v>
          </cell>
          <cell r="C151" t="str">
            <v>MISCELLANEOUS</v>
          </cell>
        </row>
        <row r="152">
          <cell r="A152" t="e">
            <v>#VALUE!</v>
          </cell>
          <cell r="B152" t="str">
            <v>MISCELLANEOUS TOTAL</v>
          </cell>
          <cell r="C152" t="str">
            <v>MISCELLANEOUS</v>
          </cell>
        </row>
        <row r="153">
          <cell r="A153" t="e">
            <v>#VALUE!</v>
          </cell>
          <cell r="B153" t="str">
            <v>GROSS EXPENSE</v>
          </cell>
          <cell r="C153" t="str">
            <v>GROSS EXPENSE</v>
          </cell>
        </row>
        <row r="154">
          <cell r="A154">
            <v>699000</v>
          </cell>
          <cell r="B154" t="str">
            <v>699000  TRANSFERS-CAPITAL</v>
          </cell>
          <cell r="C154" t="str">
            <v>TRANSFERS CAPITAL</v>
          </cell>
        </row>
        <row r="155">
          <cell r="A155" t="e">
            <v>#VALUE!</v>
          </cell>
          <cell r="B155" t="str">
            <v>TRANSFERS CAPITAL</v>
          </cell>
          <cell r="C155" t="str">
            <v>TRANSFERS MISCELLANEOUS</v>
          </cell>
        </row>
        <row r="156">
          <cell r="A156">
            <v>699005</v>
          </cell>
          <cell r="B156" t="str">
            <v>699005  TRANSFERS-OTHER</v>
          </cell>
          <cell r="C156" t="str">
            <v>TRANSFERS REBILL</v>
          </cell>
        </row>
        <row r="157">
          <cell r="A157">
            <v>699010</v>
          </cell>
          <cell r="B157" t="str">
            <v>699010  TRANSFERS-REBILL</v>
          </cell>
          <cell r="C157" t="str">
            <v>TRANSFERS REBILL</v>
          </cell>
        </row>
        <row r="158">
          <cell r="A158">
            <v>699015</v>
          </cell>
          <cell r="B158" t="str">
            <v>699015  TRANSFERS-IT</v>
          </cell>
          <cell r="C158" t="str">
            <v>TRANSFERS REBILL</v>
          </cell>
        </row>
        <row r="159">
          <cell r="A159">
            <v>699017</v>
          </cell>
          <cell r="B159" t="str">
            <v>699017  TRANSFERS-PC LEASE</v>
          </cell>
          <cell r="C159" t="str">
            <v>TRANSFERS REBILL</v>
          </cell>
        </row>
        <row r="160">
          <cell r="A160">
            <v>699090</v>
          </cell>
          <cell r="B160" t="str">
            <v>699090  TRANSFERS-INTL ALLOC</v>
          </cell>
          <cell r="C160" t="str">
            <v>TRANSFERS REBILL</v>
          </cell>
        </row>
        <row r="161">
          <cell r="A161">
            <v>699075</v>
          </cell>
          <cell r="B161" t="str">
            <v>699075  TRANSFERS-CORPORATE</v>
          </cell>
          <cell r="C161" t="str">
            <v>TRANSFERS REBILL</v>
          </cell>
        </row>
        <row r="162">
          <cell r="A162">
            <v>699085</v>
          </cell>
          <cell r="B162" t="str">
            <v>699085  TRANSFERS-MISC ADJ</v>
          </cell>
          <cell r="C162" t="str">
            <v>TRANSFERS REBILL</v>
          </cell>
        </row>
        <row r="163">
          <cell r="A163">
            <v>690263</v>
          </cell>
          <cell r="B163" t="str">
            <v>690263  TRANS-GIS INTERNAL</v>
          </cell>
          <cell r="C163" t="str">
            <v>TRANSFERS REBILL</v>
          </cell>
        </row>
        <row r="164">
          <cell r="A164" t="e">
            <v>#VALUE!</v>
          </cell>
          <cell r="B164" t="str">
            <v>TRANSFERS REBILL</v>
          </cell>
          <cell r="C164" t="str">
            <v>TRANSFERS MISCELLANEOUS</v>
          </cell>
        </row>
        <row r="165">
          <cell r="A165" t="e">
            <v>#VALUE!</v>
          </cell>
          <cell r="B165" t="str">
            <v>TRANSFERS</v>
          </cell>
          <cell r="C165" t="str">
            <v>TRANSFERS MISCELLANEOUS</v>
          </cell>
        </row>
        <row r="166">
          <cell r="A166" t="e">
            <v>#VALUE!</v>
          </cell>
          <cell r="B166" t="str">
            <v>Total</v>
          </cell>
          <cell r="C166" t="str">
            <v>Total</v>
          </cell>
        </row>
        <row r="167">
          <cell r="A167" t="e">
            <v>#VALUE!</v>
          </cell>
          <cell r="B167" t="str">
            <v>Grand Total</v>
          </cell>
          <cell r="C167" t="str">
            <v>Grand Total</v>
          </cell>
        </row>
      </sheetData>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ng Sheet"/>
      <sheetName val="Index"/>
      <sheetName val="Rev Def Sum"/>
      <sheetName val="Rev Requirement"/>
      <sheetName val="Gross Conversion Factor"/>
      <sheetName val="Proforma Adjustments"/>
      <sheetName val="Revenue  Sheet 1"/>
      <sheetName val="Summary Sheet 2"/>
      <sheetName val="Per Books Purchase Gas Exp"/>
      <sheetName val="Annualized Purchase Gas Exp "/>
      <sheetName val="Uncollectible Surcharge Calc"/>
      <sheetName val="Unadj. Rev 2-A"/>
      <sheetName val="Bills 2-B"/>
      <sheetName val="DTH 2-C"/>
      <sheetName val="Norm 2-D"/>
      <sheetName val="Adj. Rev 2-E"/>
      <sheetName val="Adj to OGDR 2-F"/>
      <sheetName val="O&amp;M Expenses"/>
      <sheetName val="O&amp;M Adjustment Summary"/>
      <sheetName val="Labor Adj. Summary"/>
      <sheetName val="Wage Increase"/>
      <sheetName val="Gross Payroll Summary"/>
      <sheetName val="O&amp;M Percentage"/>
      <sheetName val="new positions"/>
      <sheetName val="Incentive"/>
      <sheetName val="Profit Sharing"/>
      <sheetName val="Pensions &amp; Benefits Adj "/>
      <sheetName val="NCSC Test Year Adj"/>
      <sheetName val="Incentive Comp"/>
      <sheetName val="IBM IT"/>
      <sheetName val="NCSC Labor &amp; Benefits"/>
      <sheetName val="Outside Svcs &amp; Company Mem"/>
      <sheetName val="Lease Expense"/>
      <sheetName val="Corporate Insurance"/>
      <sheetName val="Fuel Used in Co Operations"/>
      <sheetName val="Uncollectible Adj."/>
      <sheetName val="Rate Case Expense Adj"/>
      <sheetName val="DSM Surcharge Adjustment"/>
      <sheetName val="PSC &amp; PC Fees Adj"/>
      <sheetName val="Injuries&amp; Damages Adj"/>
      <sheetName val="GTI Funding "/>
      <sheetName val="Choice Costs"/>
      <sheetName val="Postage Costs "/>
      <sheetName val="Customer Education "/>
      <sheetName val="Depreciation Expense Summary"/>
      <sheetName val="Taxes Other than Income Sum"/>
      <sheetName val="Payroll Taxes Adj"/>
      <sheetName val="Property Tax Adj"/>
      <sheetName val="Gross Receipts Tax Adj"/>
      <sheetName val="Inc Tax"/>
      <sheetName val="Statutory Adj"/>
      <sheetName val="Interest on Cust Deposits"/>
      <sheetName val="AFUDC"/>
      <sheetName val="Rate Base"/>
      <sheetName val="Customer Deposits"/>
      <sheetName val="Lead Lag"/>
      <sheetName val="Cost of Capital"/>
      <sheetName val="Round Robi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33 A REV."/>
      <sheetName val="ATTACH REH-5A REV"/>
      <sheetName val="TS1 &amp; TS2 ALLOCATION"/>
    </sheetNames>
    <sheetDataSet>
      <sheetData sheetId="0" refreshError="1">
        <row r="1">
          <cell r="H1" t="str">
            <v>Schedule 33</v>
          </cell>
        </row>
        <row r="3">
          <cell r="D3" t="str">
            <v>COLUMBIA GAS OF VIRGINIA,  INC.</v>
          </cell>
        </row>
        <row r="5">
          <cell r="D5" t="str">
            <v xml:space="preserve">      Schedule of Additional Gross Revenues</v>
          </cell>
        </row>
        <row r="6">
          <cell r="D6" t="str">
            <v>By Rate Schedule Produced By Proposed Rates</v>
          </cell>
        </row>
        <row r="9">
          <cell r="D9" t="str">
            <v>Adjusted</v>
          </cell>
          <cell r="G9" t="str">
            <v>Proposed</v>
          </cell>
          <cell r="H9" t="str">
            <v>Proposed</v>
          </cell>
        </row>
        <row r="10">
          <cell r="C10" t="str">
            <v>Adjusted</v>
          </cell>
          <cell r="D10" t="str">
            <v>Rate</v>
          </cell>
          <cell r="E10" t="str">
            <v>Proposed</v>
          </cell>
          <cell r="F10" t="str">
            <v>Adjusted</v>
          </cell>
          <cell r="G10" t="str">
            <v>Increase</v>
          </cell>
          <cell r="H10" t="str">
            <v>Increase</v>
          </cell>
        </row>
        <row r="11">
          <cell r="B11" t="str">
            <v>Description</v>
          </cell>
          <cell r="C11" t="str">
            <v>Volumes (a)</v>
          </cell>
          <cell r="D11" t="str">
            <v>Revenue (b)</v>
          </cell>
          <cell r="E11" t="str">
            <v>Increase</v>
          </cell>
          <cell r="F11" t="str">
            <v>Revenues</v>
          </cell>
          <cell r="G11" t="str">
            <v>Per Mcf</v>
          </cell>
          <cell r="H11" t="str">
            <v>Percent</v>
          </cell>
        </row>
        <row r="12">
          <cell r="C12" t="str">
            <v>(1)</v>
          </cell>
          <cell r="D12" t="str">
            <v>(2)</v>
          </cell>
          <cell r="E12" t="str">
            <v>(3)</v>
          </cell>
          <cell r="F12" t="str">
            <v>(4=2+3)</v>
          </cell>
          <cell r="G12" t="str">
            <v>(5=3/1)</v>
          </cell>
          <cell r="H12" t="str">
            <v>(6)</v>
          </cell>
        </row>
        <row r="13">
          <cell r="C13" t="str">
            <v>Mcf</v>
          </cell>
          <cell r="D13" t="str">
            <v>$</v>
          </cell>
          <cell r="E13" t="str">
            <v>$</v>
          </cell>
          <cell r="F13" t="str">
            <v>$</v>
          </cell>
          <cell r="G13" t="str">
            <v>$/Mcf</v>
          </cell>
        </row>
        <row r="15">
          <cell r="B15" t="str">
            <v>Residential Service</v>
          </cell>
        </row>
        <row r="16">
          <cell r="B16" t="str">
            <v xml:space="preserve">  East and West</v>
          </cell>
          <cell r="C16">
            <v>11467918.199999999</v>
          </cell>
          <cell r="D16">
            <v>105546782</v>
          </cell>
          <cell r="E16">
            <v>9268974.945700001</v>
          </cell>
          <cell r="F16">
            <v>114815756.9457</v>
          </cell>
        </row>
        <row r="17">
          <cell r="B17" t="str">
            <v xml:space="preserve">  Central</v>
          </cell>
          <cell r="C17">
            <v>917057.1</v>
          </cell>
          <cell r="D17">
            <v>8272167</v>
          </cell>
          <cell r="E17">
            <v>796152.52987344749</v>
          </cell>
          <cell r="F17">
            <v>9068319.5298734475</v>
          </cell>
        </row>
        <row r="18">
          <cell r="B18" t="str">
            <v xml:space="preserve">  Total</v>
          </cell>
          <cell r="C18">
            <v>12384975.299999999</v>
          </cell>
          <cell r="D18">
            <v>113818949</v>
          </cell>
          <cell r="E18">
            <v>10065127.475573448</v>
          </cell>
          <cell r="F18">
            <v>123884076.47557345</v>
          </cell>
          <cell r="G18">
            <v>0.81269999999999998</v>
          </cell>
          <cell r="H18">
            <v>8.8400000000000006E-2</v>
          </cell>
        </row>
        <row r="20">
          <cell r="B20" t="str">
            <v>Small General Service</v>
          </cell>
        </row>
        <row r="21">
          <cell r="B21" t="str">
            <v xml:space="preserve">  Commercial</v>
          </cell>
          <cell r="C21">
            <v>6998572.9000000004</v>
          </cell>
          <cell r="D21">
            <v>47132884</v>
          </cell>
          <cell r="E21">
            <v>2635048.8509999998</v>
          </cell>
          <cell r="F21">
            <v>49767932.850999996</v>
          </cell>
        </row>
        <row r="22">
          <cell r="B22" t="str">
            <v xml:space="preserve">  Industrial</v>
          </cell>
          <cell r="C22">
            <v>522998.3</v>
          </cell>
          <cell r="D22">
            <v>3243215</v>
          </cell>
          <cell r="E22">
            <v>180918.85170088289</v>
          </cell>
          <cell r="F22">
            <v>3424133.8517008829</v>
          </cell>
        </row>
        <row r="23">
          <cell r="B23" t="str">
            <v xml:space="preserve">  Total</v>
          </cell>
          <cell r="C23">
            <v>7521571.2000000002</v>
          </cell>
          <cell r="D23">
            <v>50376099</v>
          </cell>
          <cell r="E23">
            <v>2815967.7027008827</v>
          </cell>
          <cell r="F23">
            <v>53192066.702700876</v>
          </cell>
          <cell r="G23">
            <v>0.37440000000000001</v>
          </cell>
          <cell r="H23">
            <v>5.5899999999999998E-2</v>
          </cell>
        </row>
        <row r="25">
          <cell r="B25" t="str">
            <v xml:space="preserve">Large General Service 1/  </v>
          </cell>
        </row>
        <row r="26">
          <cell r="B26" t="str">
            <v>Transportation Service 1</v>
          </cell>
        </row>
        <row r="27">
          <cell r="B27" t="str">
            <v xml:space="preserve">  Commercial (LGS 1)</v>
          </cell>
          <cell r="C27">
            <v>427682.9</v>
          </cell>
          <cell r="D27">
            <v>1115423</v>
          </cell>
          <cell r="E27">
            <v>32711.53581999999</v>
          </cell>
          <cell r="F27">
            <v>1148134.5358199999</v>
          </cell>
        </row>
        <row r="28">
          <cell r="B28" t="str">
            <v xml:space="preserve">  Industrial (LGS 1)</v>
          </cell>
          <cell r="C28">
            <v>740335</v>
          </cell>
          <cell r="D28">
            <v>3449616</v>
          </cell>
          <cell r="E28">
            <v>74045.791333959671</v>
          </cell>
          <cell r="F28">
            <v>3523661.7913339594</v>
          </cell>
        </row>
        <row r="29">
          <cell r="B29" t="str">
            <v xml:space="preserve">  Commercial (TS-1)</v>
          </cell>
          <cell r="C29">
            <v>2101300.2000000002</v>
          </cell>
          <cell r="D29">
            <v>1368179</v>
          </cell>
          <cell r="E29">
            <v>167328.92973999999</v>
          </cell>
          <cell r="F29">
            <v>1535507.9297400001</v>
          </cell>
        </row>
        <row r="30">
          <cell r="B30" t="str">
            <v xml:space="preserve">  Industrial (TS-1)</v>
          </cell>
          <cell r="C30">
            <v>6947728.5999999996</v>
          </cell>
          <cell r="D30">
            <v>3734034</v>
          </cell>
          <cell r="E30">
            <v>495300.92672000005</v>
          </cell>
          <cell r="F30">
            <v>4229334.9267199999</v>
          </cell>
        </row>
        <row r="31">
          <cell r="B31" t="str">
            <v xml:space="preserve">  Total</v>
          </cell>
          <cell r="C31">
            <v>10217046.699999999</v>
          </cell>
          <cell r="D31">
            <v>9667252</v>
          </cell>
          <cell r="E31">
            <v>769387.1836139597</v>
          </cell>
          <cell r="F31">
            <v>10436639.18361396</v>
          </cell>
          <cell r="G31">
            <v>7.5300000000000006E-2</v>
          </cell>
          <cell r="H31">
            <v>7.9600000000000004E-2</v>
          </cell>
        </row>
        <row r="33">
          <cell r="B33" t="str">
            <v>Large General Service 2/</v>
          </cell>
        </row>
        <row r="34">
          <cell r="B34" t="str">
            <v>Transportation Service 2</v>
          </cell>
        </row>
        <row r="35">
          <cell r="B35" t="str">
            <v xml:space="preserve">  Commercial (LGS 2)</v>
          </cell>
          <cell r="C35">
            <v>0</v>
          </cell>
          <cell r="D35">
            <v>0</v>
          </cell>
          <cell r="E35">
            <v>0</v>
          </cell>
          <cell r="F35">
            <v>0</v>
          </cell>
        </row>
        <row r="36">
          <cell r="B36" t="str">
            <v xml:space="preserve">  Industrial (LGS 2)</v>
          </cell>
          <cell r="C36">
            <v>1052107</v>
          </cell>
          <cell r="D36">
            <v>4040109</v>
          </cell>
          <cell r="E36">
            <v>21383.575000000001</v>
          </cell>
          <cell r="F36">
            <v>4061492.5750000002</v>
          </cell>
        </row>
        <row r="37">
          <cell r="B37" t="str">
            <v xml:space="preserve">  Commercial (TS-2)</v>
          </cell>
          <cell r="C37">
            <v>0</v>
          </cell>
          <cell r="D37">
            <v>0</v>
          </cell>
          <cell r="E37">
            <v>0</v>
          </cell>
          <cell r="F37">
            <v>0</v>
          </cell>
        </row>
        <row r="38">
          <cell r="B38" t="str">
            <v xml:space="preserve">  Industrial (TS-2)</v>
          </cell>
          <cell r="C38">
            <v>13598016</v>
          </cell>
          <cell r="D38">
            <v>3105475</v>
          </cell>
          <cell r="E38">
            <v>353886.06311170897</v>
          </cell>
          <cell r="F38">
            <v>3459361.063111709</v>
          </cell>
        </row>
        <row r="39">
          <cell r="B39" t="str">
            <v xml:space="preserve">  Total</v>
          </cell>
          <cell r="C39">
            <v>14650123</v>
          </cell>
          <cell r="D39">
            <v>7145584</v>
          </cell>
          <cell r="E39">
            <v>375269.63811170898</v>
          </cell>
          <cell r="F39">
            <v>7520853.6381117087</v>
          </cell>
          <cell r="G39">
            <v>2.5600000000000001E-2</v>
          </cell>
          <cell r="H39">
            <v>5.2499999999999998E-2</v>
          </cell>
        </row>
        <row r="42">
          <cell r="B42" t="str">
            <v xml:space="preserve">  Special Contract</v>
          </cell>
          <cell r="C42">
            <v>16993404</v>
          </cell>
          <cell r="D42">
            <v>2615185</v>
          </cell>
          <cell r="E42">
            <v>0</v>
          </cell>
          <cell r="F42">
            <v>2615185</v>
          </cell>
          <cell r="G42">
            <v>0</v>
          </cell>
          <cell r="H42">
            <v>0</v>
          </cell>
        </row>
        <row r="44">
          <cell r="B44" t="str">
            <v xml:space="preserve">  Total Transportation</v>
          </cell>
          <cell r="C44">
            <v>39640448.799999997</v>
          </cell>
          <cell r="D44">
            <v>10822873</v>
          </cell>
          <cell r="E44">
            <v>1016515.919571709</v>
          </cell>
          <cell r="F44">
            <v>11839388.919571709</v>
          </cell>
        </row>
        <row r="46">
          <cell r="B46" t="str">
            <v>Total</v>
          </cell>
          <cell r="C46">
            <v>61767120.200000003</v>
          </cell>
          <cell r="D46">
            <v>183623069</v>
          </cell>
          <cell r="E46">
            <v>14025752</v>
          </cell>
          <cell r="F46">
            <v>197648821</v>
          </cell>
        </row>
        <row r="48">
          <cell r="B48" t="str">
            <v>Other Operating Revenue</v>
          </cell>
          <cell r="D48">
            <v>2113419</v>
          </cell>
          <cell r="E48">
            <v>0</v>
          </cell>
          <cell r="F48">
            <v>2113419</v>
          </cell>
        </row>
        <row r="49">
          <cell r="B49" t="str">
            <v>Total Revenue</v>
          </cell>
          <cell r="C49">
            <v>61767120.200000003</v>
          </cell>
          <cell r="D49">
            <v>185736488</v>
          </cell>
          <cell r="E49">
            <v>14025752</v>
          </cell>
          <cell r="F49">
            <v>199762240</v>
          </cell>
        </row>
        <row r="52">
          <cell r="B52" t="str">
            <v>(a) Test period adjusted per schedule 14.</v>
          </cell>
        </row>
        <row r="54">
          <cell r="B54" t="str">
            <v>(b) Rates based on those in approved in Case No. PUE950033.</v>
          </cell>
        </row>
        <row r="56">
          <cell r="B56" t="str">
            <v>X:\CGV\RATECASE\98\SCHEDULE\SCHEDULE 33 FOR 1998</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 Info Needed-DO NOT PRINT"/>
      <sheetName val="Filing Sheet"/>
      <sheetName val="Index"/>
      <sheetName val="Rev Def Sum"/>
      <sheetName val="Rev Requirement"/>
      <sheetName val="Gross Conversion Factor"/>
      <sheetName val="Charge-off Rate - DO NOT PRINT"/>
      <sheetName val="Proforma Adjustments"/>
      <sheetName val="Revenue  Sheet 1"/>
      <sheetName val="Summary Sheet 2"/>
      <sheetName val="Per Books Purchase Gas Exp"/>
      <sheetName val="Annualized Purchase Gas Exp "/>
      <sheetName val="Uncollectible Surcharge Calc"/>
      <sheetName val="Unadj. Rev 2-A"/>
      <sheetName val="Bills 2-B"/>
      <sheetName val="DTH 2-C"/>
      <sheetName val="Norm 2-D"/>
      <sheetName val="Adj. Rev 2-E"/>
      <sheetName val="Adj to OGDR 2-F"/>
      <sheetName val="Adj. Rev 2-G"/>
      <sheetName val="O&amp;M Expenses"/>
      <sheetName val="O&amp;M Adjustment Summary"/>
      <sheetName val="Labor Adj. Summary"/>
      <sheetName val="Wage Increase"/>
      <sheetName val="Gross Payroll Summary"/>
      <sheetName val="Prem and OT 3 yrs"/>
      <sheetName val="O&amp;M Percentage"/>
      <sheetName val="New employees"/>
      <sheetName val="Incentive"/>
      <sheetName val="Profit Sharing"/>
      <sheetName val="Pensions &amp; Benefits Adj "/>
      <sheetName val="Pen&amp;RIP-5yrAvg"/>
      <sheetName val="Pension Detail-DO NOT PRINT"/>
      <sheetName val="NCSC Test Year Adj"/>
      <sheetName val="NCSC Labor &amp; Benefits"/>
      <sheetName val="NCSC Incentive Comp"/>
      <sheetName val="NCSC Stock Comp"/>
      <sheetName val="GTI Funding "/>
      <sheetName val="Private Letter Ruling Expense"/>
      <sheetName val="AGA Dues"/>
      <sheetName val="HQLease Expense"/>
      <sheetName val="Corporate Insurance"/>
      <sheetName val="Fuel Used in Co Operations"/>
      <sheetName val="Uncollectible Adj."/>
      <sheetName val="Rate Case Amort Adj"/>
      <sheetName val="Current Rate Case Exp"/>
      <sheetName val="DSM Surcharge Adjustment"/>
      <sheetName val="PSC &amp; PC Fees Adj"/>
      <sheetName val="Injuries &amp; Damages-DO NOT PRINT"/>
      <sheetName val="Clearing Accounts-DO NOT PRINT"/>
      <sheetName val="Postage Costs "/>
      <sheetName val="Depr&amp;Amort Sum"/>
      <sheetName val="Proposed Depr&amp;Amort"/>
      <sheetName val="TaxesOther than IncSummary"/>
      <sheetName val="Payroll Taxes Adj"/>
      <sheetName val="Property Tax Adj"/>
      <sheetName val="Gross Receipts Tax Adj"/>
      <sheetName val="Inc Tax"/>
      <sheetName val="Statutory Adj"/>
      <sheetName val="Interest on Cust Deposits"/>
      <sheetName val="AFUDC"/>
      <sheetName val="AFUDC "/>
      <sheetName val="Rate Base"/>
      <sheetName val="101"/>
      <sheetName val="106"/>
      <sheetName val="106 (IRIS)"/>
      <sheetName val="107"/>
      <sheetName val="107 (IRIS)"/>
      <sheetName val="Depreciation Reserve"/>
      <sheetName val="Material &amp; Supplies"/>
      <sheetName val="Def Tx CIAC"/>
      <sheetName val="Def Tx Inv"/>
      <sheetName val="Customer Deposits"/>
      <sheetName val="Cust Adv  Const"/>
      <sheetName val="Def Inc Taxes"/>
      <sheetName val="NOL"/>
      <sheetName val="Environmental adj"/>
      <sheetName val="Def Tx Enviromental"/>
      <sheetName val="Main Services terminal 101-106"/>
      <sheetName val="Main Services terminal 108"/>
      <sheetName val="Safety &amp; Reliability Additions"/>
      <sheetName val="Def tax on post test yr adj"/>
      <sheetName val="Customer Programs-SLE"/>
      <sheetName val="Lead Lag"/>
      <sheetName val="Cost of Capital"/>
      <sheetName val="PAST TAB-MGP Sale(DO NOT PRINT)"/>
      <sheetName val="Rev Def Sum wMGP Adj"/>
      <sheetName val="Rev Req wMGP"/>
      <sheetName val="Proforma Adj wMGP Adj"/>
      <sheetName val="O&amp;M Adj Sum wMGP Gain"/>
      <sheetName val="MGP Gain on Sale"/>
      <sheetName val="Depr&amp;Amrt Sum wMGP"/>
      <sheetName val="Proposed Depr&amp;Amrt wMGP"/>
      <sheetName val="Taxes Other than IncSum wMGP"/>
      <sheetName val="Property Tax wMGP"/>
      <sheetName val="Inc Tax wMGP"/>
      <sheetName val="Rate Base wMGP"/>
      <sheetName val="Hagerstown MGP"/>
      <sheetName val="MGP Gain on Sale RB"/>
      <sheetName val="Def Tx Hagerstown MGP"/>
      <sheetName val="Lead Lag wMGP"/>
      <sheetName val="PAST TAB-RevRqSLE(DO NOT PRINT)"/>
      <sheetName val="Customer Programs Rev Req Sum"/>
      <sheetName val="Input Sheet"/>
      <sheetName val="Round Robi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33 A REV."/>
      <sheetName val="ATTACH REH-5A REV"/>
      <sheetName val="TS1 &amp; TS2 ALLOCATION"/>
    </sheetNames>
    <sheetDataSet>
      <sheetData sheetId="0">
        <row r="1">
          <cell r="H1" t="str">
            <v>Schedule 33</v>
          </cell>
        </row>
        <row r="3">
          <cell r="D3" t="str">
            <v>COLUMBIA GAS OF VIRGINIA,  INC.</v>
          </cell>
        </row>
        <row r="5">
          <cell r="D5" t="str">
            <v xml:space="preserve">      Schedule of Additional Gross Revenues</v>
          </cell>
        </row>
        <row r="6">
          <cell r="D6" t="str">
            <v>By Rate Schedule Produced By Proposed Rates</v>
          </cell>
        </row>
        <row r="9">
          <cell r="D9" t="str">
            <v>Adjusted</v>
          </cell>
          <cell r="G9" t="str">
            <v>Proposed</v>
          </cell>
          <cell r="H9" t="str">
            <v>Proposed</v>
          </cell>
        </row>
        <row r="10">
          <cell r="C10" t="str">
            <v>Adjusted</v>
          </cell>
          <cell r="D10" t="str">
            <v>Rate</v>
          </cell>
          <cell r="E10" t="str">
            <v>Proposed</v>
          </cell>
          <cell r="F10" t="str">
            <v>Adjusted</v>
          </cell>
          <cell r="G10" t="str">
            <v>Increase</v>
          </cell>
          <cell r="H10" t="str">
            <v>Increase</v>
          </cell>
        </row>
        <row r="11">
          <cell r="B11" t="str">
            <v>Description</v>
          </cell>
          <cell r="C11" t="str">
            <v>Volumes (a)</v>
          </cell>
          <cell r="D11" t="str">
            <v>Revenue (b)</v>
          </cell>
          <cell r="E11" t="str">
            <v>Increase</v>
          </cell>
          <cell r="F11" t="str">
            <v>Revenues</v>
          </cell>
          <cell r="G11" t="str">
            <v>Per Mcf</v>
          </cell>
          <cell r="H11" t="str">
            <v>Percent</v>
          </cell>
        </row>
        <row r="12">
          <cell r="C12" t="str">
            <v>(1)</v>
          </cell>
          <cell r="D12" t="str">
            <v>(2)</v>
          </cell>
          <cell r="E12" t="str">
            <v>(3)</v>
          </cell>
          <cell r="F12" t="str">
            <v>(4=2+3)</v>
          </cell>
          <cell r="G12" t="str">
            <v>(5=3/1)</v>
          </cell>
          <cell r="H12" t="str">
            <v>(6)</v>
          </cell>
        </row>
        <row r="13">
          <cell r="C13" t="str">
            <v>Mcf</v>
          </cell>
          <cell r="D13" t="str">
            <v>$</v>
          </cell>
          <cell r="E13" t="str">
            <v>$</v>
          </cell>
          <cell r="F13" t="str">
            <v>$</v>
          </cell>
          <cell r="G13" t="str">
            <v>$/Mcf</v>
          </cell>
        </row>
        <row r="15">
          <cell r="B15" t="str">
            <v>Residential Service</v>
          </cell>
        </row>
        <row r="16">
          <cell r="B16" t="str">
            <v xml:space="preserve">  East and West</v>
          </cell>
          <cell r="C16">
            <v>11467918.199999999</v>
          </cell>
          <cell r="D16">
            <v>105546782</v>
          </cell>
          <cell r="E16">
            <v>9268974.945700001</v>
          </cell>
          <cell r="F16">
            <v>114815756.9457</v>
          </cell>
        </row>
        <row r="17">
          <cell r="B17" t="str">
            <v xml:space="preserve">  Central</v>
          </cell>
          <cell r="C17">
            <v>917057.1</v>
          </cell>
          <cell r="D17">
            <v>8272167</v>
          </cell>
          <cell r="E17">
            <v>796152.52987344749</v>
          </cell>
          <cell r="F17">
            <v>9068319.5298734475</v>
          </cell>
        </row>
        <row r="18">
          <cell r="B18" t="str">
            <v xml:space="preserve">  Total</v>
          </cell>
          <cell r="C18">
            <v>12384975.299999999</v>
          </cell>
          <cell r="D18">
            <v>113818949</v>
          </cell>
          <cell r="E18">
            <v>10065127.475573448</v>
          </cell>
          <cell r="F18">
            <v>123884076.47557345</v>
          </cell>
          <cell r="G18">
            <v>0.81269999999999998</v>
          </cell>
          <cell r="H18">
            <v>8.8400000000000006E-2</v>
          </cell>
        </row>
        <row r="20">
          <cell r="B20" t="str">
            <v>Small General Service</v>
          </cell>
        </row>
        <row r="21">
          <cell r="B21" t="str">
            <v xml:space="preserve">  Commercial</v>
          </cell>
          <cell r="C21">
            <v>6998572.9000000004</v>
          </cell>
          <cell r="D21">
            <v>47132884</v>
          </cell>
          <cell r="E21">
            <v>2635048.8509999998</v>
          </cell>
          <cell r="F21">
            <v>49767932.850999996</v>
          </cell>
        </row>
        <row r="22">
          <cell r="B22" t="str">
            <v xml:space="preserve">  Industrial</v>
          </cell>
          <cell r="C22">
            <v>522998.3</v>
          </cell>
          <cell r="D22">
            <v>3243215</v>
          </cell>
          <cell r="E22">
            <v>180918.85170088289</v>
          </cell>
          <cell r="F22">
            <v>3424133.8517008829</v>
          </cell>
        </row>
        <row r="23">
          <cell r="B23" t="str">
            <v xml:space="preserve">  Total</v>
          </cell>
          <cell r="C23">
            <v>7521571.2000000002</v>
          </cell>
          <cell r="D23">
            <v>50376099</v>
          </cell>
          <cell r="E23">
            <v>2815967.7027008827</v>
          </cell>
          <cell r="F23">
            <v>53192066.702700876</v>
          </cell>
          <cell r="G23">
            <v>0.37440000000000001</v>
          </cell>
          <cell r="H23">
            <v>5.5899999999999998E-2</v>
          </cell>
        </row>
        <row r="25">
          <cell r="B25" t="str">
            <v xml:space="preserve">Large General Service 1/  </v>
          </cell>
        </row>
        <row r="26">
          <cell r="B26" t="str">
            <v>Transportation Service 1</v>
          </cell>
        </row>
        <row r="27">
          <cell r="B27" t="str">
            <v xml:space="preserve">  Commercial (LGS 1)</v>
          </cell>
          <cell r="C27">
            <v>427682.9</v>
          </cell>
          <cell r="D27">
            <v>1115423</v>
          </cell>
          <cell r="E27">
            <v>32711.53581999999</v>
          </cell>
          <cell r="F27">
            <v>1148134.5358199999</v>
          </cell>
        </row>
        <row r="28">
          <cell r="B28" t="str">
            <v xml:space="preserve">  Industrial (LGS 1)</v>
          </cell>
          <cell r="C28">
            <v>740335</v>
          </cell>
          <cell r="D28">
            <v>3449616</v>
          </cell>
          <cell r="E28">
            <v>74045.791333959671</v>
          </cell>
          <cell r="F28">
            <v>3523661.7913339594</v>
          </cell>
        </row>
        <row r="29">
          <cell r="B29" t="str">
            <v xml:space="preserve">  Commercial (TS-1)</v>
          </cell>
          <cell r="C29">
            <v>2101300.2000000002</v>
          </cell>
          <cell r="D29">
            <v>1368179</v>
          </cell>
          <cell r="E29">
            <v>167328.92973999999</v>
          </cell>
          <cell r="F29">
            <v>1535507.9297400001</v>
          </cell>
        </row>
        <row r="30">
          <cell r="B30" t="str">
            <v xml:space="preserve">  Industrial (TS-1)</v>
          </cell>
          <cell r="C30">
            <v>6947728.5999999996</v>
          </cell>
          <cell r="D30">
            <v>3734034</v>
          </cell>
          <cell r="E30">
            <v>495300.92672000005</v>
          </cell>
          <cell r="F30">
            <v>4229334.9267199999</v>
          </cell>
        </row>
        <row r="31">
          <cell r="B31" t="str">
            <v xml:space="preserve">  Total</v>
          </cell>
          <cell r="C31">
            <v>10217046.699999999</v>
          </cell>
          <cell r="D31">
            <v>9667252</v>
          </cell>
          <cell r="E31">
            <v>769387.1836139597</v>
          </cell>
          <cell r="F31">
            <v>10436639.18361396</v>
          </cell>
          <cell r="G31">
            <v>7.5300000000000006E-2</v>
          </cell>
          <cell r="H31">
            <v>7.9600000000000004E-2</v>
          </cell>
        </row>
        <row r="33">
          <cell r="B33" t="str">
            <v>Large General Service 2/</v>
          </cell>
        </row>
        <row r="34">
          <cell r="B34" t="str">
            <v>Transportation Service 2</v>
          </cell>
        </row>
        <row r="35">
          <cell r="B35" t="str">
            <v xml:space="preserve">  Commercial (LGS 2)</v>
          </cell>
          <cell r="C35">
            <v>0</v>
          </cell>
          <cell r="D35">
            <v>0</v>
          </cell>
          <cell r="E35">
            <v>0</v>
          </cell>
          <cell r="F35">
            <v>0</v>
          </cell>
        </row>
        <row r="36">
          <cell r="B36" t="str">
            <v xml:space="preserve">  Industrial (LGS 2)</v>
          </cell>
          <cell r="C36">
            <v>1052107</v>
          </cell>
          <cell r="D36">
            <v>4040109</v>
          </cell>
          <cell r="E36">
            <v>21383.575000000001</v>
          </cell>
          <cell r="F36">
            <v>4061492.5750000002</v>
          </cell>
        </row>
        <row r="37">
          <cell r="B37" t="str">
            <v xml:space="preserve">  Commercial (TS-2)</v>
          </cell>
          <cell r="C37">
            <v>0</v>
          </cell>
          <cell r="D37">
            <v>0</v>
          </cell>
          <cell r="E37">
            <v>0</v>
          </cell>
          <cell r="F37">
            <v>0</v>
          </cell>
        </row>
        <row r="38">
          <cell r="B38" t="str">
            <v xml:space="preserve">  Industrial (TS-2)</v>
          </cell>
          <cell r="C38">
            <v>13598016</v>
          </cell>
          <cell r="D38">
            <v>3105475</v>
          </cell>
          <cell r="E38">
            <v>353886.06311170897</v>
          </cell>
          <cell r="F38">
            <v>3459361.063111709</v>
          </cell>
        </row>
        <row r="39">
          <cell r="B39" t="str">
            <v xml:space="preserve">  Total</v>
          </cell>
          <cell r="C39">
            <v>14650123</v>
          </cell>
          <cell r="D39">
            <v>7145584</v>
          </cell>
          <cell r="E39">
            <v>375269.63811170898</v>
          </cell>
          <cell r="F39">
            <v>7520853.6381117087</v>
          </cell>
          <cell r="G39">
            <v>2.5600000000000001E-2</v>
          </cell>
          <cell r="H39">
            <v>5.2499999999999998E-2</v>
          </cell>
        </row>
        <row r="42">
          <cell r="B42" t="str">
            <v xml:space="preserve">  Special Contract</v>
          </cell>
          <cell r="C42">
            <v>16993404</v>
          </cell>
          <cell r="D42">
            <v>2615185</v>
          </cell>
          <cell r="E42">
            <v>0</v>
          </cell>
          <cell r="F42">
            <v>2615185</v>
          </cell>
          <cell r="G42">
            <v>0</v>
          </cell>
          <cell r="H42">
            <v>0</v>
          </cell>
        </row>
        <row r="44">
          <cell r="B44" t="str">
            <v xml:space="preserve">  Total Transportation</v>
          </cell>
          <cell r="C44">
            <v>39640448.799999997</v>
          </cell>
          <cell r="D44">
            <v>10822873</v>
          </cell>
          <cell r="E44">
            <v>1016515.919571709</v>
          </cell>
          <cell r="F44">
            <v>11839388.919571709</v>
          </cell>
        </row>
        <row r="46">
          <cell r="B46" t="str">
            <v>Total</v>
          </cell>
          <cell r="C46">
            <v>61767120.200000003</v>
          </cell>
          <cell r="D46">
            <v>183623069</v>
          </cell>
          <cell r="E46">
            <v>14025752</v>
          </cell>
          <cell r="F46">
            <v>197648821</v>
          </cell>
        </row>
        <row r="48">
          <cell r="B48" t="str">
            <v>Other Operating Revenue</v>
          </cell>
          <cell r="D48">
            <v>2113419</v>
          </cell>
          <cell r="E48">
            <v>0</v>
          </cell>
          <cell r="F48">
            <v>2113419</v>
          </cell>
        </row>
        <row r="49">
          <cell r="B49" t="str">
            <v>Total Revenue</v>
          </cell>
          <cell r="C49">
            <v>61767120.200000003</v>
          </cell>
          <cell r="D49">
            <v>185736488</v>
          </cell>
          <cell r="E49">
            <v>14025752</v>
          </cell>
          <cell r="F49">
            <v>199762240</v>
          </cell>
        </row>
        <row r="52">
          <cell r="B52" t="str">
            <v>(a) Test period adjusted per schedule 14.</v>
          </cell>
        </row>
        <row r="54">
          <cell r="B54" t="str">
            <v>(b) Rates based on those in approved in Case No. PUE950033.</v>
          </cell>
        </row>
        <row r="56">
          <cell r="B56" t="str">
            <v>X:\CGV\RATECASE\98\SCHEDULE\SCHEDULE 33 FOR 1998</v>
          </cell>
        </row>
      </sheetData>
      <sheetData sheetId="1">
        <row r="2">
          <cell r="H2" t="str">
            <v>ATTACHMENT REH-5</v>
          </cell>
        </row>
        <row r="5">
          <cell r="E5" t="str">
            <v>COLUMBIA GAS OF VIRGINIA, INC.</v>
          </cell>
        </row>
        <row r="7">
          <cell r="E7" t="str">
            <v>SCHEDULE OF ADDITIONAL GROSS REVENUES</v>
          </cell>
        </row>
        <row r="9">
          <cell r="E9" t="str">
            <v>BY RATE SCHEDULE PRODUCED BY PROPOSED RATES</v>
          </cell>
        </row>
        <row r="13">
          <cell r="C13" t="str">
            <v>ADJUSTED</v>
          </cell>
          <cell r="D13" t="str">
            <v>ADJUSTED</v>
          </cell>
        </row>
        <row r="14">
          <cell r="C14" t="str">
            <v>VOLUMES</v>
          </cell>
          <cell r="D14" t="str">
            <v>RATE</v>
          </cell>
          <cell r="E14" t="str">
            <v>PROPOSED</v>
          </cell>
          <cell r="F14" t="str">
            <v>ADJUSTED</v>
          </cell>
          <cell r="G14" t="str">
            <v>PROPOSED</v>
          </cell>
          <cell r="H14" t="str">
            <v>PROPOSED</v>
          </cell>
        </row>
        <row r="15">
          <cell r="B15" t="str">
            <v>DESCRIPTION</v>
          </cell>
          <cell r="C15" t="str">
            <v>(a)</v>
          </cell>
          <cell r="D15" t="str">
            <v>REVENUE</v>
          </cell>
          <cell r="E15" t="str">
            <v xml:space="preserve">INCREASE </v>
          </cell>
          <cell r="F15" t="str">
            <v>REVENUE</v>
          </cell>
          <cell r="G15" t="str">
            <v>INCREASE</v>
          </cell>
          <cell r="H15" t="str">
            <v>INCREASE</v>
          </cell>
        </row>
        <row r="16">
          <cell r="C16" t="str">
            <v>(1)</v>
          </cell>
          <cell r="D16" t="str">
            <v>(2)</v>
          </cell>
          <cell r="E16" t="str">
            <v>(3)</v>
          </cell>
          <cell r="F16" t="str">
            <v>(4)</v>
          </cell>
          <cell r="G16" t="str">
            <v>(5=3/1)</v>
          </cell>
          <cell r="H16" t="str">
            <v>(6=3/2)</v>
          </cell>
        </row>
        <row r="17">
          <cell r="C17" t="str">
            <v>MCF</v>
          </cell>
          <cell r="D17" t="str">
            <v>$</v>
          </cell>
          <cell r="E17" t="str">
            <v>$</v>
          </cell>
          <cell r="F17" t="str">
            <v>$</v>
          </cell>
          <cell r="G17" t="str">
            <v>$/MCF</v>
          </cell>
          <cell r="H17" t="str">
            <v>%</v>
          </cell>
        </row>
        <row r="18">
          <cell r="B18" t="str">
            <v>GAS SERVICE REVENUES:</v>
          </cell>
        </row>
        <row r="20">
          <cell r="B20" t="str">
            <v xml:space="preserve">   RESIDENTIAL</v>
          </cell>
          <cell r="C20">
            <v>12384975.299999999</v>
          </cell>
          <cell r="D20">
            <v>113818949</v>
          </cell>
          <cell r="E20">
            <v>10065127.475573448</v>
          </cell>
          <cell r="F20">
            <v>123884076.47557345</v>
          </cell>
          <cell r="G20">
            <v>0.81269999999999998</v>
          </cell>
          <cell r="H20">
            <v>8.8400000000000006E-2</v>
          </cell>
        </row>
        <row r="21">
          <cell r="B21" t="str">
            <v xml:space="preserve">   SGS</v>
          </cell>
          <cell r="C21">
            <v>7521571.2000000002</v>
          </cell>
          <cell r="D21">
            <v>50376099</v>
          </cell>
          <cell r="E21">
            <v>2815967.7027008827</v>
          </cell>
          <cell r="F21">
            <v>53192066.702700883</v>
          </cell>
          <cell r="G21">
            <v>0.37440000000000001</v>
          </cell>
          <cell r="H21">
            <v>5.5899999999999998E-2</v>
          </cell>
        </row>
        <row r="22">
          <cell r="B22" t="str">
            <v xml:space="preserve">   TS-1/LGS</v>
          </cell>
          <cell r="C22">
            <v>10217046.699999999</v>
          </cell>
          <cell r="D22">
            <v>9667252</v>
          </cell>
          <cell r="E22">
            <v>769387.1836139597</v>
          </cell>
          <cell r="F22">
            <v>10436639.18361396</v>
          </cell>
          <cell r="G22">
            <v>7.5300000000000006E-2</v>
          </cell>
          <cell r="H22">
            <v>7.9600000000000004E-2</v>
          </cell>
        </row>
        <row r="23">
          <cell r="B23" t="str">
            <v xml:space="preserve">   TS-2/LGS2</v>
          </cell>
          <cell r="C23">
            <v>14650123</v>
          </cell>
          <cell r="D23">
            <v>7145584</v>
          </cell>
          <cell r="E23">
            <v>375269.63811170898</v>
          </cell>
          <cell r="F23">
            <v>7520853.6381117087</v>
          </cell>
          <cell r="G23">
            <v>2.5600000000000001E-2</v>
          </cell>
          <cell r="H23">
            <v>5.2499999999999998E-2</v>
          </cell>
        </row>
        <row r="24">
          <cell r="B24" t="str">
            <v xml:space="preserve">   LVTS/LVEDTS</v>
          </cell>
          <cell r="C24">
            <v>16993404</v>
          </cell>
          <cell r="D24">
            <v>2615185</v>
          </cell>
          <cell r="E24">
            <v>0</v>
          </cell>
          <cell r="F24">
            <v>2615185</v>
          </cell>
          <cell r="G24">
            <v>0</v>
          </cell>
          <cell r="H24">
            <v>0</v>
          </cell>
        </row>
        <row r="26">
          <cell r="B26" t="str">
            <v>TOTAL GAS SERVICE REVENUE</v>
          </cell>
          <cell r="C26">
            <v>61767120.200000003</v>
          </cell>
          <cell r="D26">
            <v>183623069</v>
          </cell>
          <cell r="E26">
            <v>14025752</v>
          </cell>
          <cell r="F26">
            <v>197648821</v>
          </cell>
          <cell r="G26" t="str">
            <v>N/A</v>
          </cell>
          <cell r="H26">
            <v>7.6399999999999996E-2</v>
          </cell>
        </row>
        <row r="28">
          <cell r="B28" t="str">
            <v>MISCELLANEOUS REVENUE</v>
          </cell>
          <cell r="D28">
            <v>2113419</v>
          </cell>
          <cell r="E28">
            <v>0</v>
          </cell>
          <cell r="F28">
            <v>2113419</v>
          </cell>
        </row>
        <row r="30">
          <cell r="B30" t="str">
            <v>TOTAL REVENUE</v>
          </cell>
          <cell r="D30">
            <v>185736488</v>
          </cell>
          <cell r="E30">
            <v>14025752</v>
          </cell>
          <cell r="F30">
            <v>199762240</v>
          </cell>
          <cell r="H30">
            <v>7.5499999999999998E-2</v>
          </cell>
        </row>
        <row r="33">
          <cell r="B33" t="str">
            <v>(a) TEST PERIOD ADJUSTED PER SCHEDULE 14-REVENUE.</v>
          </cell>
        </row>
        <row r="39">
          <cell r="B39" t="str">
            <v>X:\CGV\RATECASE\98\SCHEDULE\SCHEDULE 33 FOR 1998</v>
          </cell>
        </row>
        <row r="52">
          <cell r="D52" t="str">
            <v>COLUMBIA GAS OF VIRGINIA, INC.</v>
          </cell>
        </row>
        <row r="53">
          <cell r="D53" t="str">
            <v xml:space="preserve">RATE BLOCK INCREASE WORK PAPER </v>
          </cell>
        </row>
        <row r="55">
          <cell r="B55" t="str">
            <v xml:space="preserve"> </v>
          </cell>
        </row>
        <row r="62">
          <cell r="B62" t="str">
            <v xml:space="preserve">TOTAL RESIDENTIAL INCREASE: </v>
          </cell>
          <cell r="G62">
            <v>10065127.475573448</v>
          </cell>
        </row>
        <row r="67">
          <cell r="B67" t="str">
            <v>PROPOSED INCREASE TO ELIMINATE LYNCHBURG RATE DIFFERENTIAL:</v>
          </cell>
        </row>
        <row r="71">
          <cell r="E71" t="str">
            <v>ADJUSTED</v>
          </cell>
          <cell r="F71" t="str">
            <v>CURRENT</v>
          </cell>
        </row>
        <row r="72">
          <cell r="B72" t="str">
            <v xml:space="preserve"> VOLUMETRIC RATE INCREASE:</v>
          </cell>
          <cell r="E72" t="str">
            <v>CENTRAL</v>
          </cell>
          <cell r="F72" t="str">
            <v>DIFFERENTIAL</v>
          </cell>
        </row>
        <row r="73">
          <cell r="E73" t="str">
            <v>VOLUMES</v>
          </cell>
          <cell r="F73" t="str">
            <v>PER MCF</v>
          </cell>
        </row>
        <row r="74">
          <cell r="B74" t="str">
            <v>FIRST 5 MCF</v>
          </cell>
          <cell r="E74">
            <v>314094.5</v>
          </cell>
          <cell r="F74">
            <v>8.8999999999999996E-2</v>
          </cell>
          <cell r="G74">
            <v>27954.410499999998</v>
          </cell>
        </row>
        <row r="75">
          <cell r="B75" t="str">
            <v>NEXT 45</v>
          </cell>
          <cell r="E75">
            <v>535032.9</v>
          </cell>
          <cell r="F75">
            <v>9.0999999999999998E-2</v>
          </cell>
          <cell r="G75">
            <v>48687.993900000001</v>
          </cell>
          <cell r="I75">
            <v>0</v>
          </cell>
        </row>
        <row r="76">
          <cell r="B76" t="str">
            <v>OVER 50</v>
          </cell>
          <cell r="E76">
            <v>67929.7</v>
          </cell>
          <cell r="F76">
            <v>9.2999999999999999E-2</v>
          </cell>
          <cell r="G76">
            <v>6317.4620999999997</v>
          </cell>
          <cell r="I76">
            <v>0</v>
          </cell>
        </row>
        <row r="77">
          <cell r="B77" t="str">
            <v>TOTAL</v>
          </cell>
          <cell r="E77">
            <v>917057.1</v>
          </cell>
          <cell r="G77">
            <v>82959.866500000004</v>
          </cell>
        </row>
        <row r="79">
          <cell r="B79" t="str">
            <v>INCREASE TO RS REMAINING AFTER DIFFERENTIAL ELIMINATION:</v>
          </cell>
          <cell r="G79">
            <v>9982167.6090734489</v>
          </cell>
        </row>
        <row r="81">
          <cell r="B81" t="str">
            <v xml:space="preserve">RATE INCREASE TO </v>
          </cell>
        </row>
        <row r="82">
          <cell r="B82" t="str">
            <v xml:space="preserve">   RESIDENTIAL SERVICE</v>
          </cell>
          <cell r="E82" t="str">
            <v>NUMBER</v>
          </cell>
          <cell r="F82" t="str">
            <v>INCREASE</v>
          </cell>
        </row>
        <row r="83">
          <cell r="B83" t="str">
            <v xml:space="preserve"> CUSTOMER CHARGE INCREASE:</v>
          </cell>
          <cell r="E83" t="str">
            <v>OF BILLS</v>
          </cell>
          <cell r="F83" t="str">
            <v>PER BILL</v>
          </cell>
        </row>
        <row r="84">
          <cell r="E84">
            <v>1870988</v>
          </cell>
          <cell r="F84">
            <v>1</v>
          </cell>
          <cell r="G84">
            <v>1870988</v>
          </cell>
          <cell r="I84" t="str">
            <v>RS E&amp;W</v>
          </cell>
        </row>
        <row r="85">
          <cell r="I85" t="str">
            <v>Bills</v>
          </cell>
        </row>
        <row r="86">
          <cell r="B86" t="str">
            <v>INCREASE TO RS REMAINING AFTER CUSTOMER CHARGE INCREASE:</v>
          </cell>
          <cell r="G86">
            <v>8111179.6090734489</v>
          </cell>
          <cell r="I86">
            <v>1758835</v>
          </cell>
          <cell r="J86">
            <v>1</v>
          </cell>
          <cell r="K86">
            <v>1758835</v>
          </cell>
        </row>
        <row r="87">
          <cell r="C87" t="str">
            <v>RS</v>
          </cell>
        </row>
        <row r="88">
          <cell r="B88" t="str">
            <v xml:space="preserve"> VOLUMETRIC RATE INCREASE:</v>
          </cell>
          <cell r="C88" t="str">
            <v>NON-GAS</v>
          </cell>
          <cell r="E88" t="str">
            <v>RS</v>
          </cell>
        </row>
        <row r="89">
          <cell r="C89" t="str">
            <v>REVENUE</v>
          </cell>
          <cell r="D89" t="str">
            <v>RATIO</v>
          </cell>
          <cell r="E89" t="str">
            <v>VOLUMES</v>
          </cell>
          <cell r="F89" t="str">
            <v>PER MCF</v>
          </cell>
          <cell r="I89" t="str">
            <v>RS E&amp;W</v>
          </cell>
          <cell r="J89" t="str">
            <v>Rate</v>
          </cell>
        </row>
        <row r="90">
          <cell r="B90" t="str">
            <v>FIRST 5 MCF</v>
          </cell>
          <cell r="C90">
            <v>14822694</v>
          </cell>
          <cell r="D90">
            <v>0.41845165119467403</v>
          </cell>
          <cell r="E90">
            <v>5078881.0999999996</v>
          </cell>
          <cell r="F90">
            <v>0.66800000000000004</v>
          </cell>
          <cell r="G90">
            <v>3394137</v>
          </cell>
          <cell r="H90">
            <v>0</v>
          </cell>
          <cell r="I90">
            <v>4764786</v>
          </cell>
          <cell r="J90">
            <v>0.66800000000000004</v>
          </cell>
          <cell r="K90">
            <v>3182877.048</v>
          </cell>
        </row>
        <row r="91">
          <cell r="B91" t="str">
            <v>NEXT 45</v>
          </cell>
          <cell r="C91">
            <v>18891575</v>
          </cell>
          <cell r="D91">
            <v>0.53331808323224006</v>
          </cell>
          <cell r="E91">
            <v>6673806.6000000006</v>
          </cell>
          <cell r="F91">
            <v>0.64800000000000002</v>
          </cell>
          <cell r="G91">
            <v>4325839</v>
          </cell>
          <cell r="I91">
            <v>6138773.7000000002</v>
          </cell>
          <cell r="J91">
            <v>0.64800000000000002</v>
          </cell>
          <cell r="K91">
            <v>3977925.3576000002</v>
          </cell>
        </row>
        <row r="92">
          <cell r="B92" t="str">
            <v>OVER 50</v>
          </cell>
          <cell r="C92">
            <v>1708447</v>
          </cell>
          <cell r="D92">
            <v>4.8230265573085927E-2</v>
          </cell>
          <cell r="E92">
            <v>632287.6</v>
          </cell>
          <cell r="F92">
            <v>0.61899999999999999</v>
          </cell>
          <cell r="G92">
            <v>391204</v>
          </cell>
          <cell r="I92">
            <v>564357.9</v>
          </cell>
          <cell r="J92">
            <v>0.61899999999999999</v>
          </cell>
          <cell r="K92">
            <v>349337.54009999998</v>
          </cell>
        </row>
        <row r="93">
          <cell r="B93" t="str">
            <v>TOTAL</v>
          </cell>
          <cell r="C93">
            <v>35422716</v>
          </cell>
          <cell r="D93">
            <v>1</v>
          </cell>
          <cell r="E93">
            <v>12384975.299999999</v>
          </cell>
          <cell r="G93">
            <v>8111180</v>
          </cell>
          <cell r="I93">
            <v>11467917.6</v>
          </cell>
          <cell r="K93">
            <v>7510139.9457</v>
          </cell>
        </row>
        <row r="95">
          <cell r="B95" t="str">
            <v>INCREASE TO RS REMAINING AFTER VOLUMETRIC INCREASE:</v>
          </cell>
          <cell r="G95">
            <v>-0.3909265510737896</v>
          </cell>
          <cell r="K95">
            <v>9268974.945700001</v>
          </cell>
        </row>
        <row r="97">
          <cell r="B97" t="str">
            <v>INCREASE TO RATE SCHEDULE SGS:</v>
          </cell>
          <cell r="G97">
            <v>2815967.7027008827</v>
          </cell>
        </row>
        <row r="99">
          <cell r="E99" t="str">
            <v>NUMBER</v>
          </cell>
          <cell r="F99" t="str">
            <v>INCREASE</v>
          </cell>
        </row>
        <row r="100">
          <cell r="B100" t="str">
            <v xml:space="preserve"> CUSTOMER CHARGE INCREASE:</v>
          </cell>
          <cell r="E100" t="str">
            <v>OF BILLS</v>
          </cell>
          <cell r="F100" t="str">
            <v>PER BILL</v>
          </cell>
          <cell r="I100" t="str">
            <v>Bills</v>
          </cell>
        </row>
        <row r="101">
          <cell r="E101">
            <v>200713</v>
          </cell>
          <cell r="F101">
            <v>1</v>
          </cell>
          <cell r="G101">
            <v>200713</v>
          </cell>
          <cell r="I101">
            <v>199167</v>
          </cell>
          <cell r="J101">
            <v>1</v>
          </cell>
          <cell r="K101">
            <v>199167</v>
          </cell>
        </row>
        <row r="103">
          <cell r="B103" t="str">
            <v>INCREASE TO SGS REMAINING AFTER CUSTOMER CHARGE INCREASE:</v>
          </cell>
          <cell r="G103">
            <v>2615254.7027008827</v>
          </cell>
        </row>
        <row r="104">
          <cell r="I104" t="str">
            <v>Volume</v>
          </cell>
          <cell r="K104" t="str">
            <v>Increase</v>
          </cell>
        </row>
        <row r="105">
          <cell r="B105" t="str">
            <v xml:space="preserve"> VOLUMETRIC RATE INCREASE:</v>
          </cell>
          <cell r="C105" t="str">
            <v>NON-GAS</v>
          </cell>
          <cell r="E105" t="str">
            <v>SGS</v>
          </cell>
          <cell r="I105" t="str">
            <v>SGS-COM</v>
          </cell>
          <cell r="J105" t="str">
            <v>Rate</v>
          </cell>
          <cell r="K105" t="str">
            <v>SGS-COM</v>
          </cell>
        </row>
        <row r="106">
          <cell r="C106" t="str">
            <v>REVENUE</v>
          </cell>
          <cell r="D106" t="str">
            <v>RATIO</v>
          </cell>
          <cell r="E106" t="str">
            <v>VOLUMES</v>
          </cell>
          <cell r="F106" t="str">
            <v>PER MCF</v>
          </cell>
        </row>
        <row r="107">
          <cell r="B107" t="str">
            <v>FIRST 20 MCF</v>
          </cell>
          <cell r="C107">
            <v>2675511</v>
          </cell>
          <cell r="D107">
            <v>0.2091650747749364</v>
          </cell>
          <cell r="E107">
            <v>1459634.8</v>
          </cell>
          <cell r="F107">
            <v>0.375</v>
          </cell>
          <cell r="G107">
            <v>547020</v>
          </cell>
          <cell r="H107">
            <v>0</v>
          </cell>
          <cell r="I107">
            <v>1438829.8</v>
          </cell>
          <cell r="J107">
            <v>0.375</v>
          </cell>
          <cell r="K107">
            <v>539561.17500000005</v>
          </cell>
        </row>
        <row r="108">
          <cell r="B108" t="str">
            <v>NEXT 80</v>
          </cell>
          <cell r="C108">
            <v>2659318</v>
          </cell>
          <cell r="D108">
            <v>0.20789914461960141</v>
          </cell>
          <cell r="E108">
            <v>1556977.5999999999</v>
          </cell>
          <cell r="F108">
            <v>0.34899999999999998</v>
          </cell>
          <cell r="G108">
            <v>543709</v>
          </cell>
          <cell r="I108">
            <v>1490593.2</v>
          </cell>
          <cell r="J108">
            <v>0.34899999999999998</v>
          </cell>
          <cell r="K108">
            <v>520217.02679999993</v>
          </cell>
        </row>
        <row r="109">
          <cell r="B109" t="str">
            <v>NEXT 900</v>
          </cell>
          <cell r="C109">
            <v>5635554</v>
          </cell>
          <cell r="D109">
            <v>0.44057418332729409</v>
          </cell>
          <cell r="E109">
            <v>3364510.1</v>
          </cell>
          <cell r="F109">
            <v>0.34200000000000003</v>
          </cell>
          <cell r="G109">
            <v>1152214</v>
          </cell>
          <cell r="I109">
            <v>3072051</v>
          </cell>
          <cell r="J109">
            <v>0.34200000000000003</v>
          </cell>
          <cell r="K109">
            <v>1050641.442</v>
          </cell>
        </row>
        <row r="110">
          <cell r="B110" t="str">
            <v>NEXT 1500</v>
          </cell>
          <cell r="C110">
            <v>815904</v>
          </cell>
          <cell r="D110">
            <v>6.3785430584725578E-2</v>
          </cell>
          <cell r="E110">
            <v>505516.69999999995</v>
          </cell>
          <cell r="F110">
            <v>0.33</v>
          </cell>
          <cell r="G110">
            <v>166815</v>
          </cell>
          <cell r="I110">
            <v>400360.6</v>
          </cell>
          <cell r="J110">
            <v>0.33</v>
          </cell>
          <cell r="K110">
            <v>132118.99799999999</v>
          </cell>
        </row>
        <row r="111">
          <cell r="B111" t="str">
            <v>OVER 2500</v>
          </cell>
          <cell r="C111">
            <v>1005098</v>
          </cell>
          <cell r="D111">
            <v>7.8576166693442501E-2</v>
          </cell>
          <cell r="E111">
            <v>634932</v>
          </cell>
          <cell r="F111">
            <v>0.32400000000000001</v>
          </cell>
          <cell r="G111">
            <v>205497</v>
          </cell>
          <cell r="I111">
            <v>596738.30000000005</v>
          </cell>
          <cell r="J111">
            <v>0.32400000000000001</v>
          </cell>
          <cell r="K111">
            <v>193343.20920000001</v>
          </cell>
        </row>
        <row r="112">
          <cell r="B112" t="str">
            <v>TOTAL</v>
          </cell>
          <cell r="C112">
            <v>12791385</v>
          </cell>
          <cell r="D112">
            <v>0.99999999999999989</v>
          </cell>
          <cell r="E112">
            <v>7521571.2000000002</v>
          </cell>
          <cell r="G112">
            <v>2615255</v>
          </cell>
          <cell r="I112">
            <v>6998572.8999999994</v>
          </cell>
          <cell r="K112">
            <v>2435881.8509999998</v>
          </cell>
        </row>
        <row r="114">
          <cell r="B114" t="str">
            <v>INCREASE TO SGS REMAINING AFTER VOLUMETRIC INCREASE:</v>
          </cell>
          <cell r="G114">
            <v>-0.29729911731556058</v>
          </cell>
          <cell r="J114" t="str">
            <v>SGS Comm. Inc</v>
          </cell>
          <cell r="K114">
            <v>2635048.8509999998</v>
          </cell>
        </row>
        <row r="115">
          <cell r="J115" t="str">
            <v>SGS Ind. Inc</v>
          </cell>
          <cell r="K115">
            <v>180918.85170088289</v>
          </cell>
        </row>
        <row r="116">
          <cell r="B116" t="str">
            <v xml:space="preserve">INCREASE TO RATE SCHEDULE LGS / TS-1 </v>
          </cell>
          <cell r="G116">
            <v>769387.1836139597</v>
          </cell>
          <cell r="J116" t="str">
            <v>Total</v>
          </cell>
          <cell r="K116">
            <v>2815967.7027008827</v>
          </cell>
        </row>
        <row r="117">
          <cell r="B117" t="str">
            <v xml:space="preserve"> </v>
          </cell>
          <cell r="E117" t="str">
            <v>NUMBER</v>
          </cell>
          <cell r="F117" t="str">
            <v>INCREASE</v>
          </cell>
        </row>
        <row r="118">
          <cell r="B118" t="str">
            <v xml:space="preserve"> CUSTOMER CHARGE INCREASE:</v>
          </cell>
          <cell r="E118" t="str">
            <v>OF BILLS</v>
          </cell>
          <cell r="F118" t="str">
            <v>PER BILL</v>
          </cell>
        </row>
        <row r="119">
          <cell r="E119">
            <v>2592</v>
          </cell>
          <cell r="F119">
            <v>0</v>
          </cell>
          <cell r="G119">
            <v>0</v>
          </cell>
          <cell r="I119" t="str">
            <v>Bills</v>
          </cell>
        </row>
        <row r="120">
          <cell r="I120">
            <v>840</v>
          </cell>
          <cell r="J120">
            <v>0</v>
          </cell>
          <cell r="K120">
            <v>0</v>
          </cell>
        </row>
        <row r="121">
          <cell r="B121" t="str">
            <v>INCREASE TO LGS / TS-1 REMAINING AFTER CUSTOMER CHARGE INCREASE:</v>
          </cell>
          <cell r="G121">
            <v>769387.1836139597</v>
          </cell>
        </row>
        <row r="123">
          <cell r="C123" t="str">
            <v>NON-GAS</v>
          </cell>
          <cell r="I123" t="str">
            <v>Volume</v>
          </cell>
          <cell r="K123" t="str">
            <v>Increase</v>
          </cell>
        </row>
        <row r="124">
          <cell r="B124" t="str">
            <v xml:space="preserve"> VOLUMETRIC RATE INCREASE:</v>
          </cell>
          <cell r="C124" t="str">
            <v>REVENUE</v>
          </cell>
          <cell r="D124" t="str">
            <v>RATIO</v>
          </cell>
          <cell r="E124" t="str">
            <v>VOLUMES</v>
          </cell>
          <cell r="F124" t="str">
            <v>PER MCF</v>
          </cell>
          <cell r="I124" t="str">
            <v>LGS1-COM</v>
          </cell>
          <cell r="J124" t="str">
            <v>Rate</v>
          </cell>
          <cell r="K124" t="str">
            <v>LGS1-COM</v>
          </cell>
        </row>
        <row r="125">
          <cell r="B125" t="str">
            <v>LGS ADMIN CHARGE</v>
          </cell>
          <cell r="C125">
            <v>73701.929489999995</v>
          </cell>
          <cell r="D125">
            <v>0</v>
          </cell>
          <cell r="E125">
            <v>1168017.8999999999</v>
          </cell>
          <cell r="F125">
            <v>0</v>
          </cell>
          <cell r="G125">
            <v>0</v>
          </cell>
        </row>
        <row r="126">
          <cell r="B126" t="str">
            <v>DEMAND/SS CHARGE</v>
          </cell>
          <cell r="C126">
            <v>30216.899999999998</v>
          </cell>
          <cell r="D126">
            <v>0</v>
          </cell>
          <cell r="E126">
            <v>100723</v>
          </cell>
          <cell r="F126">
            <v>0</v>
          </cell>
          <cell r="G126">
            <v>0</v>
          </cell>
          <cell r="K126">
            <v>0</v>
          </cell>
        </row>
        <row r="127">
          <cell r="B127" t="str">
            <v>FIRST 1000</v>
          </cell>
          <cell r="C127">
            <v>1785355.689</v>
          </cell>
          <cell r="D127">
            <v>0.3805714388983556</v>
          </cell>
          <cell r="E127">
            <v>2215081.5</v>
          </cell>
          <cell r="F127">
            <v>0.13220000000000001</v>
          </cell>
          <cell r="G127">
            <v>292807</v>
          </cell>
          <cell r="H127">
            <v>0</v>
          </cell>
          <cell r="I127">
            <v>663684.19999999995</v>
          </cell>
          <cell r="J127">
            <v>0.13220000000000001</v>
          </cell>
          <cell r="K127">
            <v>87739.051240000001</v>
          </cell>
        </row>
        <row r="128">
          <cell r="B128" t="str">
            <v>NEXT 4000</v>
          </cell>
          <cell r="C128">
            <v>2142668.5434000003</v>
          </cell>
          <cell r="D128">
            <v>0.45673725166816426</v>
          </cell>
          <cell r="E128">
            <v>4637810.7</v>
          </cell>
          <cell r="F128">
            <v>7.5800000000000006E-2</v>
          </cell>
          <cell r="G128">
            <v>351408</v>
          </cell>
          <cell r="I128">
            <v>1123298.3999999999</v>
          </cell>
          <cell r="J128">
            <v>7.5800000000000006E-2</v>
          </cell>
          <cell r="K128">
            <v>85146.018719999993</v>
          </cell>
        </row>
        <row r="129">
          <cell r="B129" t="str">
            <v>NEXT 15000</v>
          </cell>
          <cell r="C129">
            <v>752368.81409999996</v>
          </cell>
          <cell r="D129">
            <v>0.16037705199498001</v>
          </cell>
          <cell r="E129">
            <v>3295527</v>
          </cell>
          <cell r="F129">
            <v>3.7400000000000003E-2</v>
          </cell>
          <cell r="G129">
            <v>123392</v>
          </cell>
          <cell r="I129">
            <v>689772</v>
          </cell>
          <cell r="J129">
            <v>3.7400000000000003E-2</v>
          </cell>
          <cell r="K129">
            <v>25797.472800000003</v>
          </cell>
        </row>
        <row r="130">
          <cell r="B130" t="str">
            <v>OVER 20000</v>
          </cell>
          <cell r="C130">
            <v>10856.759760000001</v>
          </cell>
          <cell r="D130">
            <v>2.3142574385002371E-3</v>
          </cell>
          <cell r="E130">
            <v>68626.8</v>
          </cell>
          <cell r="F130">
            <v>2.5999999999999999E-2</v>
          </cell>
          <cell r="G130">
            <v>1781</v>
          </cell>
          <cell r="I130">
            <v>52227.8</v>
          </cell>
          <cell r="J130">
            <v>2.5999999999999999E-2</v>
          </cell>
          <cell r="K130">
            <v>1357.9228000000001</v>
          </cell>
        </row>
        <row r="131">
          <cell r="B131" t="str">
            <v>TOTAL</v>
          </cell>
          <cell r="C131">
            <v>4691249.80626</v>
          </cell>
          <cell r="D131">
            <v>1.0000000000000002</v>
          </cell>
          <cell r="E131">
            <v>10217046</v>
          </cell>
          <cell r="G131">
            <v>769388</v>
          </cell>
          <cell r="I131">
            <v>2528982.3999999994</v>
          </cell>
          <cell r="K131">
            <v>200040.46555999998</v>
          </cell>
        </row>
        <row r="133">
          <cell r="B133" t="str">
            <v>INCREASE TO LGS / TS-1 REMAINING AFTER VOLUMETRIC INCREASE:</v>
          </cell>
          <cell r="G133">
            <v>-0.81638604030013084</v>
          </cell>
          <cell r="J133" t="str">
            <v>LGS / TS-1 Comm. Inc</v>
          </cell>
          <cell r="K133">
            <v>200040.46555999998</v>
          </cell>
        </row>
        <row r="134">
          <cell r="J134" t="str">
            <v>LGS / TS-1 Ind. Inc</v>
          </cell>
          <cell r="K134">
            <v>569346.71805395978</v>
          </cell>
        </row>
        <row r="135">
          <cell r="B135" t="str">
            <v xml:space="preserve">INCREASE TO RATE SCHEDULE LGS / TS-2 </v>
          </cell>
          <cell r="G135">
            <v>375269.63811170898</v>
          </cell>
          <cell r="J135" t="str">
            <v>Total</v>
          </cell>
          <cell r="K135">
            <v>769387.1836139597</v>
          </cell>
        </row>
        <row r="136">
          <cell r="E136" t="str">
            <v>NUMBER</v>
          </cell>
          <cell r="F136" t="str">
            <v>INCREASE</v>
          </cell>
        </row>
        <row r="137">
          <cell r="B137" t="str">
            <v xml:space="preserve"> CUSTOMER CHARGE :</v>
          </cell>
          <cell r="E137" t="str">
            <v>OF BILLS</v>
          </cell>
          <cell r="F137" t="str">
            <v>PER BILL</v>
          </cell>
          <cell r="I137" t="str">
            <v>Bills</v>
          </cell>
        </row>
        <row r="138">
          <cell r="E138">
            <v>336</v>
          </cell>
          <cell r="F138">
            <v>350</v>
          </cell>
          <cell r="G138">
            <v>117600</v>
          </cell>
          <cell r="I138">
            <v>24</v>
          </cell>
          <cell r="J138">
            <v>350</v>
          </cell>
          <cell r="K138">
            <v>8400</v>
          </cell>
        </row>
        <row r="140">
          <cell r="B140" t="str">
            <v>INCREASE TO LGS / TS-2 REMAINING AFTER CUSTOMER CHARGE INCREASE:</v>
          </cell>
          <cell r="G140">
            <v>257669.63811170898</v>
          </cell>
        </row>
        <row r="141">
          <cell r="I141" t="str">
            <v>Volume</v>
          </cell>
          <cell r="K141" t="str">
            <v>Increase</v>
          </cell>
        </row>
        <row r="142">
          <cell r="B142" t="str">
            <v xml:space="preserve"> VOLUMETRIC RATE INCREASE:</v>
          </cell>
          <cell r="C142" t="str">
            <v>NON-GAS</v>
          </cell>
          <cell r="D142" t="str">
            <v>RATIO</v>
          </cell>
          <cell r="E142" t="str">
            <v>VOLUMES</v>
          </cell>
          <cell r="F142" t="str">
            <v>PER MCF</v>
          </cell>
          <cell r="I142" t="str">
            <v>LGS 2-Ind</v>
          </cell>
          <cell r="J142" t="str">
            <v>Rate</v>
          </cell>
          <cell r="K142" t="str">
            <v>LGS 2-Ind</v>
          </cell>
        </row>
        <row r="143">
          <cell r="B143" t="str">
            <v>LGS ADMIN CHARGE</v>
          </cell>
          <cell r="C143">
            <v>66387.951700000005</v>
          </cell>
          <cell r="D143">
            <v>0</v>
          </cell>
          <cell r="E143">
            <v>1052107</v>
          </cell>
          <cell r="F143">
            <v>0</v>
          </cell>
          <cell r="G143">
            <v>0</v>
          </cell>
        </row>
        <row r="144">
          <cell r="B144" t="str">
            <v>DEMAND/SS CHARGE</v>
          </cell>
          <cell r="C144">
            <v>27870.6</v>
          </cell>
          <cell r="D144">
            <v>0</v>
          </cell>
          <cell r="E144">
            <v>92902</v>
          </cell>
          <cell r="F144">
            <v>0</v>
          </cell>
          <cell r="G144">
            <v>0</v>
          </cell>
          <cell r="K144">
            <v>0</v>
          </cell>
        </row>
        <row r="145">
          <cell r="B145" t="str">
            <v>FIRST 20,000</v>
          </cell>
          <cell r="C145">
            <v>1731115.1410999999</v>
          </cell>
          <cell r="D145">
            <v>0.57793649238510825</v>
          </cell>
          <cell r="E145">
            <v>6175937</v>
          </cell>
          <cell r="F145">
            <v>2.41E-2</v>
          </cell>
          <cell r="G145">
            <v>148917</v>
          </cell>
          <cell r="H145">
            <v>0</v>
          </cell>
          <cell r="I145">
            <v>699221</v>
          </cell>
          <cell r="J145">
            <v>2.41E-2</v>
          </cell>
          <cell r="K145">
            <v>16851.2261</v>
          </cell>
        </row>
        <row r="146">
          <cell r="B146" t="str">
            <v>NEXT 80,000</v>
          </cell>
          <cell r="C146">
            <v>1049143.3581000001</v>
          </cell>
          <cell r="D146">
            <v>0.35025875402150491</v>
          </cell>
          <cell r="E146">
            <v>6943371</v>
          </cell>
          <cell r="F146">
            <v>1.2999999999999999E-2</v>
          </cell>
          <cell r="G146">
            <v>90251</v>
          </cell>
          <cell r="I146">
            <v>291587</v>
          </cell>
          <cell r="J146">
            <v>1.2999999999999999E-2</v>
          </cell>
          <cell r="K146">
            <v>3790.6309999999999</v>
          </cell>
        </row>
        <row r="147">
          <cell r="B147" t="str">
            <v>OVER 100,000</v>
          </cell>
          <cell r="C147">
            <v>215079.50750000001</v>
          </cell>
          <cell r="D147">
            <v>7.1804753593386852E-2</v>
          </cell>
          <cell r="E147">
            <v>1530815</v>
          </cell>
          <cell r="F147">
            <v>1.21E-2</v>
          </cell>
          <cell r="G147">
            <v>18502</v>
          </cell>
          <cell r="I147">
            <v>61299</v>
          </cell>
          <cell r="J147">
            <v>1.21E-2</v>
          </cell>
          <cell r="K147">
            <v>741.71789999999999</v>
          </cell>
        </row>
        <row r="148">
          <cell r="B148" t="str">
            <v>TOTAL</v>
          </cell>
          <cell r="C148">
            <v>2995338.0066999998</v>
          </cell>
          <cell r="D148">
            <v>1</v>
          </cell>
          <cell r="E148">
            <v>14650123</v>
          </cell>
          <cell r="G148">
            <v>257670</v>
          </cell>
        </row>
        <row r="149">
          <cell r="I149">
            <v>1052107</v>
          </cell>
          <cell r="K149">
            <v>21383.575000000001</v>
          </cell>
        </row>
        <row r="150">
          <cell r="B150" t="str">
            <v>INCREASE TO LGS / TS-2 REMAINING AFTER VOLUMETRIC INCREASE:</v>
          </cell>
          <cell r="G150">
            <v>-0.36188829102320597</v>
          </cell>
        </row>
        <row r="151">
          <cell r="J151" t="str">
            <v>LGS-2 Ind. Inc</v>
          </cell>
          <cell r="K151">
            <v>29783.575000000001</v>
          </cell>
        </row>
        <row r="152">
          <cell r="J152" t="str">
            <v>TS-2 Ind. Inc</v>
          </cell>
          <cell r="K152">
            <v>345486.06311170897</v>
          </cell>
        </row>
        <row r="153">
          <cell r="J153" t="str">
            <v>Total</v>
          </cell>
          <cell r="K153">
            <v>375269.63811170898</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ortfall"/>
      <sheetName val="Revenue Calculation"/>
      <sheetName val="Payment Calculation"/>
      <sheetName val="Inputs"/>
    </sheetNames>
    <sheetDataSet>
      <sheetData sheetId="0"/>
      <sheetData sheetId="1"/>
      <sheetData sheetId="2">
        <row r="24">
          <cell r="C24">
            <v>15704800</v>
          </cell>
        </row>
        <row r="25">
          <cell r="C25">
            <v>120640</v>
          </cell>
        </row>
      </sheetData>
      <sheetData sheetId="3">
        <row r="4">
          <cell r="B4">
            <v>19768</v>
          </cell>
        </row>
        <row r="5">
          <cell r="B5">
            <v>24451.25</v>
          </cell>
        </row>
        <row r="7">
          <cell r="B7">
            <v>45</v>
          </cell>
        </row>
        <row r="8">
          <cell r="B8">
            <v>2022000</v>
          </cell>
        </row>
        <row r="12">
          <cell r="B12">
            <v>117.58544989650554</v>
          </cell>
        </row>
        <row r="17">
          <cell r="B17">
            <v>187.83333333333212</v>
          </cell>
        </row>
        <row r="32">
          <cell r="B32">
            <v>0</v>
          </cell>
        </row>
        <row r="34">
          <cell r="B34">
            <v>0</v>
          </cell>
        </row>
        <row r="50">
          <cell r="B50">
            <v>272400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3, Pg 6-8"/>
      <sheetName val="Ex 3, Pg 9-10"/>
      <sheetName val="Sch1"/>
      <sheetName val="Sch2"/>
      <sheetName val="Sch3"/>
      <sheetName val="Sch4"/>
      <sheetName val="Sch5"/>
      <sheetName val="Sch5-2"/>
      <sheetName val="Sch5-3"/>
      <sheetName val="Sch6&amp;7"/>
      <sheetName val="Sch8"/>
      <sheetName val="Sch9"/>
      <sheetName val="Sch10"/>
      <sheetName val="Macros"/>
    </sheetNames>
    <sheetDataSet>
      <sheetData sheetId="0" refreshError="1"/>
      <sheetData sheetId="1"/>
      <sheetData sheetId="2">
        <row r="1">
          <cell r="G1" t="str">
            <v>Exhibit No. 3</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illistowerswatson.com/" TargetMode="External"/><Relationship Id="rId1" Type="http://schemas.openxmlformats.org/officeDocument/2006/relationships/hyperlink" Target="mailto:Jason.rohrer@willistowerswatson.com"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4"/>
  <sheetViews>
    <sheetView zoomScaleNormal="100" workbookViewId="0">
      <selection activeCell="R17" sqref="R17"/>
    </sheetView>
  </sheetViews>
  <sheetFormatPr defaultColWidth="9.140625" defaultRowHeight="15"/>
  <cols>
    <col min="1" max="1" width="6.5703125" style="345" customWidth="1"/>
    <col min="2" max="2" width="1.85546875" style="343" customWidth="1"/>
    <col min="3" max="3" width="13" style="343" customWidth="1"/>
    <col min="4" max="4" width="9.140625" style="343"/>
    <col min="5" max="5" width="2" style="343" customWidth="1"/>
    <col min="6" max="6" width="11.140625" style="344" customWidth="1"/>
    <col min="7" max="7" width="10.28515625" style="344" bestFit="1" customWidth="1"/>
    <col min="8" max="8" width="12.28515625" style="344" bestFit="1" customWidth="1"/>
    <col min="9" max="9" width="9.5703125" style="344" bestFit="1" customWidth="1"/>
    <col min="10" max="10" width="11.85546875" style="343" bestFit="1" customWidth="1"/>
    <col min="11" max="11" width="9.140625" style="343"/>
    <col min="12" max="12" width="15.7109375" style="343" bestFit="1" customWidth="1"/>
    <col min="13" max="16384" width="9.140625" style="343"/>
  </cols>
  <sheetData>
    <row r="1" spans="1:12" s="349" customFormat="1" ht="57">
      <c r="A1" s="352" t="s">
        <v>15</v>
      </c>
      <c r="B1" s="352"/>
      <c r="C1" s="352"/>
      <c r="D1" s="352"/>
      <c r="E1" s="352"/>
      <c r="F1" s="353" t="s">
        <v>16</v>
      </c>
      <c r="G1" s="353" t="s">
        <v>17</v>
      </c>
      <c r="H1" s="353" t="s">
        <v>18</v>
      </c>
      <c r="I1" s="353" t="s">
        <v>19</v>
      </c>
      <c r="J1" s="352" t="s">
        <v>20</v>
      </c>
      <c r="K1" s="350"/>
      <c r="L1" s="350" t="s">
        <v>21</v>
      </c>
    </row>
    <row r="2" spans="1:12" ht="24.75" customHeight="1">
      <c r="A2" s="354">
        <v>1</v>
      </c>
      <c r="B2" s="355" t="s">
        <v>3</v>
      </c>
      <c r="C2" s="355"/>
      <c r="D2" s="354"/>
      <c r="E2" s="356"/>
      <c r="F2" s="357"/>
      <c r="G2" s="357"/>
      <c r="H2" s="357"/>
      <c r="I2" s="357"/>
      <c r="J2" s="356"/>
    </row>
    <row r="3" spans="1:12" ht="24.75" customHeight="1">
      <c r="A3" s="354">
        <f t="shared" ref="A3:A9" si="0">1+A2</f>
        <v>2</v>
      </c>
      <c r="B3" s="356" t="s">
        <v>22</v>
      </c>
      <c r="C3" s="356"/>
      <c r="D3" s="354"/>
      <c r="E3" s="356"/>
      <c r="F3" s="357">
        <f>+'Income Statement Summary'!F6-'Income Statement Detail'!D11</f>
        <v>-45830343</v>
      </c>
      <c r="G3" s="357">
        <f>+'Income Statement Summary'!U6</f>
        <v>-3401537.9980281061</v>
      </c>
      <c r="H3" s="357">
        <f>+G3+F3</f>
        <v>-49231880.998028107</v>
      </c>
      <c r="I3" s="357">
        <f>+'Income Statement Summary'!W6</f>
        <v>-9135170</v>
      </c>
      <c r="J3" s="358">
        <f>+I3+H3</f>
        <v>-58367050.998028107</v>
      </c>
    </row>
    <row r="4" spans="1:12" ht="24.75" customHeight="1">
      <c r="A4" s="354">
        <f t="shared" si="0"/>
        <v>3</v>
      </c>
      <c r="B4" s="356" t="s">
        <v>23</v>
      </c>
      <c r="C4" s="356"/>
      <c r="D4" s="354"/>
      <c r="E4" s="356"/>
      <c r="F4" s="359">
        <f>+'Income Statement Detail'!D11</f>
        <v>-82420</v>
      </c>
      <c r="G4" s="359">
        <v>0</v>
      </c>
      <c r="H4" s="359">
        <f>+G4+F4</f>
        <v>-82420</v>
      </c>
      <c r="I4" s="359">
        <v>0</v>
      </c>
      <c r="J4" s="360">
        <f>+I4+H4</f>
        <v>-82420</v>
      </c>
    </row>
    <row r="5" spans="1:12" ht="24.75" customHeight="1">
      <c r="A5" s="354">
        <f t="shared" si="0"/>
        <v>4</v>
      </c>
      <c r="B5" s="361" t="s">
        <v>24</v>
      </c>
      <c r="C5" s="356"/>
      <c r="D5" s="354"/>
      <c r="E5" s="356"/>
      <c r="F5" s="359">
        <f>+F3+F4</f>
        <v>-45912763</v>
      </c>
      <c r="G5" s="359">
        <f t="shared" ref="G5:I5" si="1">+G3+G4</f>
        <v>-3401537.9980281061</v>
      </c>
      <c r="H5" s="359">
        <f t="shared" si="1"/>
        <v>-49314300.998028107</v>
      </c>
      <c r="I5" s="359">
        <f t="shared" si="1"/>
        <v>-9135170</v>
      </c>
      <c r="J5" s="360">
        <f>+I5+H5</f>
        <v>-58449470.998028107</v>
      </c>
    </row>
    <row r="6" spans="1:12" ht="24.75" customHeight="1">
      <c r="A6" s="354">
        <f t="shared" si="0"/>
        <v>5</v>
      </c>
      <c r="B6" s="355" t="s">
        <v>25</v>
      </c>
      <c r="C6" s="362"/>
      <c r="D6" s="354"/>
      <c r="E6" s="356"/>
      <c r="F6" s="357"/>
      <c r="G6" s="357"/>
      <c r="H6" s="357"/>
      <c r="I6" s="357"/>
      <c r="J6" s="356"/>
    </row>
    <row r="7" spans="1:12" ht="24.75" customHeight="1">
      <c r="A7" s="354">
        <f t="shared" si="0"/>
        <v>6</v>
      </c>
      <c r="B7" s="356" t="s">
        <v>26</v>
      </c>
      <c r="C7" s="356"/>
      <c r="D7" s="354"/>
      <c r="E7" s="356"/>
      <c r="F7" s="357">
        <f>+'Income Statement Summary'!F10+'Income Statement Summary'!F7</f>
        <v>27786936</v>
      </c>
      <c r="G7" s="357">
        <f>+'Income Statement Summary'!U7+'Income Statement Summary'!U10</f>
        <v>4041986.7196437111</v>
      </c>
      <c r="H7" s="357">
        <f>+F7+G7</f>
        <v>31828922.719643712</v>
      </c>
      <c r="I7" s="357">
        <v>0</v>
      </c>
      <c r="J7" s="358">
        <f>+I7+H7</f>
        <v>31828922.719643712</v>
      </c>
      <c r="L7" s="348"/>
    </row>
    <row r="8" spans="1:12" ht="24.75" customHeight="1">
      <c r="A8" s="354">
        <f t="shared" si="0"/>
        <v>7</v>
      </c>
      <c r="B8" s="356" t="s">
        <v>27</v>
      </c>
      <c r="C8" s="356"/>
      <c r="D8" s="354"/>
      <c r="E8" s="356"/>
      <c r="F8" s="357">
        <f>+'Income Statement Summary'!F12</f>
        <v>8346047</v>
      </c>
      <c r="G8" s="357">
        <f>+'Income Statement Summary'!U12</f>
        <v>1556983</v>
      </c>
      <c r="H8" s="357">
        <f t="shared" ref="H8:H12" si="2">+F8+G8</f>
        <v>9903030</v>
      </c>
      <c r="I8" s="357">
        <v>0</v>
      </c>
      <c r="J8" s="358">
        <f t="shared" ref="J8:J9" si="3">+I8+H8</f>
        <v>9903030</v>
      </c>
      <c r="K8" s="347"/>
    </row>
    <row r="9" spans="1:12" ht="24.75" customHeight="1">
      <c r="A9" s="354">
        <f t="shared" si="0"/>
        <v>8</v>
      </c>
      <c r="B9" s="356" t="s">
        <v>28</v>
      </c>
      <c r="C9" s="356"/>
      <c r="D9" s="354"/>
      <c r="E9" s="356"/>
      <c r="F9" s="357">
        <f>+'Income Statement Summary'!F14</f>
        <v>3521376</v>
      </c>
      <c r="G9" s="357">
        <f>+'Income Statement Summary'!U14</f>
        <v>371975.25600802293</v>
      </c>
      <c r="H9" s="357">
        <f t="shared" si="2"/>
        <v>3893351.2560080229</v>
      </c>
      <c r="I9" s="357">
        <v>0</v>
      </c>
      <c r="J9" s="358">
        <f t="shared" si="3"/>
        <v>3893351.2560080229</v>
      </c>
      <c r="L9" s="347"/>
    </row>
    <row r="10" spans="1:12" ht="24.75" customHeight="1">
      <c r="A10" s="354">
        <v>9</v>
      </c>
      <c r="B10" s="356" t="s">
        <v>29</v>
      </c>
      <c r="C10" s="356"/>
      <c r="D10" s="354"/>
      <c r="E10" s="356"/>
      <c r="F10" s="359">
        <f>+'Income Statement Summary'!F33</f>
        <v>966765.09500000009</v>
      </c>
      <c r="G10" s="359">
        <f>+'Income Statement Summary'!U33</f>
        <v>-733416.27678799769</v>
      </c>
      <c r="H10" s="359">
        <f t="shared" si="2"/>
        <v>233348.8182120024</v>
      </c>
      <c r="I10" s="363">
        <f>+'Income Statement Summary'!W33</f>
        <v>2279224.915</v>
      </c>
      <c r="J10" s="363">
        <f>+'Income Statement Summary'!X33</f>
        <v>2512573.7332120026</v>
      </c>
      <c r="L10" s="347"/>
    </row>
    <row r="11" spans="1:12" ht="24.75" customHeight="1">
      <c r="A11" s="354">
        <v>10</v>
      </c>
      <c r="B11" s="361" t="s">
        <v>30</v>
      </c>
      <c r="C11" s="356"/>
      <c r="D11" s="354"/>
      <c r="E11" s="356"/>
      <c r="F11" s="364">
        <f>SUM(F7:F10)</f>
        <v>40621124.094999999</v>
      </c>
      <c r="G11" s="364">
        <f>SUM(G7:G10)</f>
        <v>5237528.6988637354</v>
      </c>
      <c r="H11" s="359">
        <f t="shared" si="2"/>
        <v>45858652.793863736</v>
      </c>
      <c r="I11" s="364">
        <f>SUM(I7:I10)</f>
        <v>2279224.915</v>
      </c>
      <c r="J11" s="364">
        <f>SUM(J7:J10)</f>
        <v>48137877.708863735</v>
      </c>
    </row>
    <row r="12" spans="1:12" ht="26.25" customHeight="1">
      <c r="A12" s="354">
        <v>11</v>
      </c>
      <c r="B12" s="361" t="s">
        <v>31</v>
      </c>
      <c r="C12" s="356"/>
      <c r="D12" s="354"/>
      <c r="E12" s="356"/>
      <c r="F12" s="364">
        <f>+F5+F11</f>
        <v>-5291638.9050000012</v>
      </c>
      <c r="G12" s="364">
        <f>+G5+G11</f>
        <v>1835990.7008356294</v>
      </c>
      <c r="H12" s="364">
        <f t="shared" si="2"/>
        <v>-3455648.2041643718</v>
      </c>
      <c r="I12" s="364">
        <f>+I5+I11</f>
        <v>-6855945.085</v>
      </c>
      <c r="J12" s="364">
        <f>+J5+J11</f>
        <v>-10311593.289164372</v>
      </c>
    </row>
    <row r="13" spans="1:12" ht="17.25">
      <c r="D13" s="345"/>
      <c r="H13" s="346"/>
      <c r="I13" s="346"/>
    </row>
    <row r="14" spans="1:12">
      <c r="D14" s="345"/>
    </row>
  </sheetData>
  <pageMargins left="0.75" right="0.75" top="1.54" bottom="1" header="0.5" footer="0.5"/>
  <pageSetup orientation="portrait" verticalDpi="1200"/>
  <headerFooter alignWithMargins="0">
    <oddHeader xml:space="preserve">&amp;C&amp;"Times New Roman,Regular"Delta Natural Gas Company, Inc.
Operating Income Summary
Forecasted Test Period 12 ME 12/31/22
Base Period 12 ME 8/31/21&amp;R&amp;"Times New Roman,Regular"Tab 56 - Schedule C-1
Page 1 of 1
Witness:  John B. Brown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8576"/>
  <sheetViews>
    <sheetView workbookViewId="0">
      <selection activeCell="E10" sqref="E10"/>
    </sheetView>
  </sheetViews>
  <sheetFormatPr defaultRowHeight="15"/>
  <cols>
    <col min="1" max="1" width="22.28515625" style="180" customWidth="1"/>
    <col min="2" max="2" width="12.5703125" style="180" bestFit="1" customWidth="1"/>
    <col min="3" max="3" width="10.5703125" style="180" bestFit="1" customWidth="1"/>
    <col min="4" max="4" width="14" style="180" bestFit="1" customWidth="1"/>
    <col min="5" max="5" width="10.5703125" style="180" bestFit="1" customWidth="1"/>
    <col min="6" max="16384" width="9.140625" style="180"/>
  </cols>
  <sheetData>
    <row r="1" spans="1:8">
      <c r="A1" s="407"/>
      <c r="B1" s="476"/>
      <c r="C1" s="477" t="s">
        <v>32</v>
      </c>
      <c r="D1" s="478"/>
      <c r="E1" s="478"/>
      <c r="F1" s="514" t="s">
        <v>293</v>
      </c>
      <c r="G1" s="514"/>
      <c r="H1" s="428"/>
    </row>
    <row r="2" spans="1:8">
      <c r="A2" s="407"/>
      <c r="B2" s="476"/>
      <c r="C2" s="477" t="s">
        <v>34</v>
      </c>
      <c r="D2" s="478"/>
      <c r="E2" s="478"/>
      <c r="F2" s="514" t="s">
        <v>165</v>
      </c>
      <c r="G2" s="514"/>
      <c r="H2" s="428"/>
    </row>
    <row r="3" spans="1:8">
      <c r="A3" s="407"/>
      <c r="B3" s="476"/>
      <c r="C3" s="477" t="s">
        <v>166</v>
      </c>
      <c r="D3" s="478"/>
      <c r="E3" s="478"/>
      <c r="F3" s="485"/>
      <c r="G3" s="485"/>
      <c r="H3" s="428"/>
    </row>
    <row r="4" spans="1:8">
      <c r="A4" s="407"/>
      <c r="B4" s="476"/>
      <c r="C4" s="477" t="s">
        <v>167</v>
      </c>
      <c r="D4" s="478"/>
      <c r="E4" s="478"/>
      <c r="F4" s="485"/>
      <c r="G4" s="485"/>
      <c r="H4" s="428"/>
    </row>
    <row r="6" spans="1:8">
      <c r="A6" s="407" t="s">
        <v>294</v>
      </c>
      <c r="B6" s="407"/>
      <c r="C6" s="407"/>
      <c r="D6" s="407">
        <v>9473252</v>
      </c>
      <c r="E6" s="407" t="s">
        <v>295</v>
      </c>
      <c r="F6" s="407"/>
      <c r="G6" s="407"/>
    </row>
    <row r="7" spans="1:8" ht="17.25">
      <c r="A7" s="407" t="s">
        <v>296</v>
      </c>
      <c r="B7" s="407"/>
      <c r="C7" s="407"/>
      <c r="D7" s="430">
        <v>7916269</v>
      </c>
      <c r="E7" s="407"/>
      <c r="F7" s="407"/>
      <c r="G7" s="407"/>
    </row>
    <row r="8" spans="1:8">
      <c r="A8" s="407" t="s">
        <v>0</v>
      </c>
      <c r="B8" s="407"/>
      <c r="C8" s="407"/>
      <c r="D8" s="407"/>
      <c r="E8" s="407">
        <f>+D6+-D7</f>
        <v>1556983</v>
      </c>
      <c r="F8" s="407"/>
      <c r="G8" s="407"/>
    </row>
    <row r="9" spans="1:8">
      <c r="A9" s="407"/>
      <c r="B9" s="407"/>
      <c r="C9" s="407"/>
      <c r="D9" s="407"/>
      <c r="E9" s="407"/>
      <c r="F9" s="407"/>
      <c r="G9" s="407"/>
    </row>
    <row r="10" spans="1:8">
      <c r="A10" s="407"/>
      <c r="B10" s="407"/>
      <c r="C10" s="407"/>
      <c r="D10" s="407"/>
      <c r="E10" s="407"/>
      <c r="F10" s="407"/>
      <c r="G10" s="407"/>
    </row>
    <row r="11" spans="1:8">
      <c r="A11" s="407"/>
      <c r="B11" s="407"/>
      <c r="C11" s="407"/>
      <c r="D11" s="407"/>
      <c r="E11" s="407"/>
      <c r="F11" s="407"/>
      <c r="G11" s="407"/>
    </row>
    <row r="12" spans="1:8">
      <c r="A12" s="407" t="s">
        <v>8</v>
      </c>
      <c r="B12" s="407"/>
      <c r="C12" s="407"/>
      <c r="D12" s="407"/>
      <c r="E12" s="407"/>
      <c r="F12" s="407"/>
      <c r="G12" s="407"/>
    </row>
    <row r="13" spans="1:8">
      <c r="A13" s="407"/>
      <c r="B13" s="407"/>
      <c r="C13" s="407"/>
      <c r="D13" s="407"/>
      <c r="E13" s="407"/>
      <c r="F13" s="407"/>
      <c r="G13" s="407"/>
    </row>
    <row r="14" spans="1:8">
      <c r="A14" s="407" t="s">
        <v>297</v>
      </c>
      <c r="B14" s="407"/>
      <c r="C14" s="407">
        <v>2924425</v>
      </c>
      <c r="D14" s="407"/>
      <c r="E14" s="407"/>
      <c r="F14" s="407"/>
      <c r="G14" s="407"/>
    </row>
    <row r="15" spans="1:8">
      <c r="A15" s="407"/>
      <c r="B15" s="407"/>
      <c r="C15" s="407"/>
      <c r="D15" s="407"/>
      <c r="E15" s="407"/>
      <c r="F15" s="407"/>
      <c r="G15" s="407"/>
    </row>
    <row r="16" spans="1:8">
      <c r="A16" s="407" t="s">
        <v>298</v>
      </c>
      <c r="B16" s="407"/>
      <c r="C16" s="407"/>
      <c r="D16" s="407"/>
      <c r="E16" s="407"/>
      <c r="F16" s="407"/>
      <c r="G16" s="407"/>
    </row>
    <row r="17" spans="1:7">
      <c r="A17" s="407" t="s">
        <v>299</v>
      </c>
      <c r="B17" s="407">
        <v>268574121</v>
      </c>
      <c r="C17" s="407"/>
      <c r="D17" s="407"/>
      <c r="E17" s="407"/>
      <c r="F17" s="407"/>
      <c r="G17" s="407"/>
    </row>
    <row r="18" spans="1:7" ht="17.25">
      <c r="A18" s="407" t="s">
        <v>300</v>
      </c>
      <c r="B18" s="430">
        <v>294053370</v>
      </c>
      <c r="C18" s="407"/>
      <c r="D18" s="407"/>
      <c r="E18" s="407"/>
      <c r="F18" s="407"/>
      <c r="G18" s="407"/>
    </row>
    <row r="19" spans="1:7" ht="17.25">
      <c r="A19" s="407"/>
      <c r="B19" s="430">
        <f>+B18-B17</f>
        <v>25479249</v>
      </c>
      <c r="C19" s="407"/>
      <c r="D19" s="407"/>
      <c r="E19" s="407"/>
      <c r="F19" s="407"/>
      <c r="G19" s="407"/>
    </row>
    <row r="20" spans="1:7">
      <c r="A20" s="407" t="s">
        <v>301</v>
      </c>
      <c r="B20" s="407"/>
      <c r="C20" s="515">
        <f>+B18/B17</f>
        <v>1.0948685930912905</v>
      </c>
      <c r="D20" s="407"/>
      <c r="E20" s="407"/>
      <c r="F20" s="407"/>
      <c r="G20" s="407"/>
    </row>
    <row r="21" spans="1:7">
      <c r="A21" s="407" t="s">
        <v>302</v>
      </c>
      <c r="B21" s="407"/>
      <c r="C21" s="407"/>
      <c r="D21" s="407">
        <f>+C20*C14</f>
        <v>3201861.0853509973</v>
      </c>
      <c r="E21" s="407"/>
      <c r="F21" s="407"/>
      <c r="G21" s="407"/>
    </row>
    <row r="22" spans="1:7">
      <c r="A22" s="407"/>
      <c r="B22" s="407"/>
      <c r="C22" s="407"/>
      <c r="D22" s="407"/>
      <c r="E22" s="407"/>
      <c r="F22" s="407"/>
      <c r="G22" s="407"/>
    </row>
    <row r="23" spans="1:7">
      <c r="A23" s="407" t="s">
        <v>296</v>
      </c>
      <c r="B23" s="407"/>
      <c r="C23" s="407"/>
      <c r="D23" s="407">
        <f>+'PreTax Net Income'!Y196</f>
        <v>2866550</v>
      </c>
      <c r="E23" s="407"/>
      <c r="F23" s="407"/>
      <c r="G23" s="407"/>
    </row>
    <row r="24" spans="1:7" ht="17.25">
      <c r="A24" s="407" t="s">
        <v>0</v>
      </c>
      <c r="B24" s="407"/>
      <c r="C24" s="407"/>
      <c r="D24" s="407"/>
      <c r="E24" s="430">
        <f>+D21-D23</f>
        <v>335311.08535099728</v>
      </c>
      <c r="F24" s="407"/>
      <c r="G24" s="407"/>
    </row>
    <row r="25" spans="1:7" ht="17.25">
      <c r="E25" s="13">
        <f>+E24+E8</f>
        <v>1892294.0853509973</v>
      </c>
    </row>
    <row r="1048576" spans="4:4">
      <c r="D1048576" s="180">
        <f>SUM(D2:D1048575)</f>
        <v>23457932.085350998</v>
      </c>
    </row>
  </sheetData>
  <pageMargins left="0.7" right="0.7" top="0.75" bottom="0.75" header="0.3" footer="0.3"/>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D1" sqref="D1:K5"/>
    </sheetView>
  </sheetViews>
  <sheetFormatPr defaultRowHeight="15"/>
  <cols>
    <col min="5" max="5" width="14" bestFit="1" customWidth="1"/>
    <col min="7" max="7" width="12.7109375" bestFit="1" customWidth="1"/>
    <col min="8" max="8" width="11.5703125" bestFit="1" customWidth="1"/>
  </cols>
  <sheetData>
    <row r="1" spans="1:11" s="179" customFormat="1"/>
    <row r="2" spans="1:11" s="179" customFormat="1"/>
    <row r="3" spans="1:11" s="179" customFormat="1"/>
    <row r="4" spans="1:11" s="179" customFormat="1"/>
    <row r="5" spans="1:11" s="179" customFormat="1"/>
    <row r="6" spans="1:11" ht="54">
      <c r="A6" s="463" t="s">
        <v>15</v>
      </c>
      <c r="B6" s="463"/>
      <c r="C6" s="463"/>
      <c r="D6" s="463"/>
      <c r="E6" s="463" t="s">
        <v>303</v>
      </c>
      <c r="F6" s="464" t="s">
        <v>304</v>
      </c>
      <c r="G6" s="464" t="s">
        <v>305</v>
      </c>
      <c r="H6" s="464" t="s">
        <v>306</v>
      </c>
      <c r="I6" s="179"/>
      <c r="J6" s="179"/>
      <c r="K6" s="179"/>
    </row>
    <row r="7" spans="1:11" ht="15.75">
      <c r="A7" s="475">
        <v>1</v>
      </c>
      <c r="B7" s="322" t="s">
        <v>307</v>
      </c>
      <c r="C7" s="322"/>
      <c r="D7" s="322"/>
      <c r="E7" s="465"/>
      <c r="F7" s="322"/>
      <c r="G7" s="322"/>
      <c r="H7" s="322"/>
      <c r="I7" s="179"/>
      <c r="J7" s="179"/>
      <c r="K7" s="179"/>
    </row>
    <row r="8" spans="1:11" ht="15.75">
      <c r="A8" s="475">
        <v>2</v>
      </c>
      <c r="B8" s="322"/>
      <c r="C8" s="466" t="s">
        <v>308</v>
      </c>
      <c r="D8" s="466"/>
      <c r="E8" s="465">
        <v>71903674.460761786</v>
      </c>
      <c r="F8" s="465"/>
      <c r="G8" s="465"/>
      <c r="H8" s="465"/>
      <c r="I8" s="179"/>
      <c r="J8" s="179"/>
      <c r="K8" s="179"/>
    </row>
    <row r="9" spans="1:11" ht="15.75">
      <c r="A9" s="322"/>
      <c r="B9" s="322"/>
      <c r="C9" s="322"/>
      <c r="D9" s="322"/>
      <c r="E9" s="322"/>
      <c r="F9" s="322"/>
      <c r="G9" s="322"/>
      <c r="H9" s="465"/>
      <c r="I9" s="179"/>
      <c r="J9" s="179"/>
      <c r="K9" s="179"/>
    </row>
    <row r="10" spans="1:11" ht="18">
      <c r="A10" s="475">
        <v>3</v>
      </c>
      <c r="B10" s="322"/>
      <c r="C10" s="322"/>
      <c r="D10" s="322"/>
      <c r="E10" s="467">
        <v>0</v>
      </c>
      <c r="F10" s="465"/>
      <c r="G10" s="465"/>
      <c r="H10" s="465"/>
      <c r="I10" s="179"/>
      <c r="J10" s="179"/>
      <c r="K10" s="179"/>
    </row>
    <row r="11" spans="1:11" ht="15.75">
      <c r="A11" s="475">
        <v>4</v>
      </c>
      <c r="B11" s="322" t="s">
        <v>307</v>
      </c>
      <c r="C11" s="322"/>
      <c r="D11" s="322"/>
      <c r="E11" s="465">
        <f>SUM(E8:E10)</f>
        <v>71903674.460761786</v>
      </c>
      <c r="F11" s="468">
        <f>+E11/E$17</f>
        <v>0.51758468576618333</v>
      </c>
      <c r="G11" s="469">
        <v>0.1095</v>
      </c>
      <c r="H11" s="469">
        <f>+F11*G11</f>
        <v>5.6675523091397076E-2</v>
      </c>
      <c r="I11" s="179"/>
      <c r="J11" s="179"/>
      <c r="K11" s="179"/>
    </row>
    <row r="12" spans="1:11" ht="15.75">
      <c r="A12" s="475"/>
      <c r="B12" s="322"/>
      <c r="C12" s="322"/>
      <c r="D12" s="322"/>
      <c r="E12" s="465"/>
      <c r="F12" s="470"/>
      <c r="G12" s="465"/>
      <c r="H12" s="469"/>
      <c r="I12" s="179"/>
      <c r="J12" s="179"/>
      <c r="K12" s="179"/>
    </row>
    <row r="13" spans="1:11" ht="15.75">
      <c r="A13" s="475">
        <v>5</v>
      </c>
      <c r="B13" s="322" t="s">
        <v>309</v>
      </c>
      <c r="C13" s="322"/>
      <c r="D13" s="322"/>
      <c r="E13" s="465">
        <v>67017890.334615402</v>
      </c>
      <c r="F13" s="468">
        <f>+E13/E$17</f>
        <v>0.48241531423381662</v>
      </c>
      <c r="G13" s="469">
        <v>4.108949243508371E-2</v>
      </c>
      <c r="H13" s="469">
        <f>+F13*G13</f>
        <v>1.9822200404778938E-2</v>
      </c>
      <c r="I13" s="179"/>
      <c r="J13" s="179"/>
      <c r="K13" s="179"/>
    </row>
    <row r="14" spans="1:11" ht="15.75">
      <c r="A14" s="475"/>
      <c r="B14" s="322"/>
      <c r="C14" s="322"/>
      <c r="D14" s="322"/>
      <c r="E14" s="465"/>
      <c r="F14" s="470"/>
      <c r="G14" s="469"/>
      <c r="H14" s="469"/>
      <c r="I14" s="179"/>
      <c r="J14" s="179"/>
      <c r="K14" s="179"/>
    </row>
    <row r="15" spans="1:11" ht="18">
      <c r="A15" s="475">
        <v>6</v>
      </c>
      <c r="B15" s="322" t="s">
        <v>310</v>
      </c>
      <c r="C15" s="322"/>
      <c r="D15" s="322"/>
      <c r="E15" s="467">
        <v>0</v>
      </c>
      <c r="F15" s="468">
        <f>+E15/E$17</f>
        <v>0</v>
      </c>
      <c r="G15" s="469">
        <v>0</v>
      </c>
      <c r="H15" s="471">
        <f>+F15*G15</f>
        <v>0</v>
      </c>
      <c r="I15" s="179"/>
      <c r="J15" s="179"/>
      <c r="K15" s="179"/>
    </row>
    <row r="16" spans="1:11" ht="15.75">
      <c r="A16" s="475"/>
      <c r="B16" s="322"/>
      <c r="C16" s="322"/>
      <c r="D16" s="322"/>
      <c r="E16" s="465"/>
      <c r="F16" s="465"/>
      <c r="G16" s="465"/>
      <c r="H16" s="469"/>
      <c r="I16" s="179"/>
      <c r="J16" s="179"/>
      <c r="K16" s="179"/>
    </row>
    <row r="17" spans="1:9" ht="18">
      <c r="A17" s="475">
        <v>7</v>
      </c>
      <c r="B17" s="322"/>
      <c r="C17" s="322"/>
      <c r="D17" s="322"/>
      <c r="E17" s="472">
        <f>SUM(E11:E15)</f>
        <v>138921564.79537719</v>
      </c>
      <c r="F17" s="465"/>
      <c r="G17" s="465"/>
      <c r="H17" s="473">
        <f>SUM(H11:H15)</f>
        <v>7.6497723496176007E-2</v>
      </c>
      <c r="I17" s="179"/>
    </row>
    <row r="18" spans="1:9" ht="18">
      <c r="A18" s="475"/>
      <c r="B18" s="322"/>
      <c r="C18" s="322"/>
      <c r="D18" s="322"/>
      <c r="E18" s="472"/>
      <c r="F18" s="465"/>
      <c r="G18" s="465"/>
      <c r="H18" s="473"/>
      <c r="I18" s="179"/>
    </row>
    <row r="19" spans="1:9" ht="18">
      <c r="A19" s="504"/>
      <c r="B19" s="491"/>
      <c r="C19" s="491"/>
      <c r="D19" s="491"/>
      <c r="E19" s="492"/>
      <c r="F19" s="493"/>
      <c r="G19" s="493"/>
      <c r="H19" s="494"/>
      <c r="I19" s="495"/>
    </row>
    <row r="20" spans="1:9" ht="15.75">
      <c r="A20" s="504"/>
      <c r="B20" s="535" t="s">
        <v>311</v>
      </c>
      <c r="C20" s="535"/>
      <c r="D20" s="535"/>
      <c r="E20" s="535"/>
      <c r="F20" s="535"/>
      <c r="G20" s="535"/>
      <c r="H20" s="535"/>
      <c r="I20" s="495"/>
    </row>
    <row r="21" spans="1:9" ht="15.75">
      <c r="A21" s="504"/>
      <c r="B21" s="491"/>
      <c r="C21" s="491"/>
      <c r="D21" s="491"/>
      <c r="E21" s="491"/>
      <c r="F21" s="491"/>
      <c r="G21" s="493"/>
      <c r="H21" s="493"/>
      <c r="I21" s="495"/>
    </row>
    <row r="22" spans="1:9" ht="15.75">
      <c r="A22" s="504"/>
      <c r="B22" s="496"/>
      <c r="C22" s="496"/>
      <c r="D22" s="496"/>
      <c r="E22" s="496"/>
      <c r="F22" s="491"/>
      <c r="G22" s="493"/>
      <c r="H22" s="493"/>
      <c r="I22" s="495"/>
    </row>
    <row r="23" spans="1:9" ht="15.75">
      <c r="A23" s="504">
        <v>8</v>
      </c>
      <c r="B23" s="496"/>
      <c r="C23" s="497">
        <v>4.2599999999999999E-2</v>
      </c>
      <c r="D23" s="498" t="s">
        <v>312</v>
      </c>
      <c r="E23" s="496"/>
      <c r="F23" s="491"/>
      <c r="G23" s="493">
        <v>41384615.384615384</v>
      </c>
      <c r="H23" s="493">
        <f>+G23*C23</f>
        <v>1762984.6153846153</v>
      </c>
      <c r="I23" s="495"/>
    </row>
    <row r="24" spans="1:9" ht="15.75">
      <c r="A24" s="504"/>
      <c r="B24" s="496"/>
      <c r="C24" s="497"/>
      <c r="D24" s="496"/>
      <c r="E24" s="496"/>
      <c r="F24" s="491"/>
      <c r="G24" s="493"/>
      <c r="H24" s="493"/>
      <c r="I24" s="495"/>
    </row>
    <row r="25" spans="1:9" ht="15.75">
      <c r="A25" s="504">
        <v>9</v>
      </c>
      <c r="B25" s="496"/>
      <c r="C25" s="497">
        <v>4.1000000000000002E-2</v>
      </c>
      <c r="D25" s="498" t="s">
        <v>312</v>
      </c>
      <c r="E25" s="496"/>
      <c r="F25" s="491"/>
      <c r="G25" s="493">
        <v>181200</v>
      </c>
      <c r="H25" s="493">
        <f>+G25*C25</f>
        <v>7429.2000000000007</v>
      </c>
      <c r="I25" s="495"/>
    </row>
    <row r="26" spans="1:9" ht="15.75">
      <c r="A26" s="504">
        <v>10</v>
      </c>
      <c r="B26" s="496"/>
      <c r="C26" s="497">
        <v>4.2500000000000003E-2</v>
      </c>
      <c r="D26" s="498" t="s">
        <v>312</v>
      </c>
      <c r="E26" s="496"/>
      <c r="F26" s="491"/>
      <c r="G26" s="493">
        <v>137600</v>
      </c>
      <c r="H26" s="493">
        <f>+G26*C26</f>
        <v>5848</v>
      </c>
      <c r="I26" s="495"/>
    </row>
    <row r="27" spans="1:9" ht="15.75">
      <c r="A27" s="504"/>
      <c r="B27" s="496"/>
      <c r="C27" s="497"/>
      <c r="D27" s="496"/>
      <c r="E27" s="496"/>
      <c r="F27" s="491"/>
      <c r="G27" s="493"/>
      <c r="H27" s="493"/>
      <c r="I27" s="495"/>
    </row>
    <row r="28" spans="1:9" ht="15.75">
      <c r="A28" s="504">
        <v>11</v>
      </c>
      <c r="B28" s="496"/>
      <c r="C28" s="497">
        <v>3.0970000000000001E-2</v>
      </c>
      <c r="D28" s="498" t="s">
        <v>312</v>
      </c>
      <c r="E28" s="496"/>
      <c r="F28" s="491"/>
      <c r="G28" s="493">
        <v>25314474.950000018</v>
      </c>
      <c r="H28" s="493">
        <f>+G28*C28</f>
        <v>783989.28920150059</v>
      </c>
      <c r="I28" s="495"/>
    </row>
    <row r="29" spans="1:9" ht="15.75">
      <c r="A29" s="504"/>
      <c r="B29" s="496"/>
      <c r="C29" s="497"/>
      <c r="D29" s="496"/>
      <c r="E29" s="496"/>
      <c r="F29" s="491"/>
      <c r="G29" s="493"/>
      <c r="H29" s="493"/>
      <c r="I29" s="495"/>
    </row>
    <row r="30" spans="1:9" ht="15.75">
      <c r="A30" s="504"/>
      <c r="B30" s="496"/>
      <c r="C30" s="497"/>
      <c r="D30" s="496"/>
      <c r="E30" s="496"/>
      <c r="F30" s="491"/>
      <c r="G30" s="493"/>
      <c r="H30" s="493"/>
      <c r="I30" s="495"/>
    </row>
    <row r="31" spans="1:9" ht="18">
      <c r="A31" s="504"/>
      <c r="B31" s="496"/>
      <c r="C31" s="497"/>
      <c r="D31" s="498"/>
      <c r="E31" s="496"/>
      <c r="F31" s="491"/>
      <c r="G31" s="499">
        <v>0</v>
      </c>
      <c r="H31" s="499">
        <v>0</v>
      </c>
      <c r="I31" s="495"/>
    </row>
    <row r="32" spans="1:9" ht="15.75">
      <c r="A32" s="504"/>
      <c r="B32" s="496"/>
      <c r="C32" s="496"/>
      <c r="D32" s="496"/>
      <c r="E32" s="496"/>
      <c r="F32" s="491"/>
      <c r="G32" s="493">
        <f>SUM(G22:G30)</f>
        <v>67017890.334615402</v>
      </c>
      <c r="H32" s="493">
        <f>SUM(H22:H30)</f>
        <v>2560251.104586116</v>
      </c>
      <c r="I32" s="495"/>
    </row>
    <row r="33" spans="1:9" ht="18">
      <c r="A33" s="504">
        <v>12</v>
      </c>
      <c r="B33" s="496"/>
      <c r="C33" s="496" t="s">
        <v>313</v>
      </c>
      <c r="D33" s="496"/>
      <c r="E33" s="496"/>
      <c r="F33" s="491"/>
      <c r="G33" s="500"/>
      <c r="H33" s="499">
        <v>193479.99333333335</v>
      </c>
      <c r="I33" s="495"/>
    </row>
    <row r="34" spans="1:9" ht="18">
      <c r="A34" s="504">
        <v>13</v>
      </c>
      <c r="B34" s="496"/>
      <c r="C34" s="496" t="s">
        <v>314</v>
      </c>
      <c r="D34" s="496"/>
      <c r="E34" s="496"/>
      <c r="F34" s="491"/>
      <c r="G34" s="493"/>
      <c r="H34" s="499">
        <f>+H32+H33</f>
        <v>2753731.0979194492</v>
      </c>
      <c r="I34" s="495"/>
    </row>
    <row r="35" spans="1:9" ht="18">
      <c r="A35" s="504">
        <v>14</v>
      </c>
      <c r="B35" s="496"/>
      <c r="C35" s="496" t="s">
        <v>315</v>
      </c>
      <c r="D35" s="496"/>
      <c r="E35" s="496"/>
      <c r="F35" s="491"/>
      <c r="G35" s="492">
        <f>G32</f>
        <v>67017890.334615402</v>
      </c>
      <c r="H35" s="494">
        <f>+H34/G35</f>
        <v>4.108949243508371E-2</v>
      </c>
      <c r="I35" s="495"/>
    </row>
    <row r="36" spans="1:9" ht="15.75">
      <c r="A36" s="475"/>
      <c r="B36" s="466"/>
      <c r="C36" s="466"/>
      <c r="D36" s="466"/>
      <c r="E36" s="466"/>
      <c r="F36" s="322"/>
      <c r="G36" s="322"/>
      <c r="H36" s="322"/>
      <c r="I36" s="179"/>
    </row>
    <row r="37" spans="1:9" ht="15.75">
      <c r="A37" s="475"/>
      <c r="B37" s="179"/>
      <c r="C37" s="179"/>
      <c r="D37" s="179"/>
      <c r="E37" s="179"/>
      <c r="F37" s="179"/>
      <c r="G37" s="179"/>
      <c r="H37" s="179"/>
      <c r="I37" s="179"/>
    </row>
    <row r="38" spans="1:9" ht="15.75">
      <c r="A38" s="475"/>
      <c r="B38" s="179"/>
      <c r="C38" s="179"/>
      <c r="D38" s="179"/>
      <c r="E38" s="179"/>
      <c r="F38" s="179"/>
      <c r="G38" s="179"/>
      <c r="H38" s="179"/>
      <c r="I38" s="179"/>
    </row>
    <row r="39" spans="1:9" ht="15.75">
      <c r="A39" s="475"/>
      <c r="B39" s="179"/>
      <c r="C39" s="179"/>
      <c r="D39" s="179"/>
      <c r="E39" s="179"/>
      <c r="F39" s="179"/>
      <c r="G39" s="179"/>
      <c r="H39" s="179"/>
      <c r="I39" s="179"/>
    </row>
    <row r="40" spans="1:9" ht="15.75">
      <c r="A40" s="475"/>
      <c r="B40" s="322"/>
      <c r="C40" s="322"/>
      <c r="D40" s="322"/>
      <c r="E40" s="322"/>
      <c r="F40" s="322"/>
      <c r="G40" s="465"/>
      <c r="H40" s="465"/>
      <c r="I40" s="179"/>
    </row>
    <row r="41" spans="1:9" ht="15.75">
      <c r="A41" s="475">
        <v>15</v>
      </c>
      <c r="B41" s="322" t="s">
        <v>316</v>
      </c>
      <c r="C41" s="322"/>
      <c r="D41" s="322"/>
      <c r="E41" s="322"/>
      <c r="F41" s="322"/>
      <c r="G41" s="322"/>
      <c r="H41" s="474">
        <v>2753731.0979194492</v>
      </c>
      <c r="I41" s="179"/>
    </row>
    <row r="42" spans="1:9" ht="18">
      <c r="A42" s="475">
        <v>16</v>
      </c>
      <c r="B42" s="322" t="s">
        <v>317</v>
      </c>
      <c r="C42" s="322"/>
      <c r="D42" s="322"/>
      <c r="E42" s="322"/>
      <c r="F42" s="322"/>
      <c r="G42" s="322"/>
      <c r="H42" s="467">
        <v>2383593.88</v>
      </c>
      <c r="I42" s="179"/>
    </row>
    <row r="43" spans="1:9" ht="18">
      <c r="A43" s="475">
        <v>17</v>
      </c>
      <c r="B43" s="322" t="s">
        <v>0</v>
      </c>
      <c r="C43" s="322"/>
      <c r="D43" s="322"/>
      <c r="E43" s="322"/>
      <c r="F43" s="322"/>
      <c r="G43" s="322"/>
      <c r="H43" s="472">
        <f>+H41-H42</f>
        <v>370137.21791944932</v>
      </c>
      <c r="I43" s="179"/>
    </row>
  </sheetData>
  <mergeCells count="1">
    <mergeCell ref="B20:H20"/>
  </mergeCells>
  <pageMargins left="0.7" right="0.7" top="0.75" bottom="0.75" header="0.3" footer="0.3"/>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workbookViewId="0">
      <selection activeCell="A15" sqref="A15"/>
    </sheetView>
  </sheetViews>
  <sheetFormatPr defaultRowHeight="15"/>
  <cols>
    <col min="1" max="1" width="27.28515625" bestFit="1" customWidth="1"/>
    <col min="2" max="2" width="10.85546875" customWidth="1"/>
    <col min="3" max="3" width="25.140625" bestFit="1" customWidth="1"/>
    <col min="4" max="4" width="13.42578125" bestFit="1" customWidth="1"/>
    <col min="5" max="5" width="11.5703125" style="1" bestFit="1" customWidth="1"/>
  </cols>
  <sheetData>
    <row r="1" spans="1:10" s="179" customFormat="1">
      <c r="A1" s="399"/>
      <c r="B1" s="399"/>
      <c r="C1" s="407"/>
      <c r="D1" s="476"/>
      <c r="E1" s="477" t="s">
        <v>32</v>
      </c>
      <c r="F1" s="478"/>
      <c r="G1" s="478"/>
      <c r="H1" s="514" t="s">
        <v>318</v>
      </c>
      <c r="I1" s="514"/>
      <c r="J1" s="428"/>
    </row>
    <row r="2" spans="1:10" ht="18.75">
      <c r="A2" s="516"/>
      <c r="B2" s="501"/>
      <c r="C2" s="407"/>
      <c r="D2" s="476"/>
      <c r="E2" s="477" t="s">
        <v>34</v>
      </c>
      <c r="F2" s="478"/>
      <c r="G2" s="478"/>
      <c r="H2" s="514" t="s">
        <v>165</v>
      </c>
      <c r="I2" s="514"/>
      <c r="J2" s="428"/>
    </row>
    <row r="3" spans="1:10">
      <c r="A3" s="516"/>
      <c r="B3" s="516"/>
      <c r="C3" s="407"/>
      <c r="D3" s="476"/>
      <c r="E3" s="477" t="s">
        <v>166</v>
      </c>
      <c r="F3" s="478"/>
      <c r="G3" s="478"/>
      <c r="H3" s="517"/>
      <c r="I3" s="485"/>
      <c r="J3" s="428"/>
    </row>
    <row r="4" spans="1:10">
      <c r="A4" s="516"/>
      <c r="B4" s="516"/>
      <c r="C4" s="407"/>
      <c r="D4" s="476"/>
      <c r="E4" s="477" t="s">
        <v>167</v>
      </c>
      <c r="F4" s="478"/>
      <c r="G4" s="478"/>
      <c r="H4" s="517"/>
      <c r="I4" s="485"/>
      <c r="J4" s="428"/>
    </row>
    <row r="5" spans="1:10">
      <c r="A5" s="516"/>
      <c r="B5" s="516"/>
      <c r="C5" s="399"/>
      <c r="D5" s="399"/>
      <c r="E5" s="399"/>
      <c r="F5" s="399"/>
      <c r="G5" s="399"/>
      <c r="H5" s="399"/>
      <c r="I5" s="179"/>
      <c r="J5" s="179"/>
    </row>
    <row r="6" spans="1:10">
      <c r="A6" s="516"/>
      <c r="B6" s="516" t="s">
        <v>319</v>
      </c>
      <c r="C6" s="518"/>
      <c r="D6" s="516"/>
      <c r="E6" s="519"/>
      <c r="F6" s="399"/>
      <c r="G6" s="399"/>
      <c r="H6" s="399"/>
      <c r="I6" s="179"/>
      <c r="J6" s="179"/>
    </row>
    <row r="7" spans="1:10">
      <c r="A7" s="516"/>
      <c r="B7" s="516" t="s">
        <v>320</v>
      </c>
      <c r="C7" s="518"/>
      <c r="D7" s="516" t="s">
        <v>321</v>
      </c>
      <c r="E7" s="519" t="s">
        <v>322</v>
      </c>
      <c r="F7" s="399"/>
      <c r="G7" s="399"/>
      <c r="H7" s="399"/>
      <c r="I7" s="179"/>
      <c r="J7" s="179"/>
    </row>
    <row r="8" spans="1:10">
      <c r="A8" s="520" t="s">
        <v>323</v>
      </c>
      <c r="B8" s="521" t="s">
        <v>324</v>
      </c>
      <c r="C8" s="520" t="s">
        <v>325</v>
      </c>
      <c r="D8" s="516" t="s">
        <v>326</v>
      </c>
      <c r="E8" s="519" t="s">
        <v>327</v>
      </c>
      <c r="F8" s="399"/>
      <c r="G8" s="399"/>
      <c r="H8" s="399"/>
      <c r="I8" s="179"/>
      <c r="J8" s="179"/>
    </row>
    <row r="9" spans="1:10">
      <c r="A9" s="516" t="s">
        <v>328</v>
      </c>
      <c r="B9" s="516">
        <v>400</v>
      </c>
      <c r="C9" s="522" t="s">
        <v>329</v>
      </c>
      <c r="D9" s="516" t="s">
        <v>330</v>
      </c>
      <c r="E9" s="519">
        <v>54000</v>
      </c>
      <c r="F9" s="399"/>
      <c r="G9" s="399"/>
      <c r="H9" s="399"/>
      <c r="I9" s="179"/>
      <c r="J9" s="179"/>
    </row>
    <row r="10" spans="1:10">
      <c r="A10" s="518"/>
      <c r="B10" s="502"/>
      <c r="C10" s="522"/>
      <c r="D10" s="516"/>
      <c r="E10" s="519"/>
      <c r="F10" s="399"/>
      <c r="G10" s="399"/>
      <c r="H10" s="399"/>
      <c r="I10" s="179"/>
      <c r="J10" s="179"/>
    </row>
    <row r="11" spans="1:10">
      <c r="A11" s="518" t="s">
        <v>331</v>
      </c>
      <c r="B11" s="523">
        <v>200</v>
      </c>
      <c r="C11" s="524" t="s">
        <v>332</v>
      </c>
      <c r="D11" s="516" t="s">
        <v>333</v>
      </c>
      <c r="E11" s="519">
        <v>18000</v>
      </c>
      <c r="F11" s="399"/>
      <c r="G11" s="399"/>
      <c r="H11" s="399"/>
      <c r="I11" s="179"/>
      <c r="J11" s="179"/>
    </row>
    <row r="12" spans="1:10">
      <c r="A12" s="518" t="s">
        <v>334</v>
      </c>
      <c r="B12" s="523"/>
      <c r="C12" s="524"/>
      <c r="D12" s="516"/>
      <c r="E12" s="519"/>
      <c r="F12" s="399"/>
      <c r="G12" s="399"/>
      <c r="H12" s="399"/>
      <c r="I12" s="179"/>
      <c r="J12" s="179"/>
    </row>
    <row r="13" spans="1:10">
      <c r="A13" s="518"/>
      <c r="B13" s="503"/>
      <c r="C13" s="524"/>
      <c r="D13" s="516"/>
      <c r="E13" s="519"/>
      <c r="F13" s="399"/>
      <c r="G13" s="399"/>
      <c r="H13" s="399"/>
      <c r="I13" s="179"/>
      <c r="J13" s="179"/>
    </row>
    <row r="14" spans="1:10">
      <c r="A14" s="518" t="s">
        <v>335</v>
      </c>
      <c r="B14" s="523"/>
      <c r="C14" s="524" t="s">
        <v>336</v>
      </c>
      <c r="D14" s="516" t="s">
        <v>337</v>
      </c>
      <c r="E14" s="519">
        <v>44000</v>
      </c>
      <c r="F14" s="399"/>
      <c r="G14" s="399"/>
      <c r="H14" s="399"/>
      <c r="I14" s="179"/>
      <c r="J14" s="179"/>
    </row>
    <row r="15" spans="1:10">
      <c r="A15" s="518"/>
      <c r="B15" s="516"/>
      <c r="C15" s="516"/>
      <c r="D15" s="516"/>
      <c r="E15" s="519"/>
      <c r="F15" s="399"/>
      <c r="G15" s="399"/>
      <c r="H15" s="399"/>
      <c r="I15" s="179"/>
      <c r="J15" s="179"/>
    </row>
    <row r="16" spans="1:10">
      <c r="A16" s="518"/>
      <c r="B16" s="525"/>
      <c r="C16" s="522"/>
      <c r="D16" s="516"/>
      <c r="E16" s="519"/>
      <c r="F16" s="399"/>
      <c r="G16" s="399"/>
      <c r="H16" s="399"/>
      <c r="I16" s="179"/>
      <c r="J16" s="179"/>
    </row>
    <row r="17" spans="1:8">
      <c r="A17" s="518" t="s">
        <v>338</v>
      </c>
      <c r="B17" s="525"/>
      <c r="C17" s="522" t="s">
        <v>336</v>
      </c>
      <c r="D17" s="516" t="s">
        <v>337</v>
      </c>
      <c r="E17" s="519">
        <v>44000</v>
      </c>
      <c r="F17" s="399"/>
      <c r="G17" s="399"/>
      <c r="H17" s="399"/>
    </row>
    <row r="18" spans="1:8">
      <c r="A18" s="518"/>
      <c r="B18" s="502"/>
      <c r="C18" s="522"/>
      <c r="D18" s="516"/>
      <c r="E18" s="519"/>
      <c r="F18" s="399"/>
      <c r="G18" s="399"/>
      <c r="H18" s="399"/>
    </row>
    <row r="19" spans="1:8">
      <c r="A19" s="518" t="s">
        <v>339</v>
      </c>
      <c r="B19" s="516"/>
      <c r="C19" s="516" t="s">
        <v>336</v>
      </c>
      <c r="D19" s="516" t="s">
        <v>337</v>
      </c>
      <c r="E19" s="519">
        <v>40000</v>
      </c>
      <c r="F19" s="399"/>
      <c r="G19" s="399"/>
      <c r="H19" s="399"/>
    </row>
    <row r="20" spans="1:8">
      <c r="A20" s="518"/>
      <c r="B20" s="516"/>
      <c r="C20" s="516"/>
      <c r="D20" s="516"/>
      <c r="E20" s="519"/>
      <c r="F20" s="399"/>
      <c r="G20" s="399"/>
      <c r="H20" s="399"/>
    </row>
    <row r="21" spans="1:8">
      <c r="A21" s="518" t="s">
        <v>340</v>
      </c>
      <c r="B21" s="516"/>
      <c r="C21" s="522" t="s">
        <v>341</v>
      </c>
      <c r="D21" s="516" t="s">
        <v>342</v>
      </c>
      <c r="E21" s="519">
        <v>70000</v>
      </c>
      <c r="F21" s="399"/>
      <c r="G21" s="399"/>
      <c r="H21" s="399"/>
    </row>
    <row r="22" spans="1:8">
      <c r="A22" s="518"/>
      <c r="B22" s="516"/>
      <c r="C22" s="522"/>
      <c r="D22" s="516"/>
      <c r="E22" s="519"/>
      <c r="F22" s="399"/>
      <c r="G22" s="399"/>
      <c r="H22" s="399"/>
    </row>
    <row r="23" spans="1:8">
      <c r="A23" s="518" t="s">
        <v>343</v>
      </c>
      <c r="B23" s="516"/>
      <c r="C23" s="522" t="s">
        <v>344</v>
      </c>
      <c r="D23" s="516" t="s">
        <v>345</v>
      </c>
      <c r="E23" s="519">
        <v>200000</v>
      </c>
      <c r="F23" s="399"/>
      <c r="G23" s="399"/>
      <c r="H23" s="399"/>
    </row>
    <row r="24" spans="1:8">
      <c r="A24" s="518"/>
      <c r="B24" s="516"/>
      <c r="C24" s="522"/>
      <c r="D24" s="516"/>
      <c r="E24" s="519"/>
      <c r="F24" s="399"/>
      <c r="G24" s="399"/>
      <c r="H24" s="399"/>
    </row>
    <row r="25" spans="1:8">
      <c r="A25" s="518" t="s">
        <v>346</v>
      </c>
      <c r="B25" s="516"/>
      <c r="C25" s="516" t="s">
        <v>336</v>
      </c>
      <c r="D25" s="516" t="s">
        <v>337</v>
      </c>
      <c r="E25" s="519">
        <v>30000</v>
      </c>
      <c r="F25" s="399"/>
      <c r="G25" s="399"/>
      <c r="H25" s="399"/>
    </row>
    <row r="26" spans="1:8">
      <c r="A26" s="518"/>
      <c r="B26" s="516"/>
      <c r="C26" s="522"/>
      <c r="D26" s="516"/>
      <c r="E26" s="519"/>
      <c r="F26" s="399"/>
      <c r="G26" s="399"/>
      <c r="H26" s="399"/>
    </row>
    <row r="27" spans="1:8">
      <c r="A27" s="518" t="s">
        <v>347</v>
      </c>
      <c r="B27" s="516"/>
      <c r="C27" s="516" t="s">
        <v>348</v>
      </c>
      <c r="D27" s="516" t="s">
        <v>349</v>
      </c>
      <c r="E27" s="519">
        <v>30000</v>
      </c>
      <c r="F27" s="399"/>
      <c r="G27" s="399"/>
      <c r="H27" s="399"/>
    </row>
    <row r="28" spans="1:8">
      <c r="A28" s="518"/>
      <c r="B28" s="516"/>
      <c r="C28" s="516"/>
      <c r="D28" s="516"/>
      <c r="E28" s="519"/>
      <c r="F28" s="399"/>
      <c r="G28" s="399"/>
      <c r="H28" s="399"/>
    </row>
    <row r="29" spans="1:8">
      <c r="A29" s="518" t="s">
        <v>350</v>
      </c>
      <c r="B29" s="516"/>
      <c r="C29" s="516"/>
      <c r="D29" s="516"/>
      <c r="E29" s="519">
        <v>14000</v>
      </c>
      <c r="F29" s="399"/>
      <c r="G29" s="399"/>
      <c r="H29" s="399"/>
    </row>
    <row r="30" spans="1:8">
      <c r="A30" s="518"/>
      <c r="B30" s="516"/>
      <c r="C30" s="516"/>
      <c r="D30" s="516"/>
      <c r="E30" s="519"/>
      <c r="F30" s="399"/>
      <c r="G30" s="399"/>
      <c r="H30" s="399"/>
    </row>
    <row r="31" spans="1:8">
      <c r="A31" s="518" t="s">
        <v>351</v>
      </c>
      <c r="B31" s="516"/>
      <c r="C31" s="516"/>
      <c r="D31" s="516"/>
      <c r="E31" s="519"/>
      <c r="F31" s="399"/>
      <c r="G31" s="399"/>
      <c r="H31" s="399"/>
    </row>
    <row r="32" spans="1:8">
      <c r="A32" s="518" t="s">
        <v>352</v>
      </c>
      <c r="B32" s="516"/>
      <c r="C32" s="516"/>
      <c r="D32" s="516"/>
      <c r="E32" s="519"/>
      <c r="F32" s="399"/>
      <c r="G32" s="399"/>
      <c r="H32" s="399"/>
    </row>
    <row r="33" spans="1:8">
      <c r="A33" s="518" t="s">
        <v>353</v>
      </c>
      <c r="B33" s="516"/>
      <c r="C33" s="516" t="s">
        <v>354</v>
      </c>
      <c r="D33" s="516" t="s">
        <v>355</v>
      </c>
      <c r="E33" s="519">
        <v>86000</v>
      </c>
      <c r="F33" s="399"/>
      <c r="G33" s="399"/>
      <c r="H33" s="399"/>
    </row>
    <row r="34" spans="1:8">
      <c r="A34" s="518" t="s">
        <v>356</v>
      </c>
      <c r="B34" s="516"/>
      <c r="C34" s="516"/>
      <c r="D34" s="516"/>
      <c r="E34" s="519"/>
      <c r="F34" s="399"/>
      <c r="G34" s="399"/>
      <c r="H34" s="399"/>
    </row>
    <row r="35" spans="1:8">
      <c r="A35" s="518"/>
      <c r="B35" s="502"/>
      <c r="C35" s="516"/>
      <c r="D35" s="516"/>
      <c r="E35" s="519"/>
      <c r="F35" s="399"/>
      <c r="G35" s="399"/>
      <c r="H35" s="399"/>
    </row>
    <row r="36" spans="1:8">
      <c r="A36" s="518" t="s">
        <v>357</v>
      </c>
      <c r="B36" s="516">
        <v>600</v>
      </c>
      <c r="C36" s="522"/>
      <c r="D36" s="516"/>
      <c r="E36" s="519">
        <f>SUM(E9:E33)</f>
        <v>630000</v>
      </c>
      <c r="F36" s="399"/>
      <c r="G36" s="399"/>
      <c r="H36" s="399"/>
    </row>
    <row r="37" spans="1:8">
      <c r="A37" s="518"/>
      <c r="B37" s="516"/>
      <c r="C37" s="516"/>
      <c r="D37" s="516"/>
      <c r="E37" s="519"/>
      <c r="F37" s="399"/>
      <c r="G37" s="399"/>
      <c r="H37" s="399"/>
    </row>
    <row r="38" spans="1:8">
      <c r="A38" s="518" t="s">
        <v>358</v>
      </c>
      <c r="B38" s="516"/>
      <c r="C38" s="516"/>
      <c r="D38" s="516"/>
      <c r="E38" s="519">
        <v>3</v>
      </c>
      <c r="F38" s="399"/>
      <c r="G38" s="399"/>
      <c r="H38" s="399"/>
    </row>
    <row r="39" spans="1:8">
      <c r="A39" s="518"/>
      <c r="B39" s="502"/>
      <c r="C39" s="516"/>
      <c r="D39" s="516"/>
      <c r="E39" s="519"/>
      <c r="F39" s="399"/>
      <c r="G39" s="399"/>
      <c r="H39" s="399"/>
    </row>
    <row r="40" spans="1:8">
      <c r="A40" s="518" t="s">
        <v>359</v>
      </c>
      <c r="B40" s="516"/>
      <c r="C40" s="516"/>
      <c r="D40" s="516"/>
      <c r="E40" s="519">
        <f>+E36/E38</f>
        <v>210000</v>
      </c>
      <c r="F40" s="399"/>
      <c r="G40" s="399"/>
      <c r="H40" s="399"/>
    </row>
    <row r="41" spans="1:8">
      <c r="A41" s="193"/>
      <c r="B41" s="193"/>
      <c r="C41" s="196"/>
      <c r="D41" s="193"/>
      <c r="E41" s="192"/>
      <c r="F41" s="179"/>
      <c r="G41" s="179"/>
      <c r="H41" s="179"/>
    </row>
  </sheetData>
  <pageMargins left="0.7" right="0.7" top="0.75" bottom="0.75" header="0.3" footer="0.3"/>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workbookViewId="0">
      <pane xSplit="3" ySplit="4" topLeftCell="L5" activePane="bottomRight" state="frozen"/>
      <selection pane="topRight" activeCell="D1" sqref="D1"/>
      <selection pane="bottomLeft" activeCell="A5" sqref="A5"/>
      <selection pane="bottomRight" activeCell="L11" sqref="L11"/>
    </sheetView>
  </sheetViews>
  <sheetFormatPr defaultColWidth="9.140625" defaultRowHeight="15"/>
  <cols>
    <col min="1" max="1" width="2.42578125" style="3" customWidth="1"/>
    <col min="2" max="2" width="25.7109375" style="3" customWidth="1"/>
    <col min="3" max="3" width="2.28515625" style="3" customWidth="1"/>
    <col min="4" max="5" width="12.28515625" style="8" hidden="1" customWidth="1"/>
    <col min="6" max="6" width="15" style="3" bestFit="1" customWidth="1"/>
    <col min="7" max="8" width="9.7109375" style="8" bestFit="1" customWidth="1"/>
    <col min="9" max="9" width="12.140625" style="8" customWidth="1"/>
    <col min="10" max="10" width="10.5703125" style="8" bestFit="1" customWidth="1"/>
    <col min="11" max="11" width="9.7109375" style="8" bestFit="1" customWidth="1"/>
    <col min="12" max="12" width="11.28515625" style="8" bestFit="1" customWidth="1"/>
    <col min="13" max="13" width="9" style="8" bestFit="1" customWidth="1"/>
    <col min="14" max="14" width="8" style="8" bestFit="1" customWidth="1"/>
    <col min="15" max="15" width="10.5703125" style="8" bestFit="1" customWidth="1"/>
    <col min="16" max="16" width="9" style="8" bestFit="1" customWidth="1"/>
    <col min="17" max="17" width="9.42578125" style="8" customWidth="1"/>
    <col min="18" max="18" width="8.7109375" style="8" bestFit="1" customWidth="1"/>
    <col min="19" max="19" width="9" style="8" bestFit="1" customWidth="1"/>
    <col min="20" max="20" width="10" style="8" bestFit="1" customWidth="1"/>
    <col min="21" max="21" width="12.28515625" style="8" customWidth="1"/>
    <col min="22" max="22" width="12.28515625" style="3" bestFit="1" customWidth="1"/>
    <col min="23" max="23" width="11.28515625" style="8" bestFit="1" customWidth="1"/>
    <col min="24" max="24" width="14.5703125" style="8" customWidth="1"/>
    <col min="25" max="25" width="11.28515625" style="3" bestFit="1" customWidth="1"/>
    <col min="26" max="26" width="12.28515625" style="8" bestFit="1" customWidth="1"/>
    <col min="27" max="16384" width="9.140625" style="8"/>
  </cols>
  <sheetData>
    <row r="1" spans="1:25">
      <c r="A1" s="3" t="s">
        <v>360</v>
      </c>
    </row>
    <row r="4" spans="1:25">
      <c r="G4" s="8" t="s">
        <v>361</v>
      </c>
      <c r="H4" s="8" t="s">
        <v>362</v>
      </c>
      <c r="I4" s="8" t="s">
        <v>363</v>
      </c>
      <c r="J4" s="8" t="s">
        <v>364</v>
      </c>
      <c r="K4" s="8" t="s">
        <v>365</v>
      </c>
      <c r="L4" s="8" t="s">
        <v>366</v>
      </c>
      <c r="M4" s="8" t="s">
        <v>367</v>
      </c>
      <c r="N4" s="8" t="s">
        <v>368</v>
      </c>
      <c r="O4" s="8" t="s">
        <v>369</v>
      </c>
      <c r="P4" s="8" t="s">
        <v>370</v>
      </c>
      <c r="Q4" s="8" t="s">
        <v>371</v>
      </c>
      <c r="R4" s="8" t="s">
        <v>372</v>
      </c>
      <c r="S4" s="8" t="s">
        <v>373</v>
      </c>
      <c r="T4" s="8" t="s">
        <v>374</v>
      </c>
    </row>
    <row r="5" spans="1:25" s="12" customFormat="1" ht="51.75">
      <c r="A5" s="2"/>
      <c r="B5" s="2"/>
      <c r="C5" s="2"/>
      <c r="D5" s="6" t="s">
        <v>177</v>
      </c>
      <c r="E5" s="6" t="s">
        <v>178</v>
      </c>
      <c r="F5" s="7" t="s">
        <v>179</v>
      </c>
      <c r="G5" s="6" t="s">
        <v>1</v>
      </c>
      <c r="H5" s="6" t="s">
        <v>180</v>
      </c>
      <c r="I5" s="6" t="s">
        <v>181</v>
      </c>
      <c r="J5" s="6" t="s">
        <v>182</v>
      </c>
      <c r="K5" s="6" t="s">
        <v>375</v>
      </c>
      <c r="L5" s="6" t="s">
        <v>14</v>
      </c>
      <c r="M5" s="6" t="s">
        <v>65</v>
      </c>
      <c r="N5" s="6" t="s">
        <v>4</v>
      </c>
      <c r="O5" s="6" t="s">
        <v>184</v>
      </c>
      <c r="P5" s="6" t="s">
        <v>9</v>
      </c>
      <c r="Q5" s="6" t="s">
        <v>5</v>
      </c>
      <c r="R5" s="6" t="s">
        <v>6</v>
      </c>
      <c r="S5" s="6" t="s">
        <v>7</v>
      </c>
      <c r="T5" s="6" t="s">
        <v>10</v>
      </c>
      <c r="U5" s="6" t="s">
        <v>185</v>
      </c>
      <c r="V5" s="7" t="s">
        <v>186</v>
      </c>
      <c r="W5" s="6" t="s">
        <v>376</v>
      </c>
      <c r="X5" s="6" t="s">
        <v>377</v>
      </c>
      <c r="Y5" s="7" t="s">
        <v>378</v>
      </c>
    </row>
    <row r="6" spans="1:25">
      <c r="A6" s="3" t="s">
        <v>3</v>
      </c>
      <c r="D6" s="8">
        <v>-33926236</v>
      </c>
      <c r="E6" s="8">
        <v>-11986527</v>
      </c>
      <c r="F6" s="3">
        <f>+D6+E6</f>
        <v>-45912763</v>
      </c>
      <c r="G6" s="8">
        <f>SUM('Income Statement Detail'!E7:E8)</f>
        <v>497288</v>
      </c>
      <c r="H6" s="8">
        <f>SUM('Income Statement Detail'!F7:F16)</f>
        <v>-270931.3549554341</v>
      </c>
      <c r="I6" s="8">
        <f>-'Gas Cost'!E26</f>
        <v>-3629138.6430726722</v>
      </c>
      <c r="J6" s="8">
        <f>+'Income Statement Detail'!H10</f>
        <v>1244</v>
      </c>
      <c r="K6" s="8">
        <v>0</v>
      </c>
      <c r="L6" s="8">
        <v>0</v>
      </c>
      <c r="U6" s="8">
        <f>SUM(G6:T6)</f>
        <v>-3401537.9980281061</v>
      </c>
      <c r="V6" s="341">
        <f>+U6+F6</f>
        <v>-49314300.998028107</v>
      </c>
      <c r="W6" s="253">
        <f>-'Prime Group Revenue Calc'!K14</f>
        <v>-9135170</v>
      </c>
      <c r="X6" s="341">
        <f>+V6+W6</f>
        <v>-58449470.998028107</v>
      </c>
      <c r="Y6" s="342">
        <f>+W6/V6</f>
        <v>0.18524383018964988</v>
      </c>
    </row>
    <row r="7" spans="1:25" ht="17.25">
      <c r="A7" s="3" t="s">
        <v>187</v>
      </c>
      <c r="D7" s="4">
        <v>10189746</v>
      </c>
      <c r="E7" s="4">
        <v>2313603</v>
      </c>
      <c r="F7" s="5">
        <f t="shared" ref="F7:F20" si="0">+D7+E7</f>
        <v>12503349</v>
      </c>
      <c r="G7" s="4">
        <f>+'Income Statement Detail'!E26</f>
        <v>-316124</v>
      </c>
      <c r="H7" s="4">
        <v>0</v>
      </c>
      <c r="I7" s="4">
        <f>-I6</f>
        <v>3629138.6430726722</v>
      </c>
      <c r="J7" s="4">
        <v>0</v>
      </c>
      <c r="K7" s="4">
        <v>0</v>
      </c>
      <c r="L7" s="4">
        <v>0</v>
      </c>
      <c r="M7" s="4">
        <f>+'Income Statement Detail'!K22</f>
        <v>5519.4773273282763</v>
      </c>
      <c r="N7" s="4">
        <v>0</v>
      </c>
      <c r="O7" s="4">
        <v>0</v>
      </c>
      <c r="P7" s="4">
        <v>0</v>
      </c>
      <c r="Q7" s="4">
        <v>0</v>
      </c>
      <c r="R7" s="4">
        <v>0</v>
      </c>
      <c r="S7" s="4">
        <v>0</v>
      </c>
      <c r="T7" s="4">
        <v>0</v>
      </c>
      <c r="U7" s="4">
        <f>SUM(G7:T7)</f>
        <v>3318534.1204000004</v>
      </c>
      <c r="V7" s="5">
        <f>+U7+F7</f>
        <v>15821883.1204</v>
      </c>
      <c r="X7" s="4">
        <f>+V7+W7</f>
        <v>15821883.1204</v>
      </c>
    </row>
    <row r="8" spans="1:25">
      <c r="B8" s="3" t="s">
        <v>188</v>
      </c>
      <c r="D8" s="8">
        <f>+D6+D7</f>
        <v>-23736490</v>
      </c>
      <c r="E8" s="8">
        <f>+E7+E6</f>
        <v>-9672924</v>
      </c>
      <c r="F8" s="3">
        <f t="shared" si="0"/>
        <v>-33409414</v>
      </c>
      <c r="G8" s="8">
        <f t="shared" ref="G8:L8" si="1">+G6+G7</f>
        <v>181164</v>
      </c>
      <c r="H8" s="8">
        <f t="shared" si="1"/>
        <v>-270931.3549554341</v>
      </c>
      <c r="I8" s="8">
        <f t="shared" si="1"/>
        <v>0</v>
      </c>
      <c r="J8" s="8">
        <f t="shared" si="1"/>
        <v>1244</v>
      </c>
      <c r="K8" s="8">
        <f t="shared" si="1"/>
        <v>0</v>
      </c>
      <c r="L8" s="8">
        <f t="shared" si="1"/>
        <v>0</v>
      </c>
      <c r="M8" s="8">
        <f t="shared" ref="M8:W8" si="2">+M6+M7</f>
        <v>5519.4773273282763</v>
      </c>
      <c r="N8" s="8">
        <f t="shared" si="2"/>
        <v>0</v>
      </c>
      <c r="O8" s="8">
        <f t="shared" si="2"/>
        <v>0</v>
      </c>
      <c r="P8" s="8">
        <f t="shared" si="2"/>
        <v>0</v>
      </c>
      <c r="Q8" s="8">
        <f t="shared" ref="Q8" si="3">+Q6+Q7</f>
        <v>0</v>
      </c>
      <c r="R8" s="8">
        <f t="shared" si="2"/>
        <v>0</v>
      </c>
      <c r="S8" s="8">
        <f t="shared" ref="S8" si="4">+S6+S7</f>
        <v>0</v>
      </c>
      <c r="T8" s="8">
        <f t="shared" si="2"/>
        <v>0</v>
      </c>
      <c r="U8" s="8">
        <f t="shared" si="2"/>
        <v>-83003.877628105693</v>
      </c>
      <c r="V8" s="3">
        <f t="shared" si="2"/>
        <v>-33492417.877628107</v>
      </c>
      <c r="W8" s="341">
        <f t="shared" si="2"/>
        <v>-9135170</v>
      </c>
      <c r="X8" s="8">
        <f>+V8+W8</f>
        <v>-42627587.877628103</v>
      </c>
    </row>
    <row r="9" spans="1:25">
      <c r="F9" s="3">
        <f t="shared" si="0"/>
        <v>0</v>
      </c>
      <c r="U9" s="8">
        <f t="shared" ref="U9:U18" si="5">SUM(G9:T9)</f>
        <v>0</v>
      </c>
    </row>
    <row r="10" spans="1:25">
      <c r="A10" s="3" t="s">
        <v>189</v>
      </c>
      <c r="D10" s="8">
        <f>18607012-D7+317768</f>
        <v>8735034</v>
      </c>
      <c r="E10" s="8">
        <f>8653540-E7+208616</f>
        <v>6548553</v>
      </c>
      <c r="F10" s="3">
        <f t="shared" si="0"/>
        <v>15283587</v>
      </c>
      <c r="J10" s="8">
        <f>SUM('Income Statement Detail'!H18:H74)</f>
        <v>-30394</v>
      </c>
      <c r="K10" s="8">
        <f>+'Income Statement Detail'!I65</f>
        <v>108915</v>
      </c>
      <c r="L10" s="8">
        <f>+'Income Statement Detail'!J60+'Income Statement Detail'!J65</f>
        <v>-808438.65</v>
      </c>
      <c r="M10" s="8">
        <f>SUM('Income Statement Detail'!K31:K98)</f>
        <v>327945.73724371084</v>
      </c>
      <c r="Q10" s="8">
        <f>+'Income Statement Detail'!O65</f>
        <v>523277.22799999989</v>
      </c>
      <c r="R10" s="8">
        <f>+'Income Statement Detail'!P65</f>
        <v>81948.794000000024</v>
      </c>
      <c r="S10" s="8">
        <f>+'Income Statement Detail'!Q65</f>
        <v>310198.49000000022</v>
      </c>
      <c r="T10" s="8">
        <f>+'Income Statement Detail'!R62</f>
        <v>210000</v>
      </c>
      <c r="U10" s="8">
        <f t="shared" si="5"/>
        <v>723452.59924371098</v>
      </c>
      <c r="V10" s="3">
        <f>+U10+F10</f>
        <v>16007039.599243712</v>
      </c>
      <c r="X10" s="8">
        <f>+V10+W10</f>
        <v>16007039.599243712</v>
      </c>
    </row>
    <row r="11" spans="1:25">
      <c r="F11" s="3">
        <f t="shared" si="0"/>
        <v>0</v>
      </c>
      <c r="U11" s="8">
        <f t="shared" si="5"/>
        <v>0</v>
      </c>
    </row>
    <row r="12" spans="1:25">
      <c r="A12" s="3" t="s">
        <v>190</v>
      </c>
      <c r="D12" s="8">
        <f>4524128+236532</f>
        <v>4760660</v>
      </c>
      <c r="E12" s="8">
        <f>3392141+193246</f>
        <v>3585387</v>
      </c>
      <c r="F12" s="3">
        <f t="shared" si="0"/>
        <v>8346047</v>
      </c>
      <c r="O12" s="8">
        <f>+'Income Statement Detail'!M100</f>
        <v>1556983</v>
      </c>
      <c r="U12" s="8">
        <f t="shared" si="5"/>
        <v>1556983</v>
      </c>
      <c r="V12" s="3">
        <f>+U12+F12</f>
        <v>9903030</v>
      </c>
      <c r="X12" s="8">
        <f>+V12+W12</f>
        <v>9903030</v>
      </c>
    </row>
    <row r="13" spans="1:25">
      <c r="F13" s="3">
        <f t="shared" si="0"/>
        <v>0</v>
      </c>
      <c r="U13" s="8">
        <f t="shared" si="5"/>
        <v>0</v>
      </c>
    </row>
    <row r="14" spans="1:25">
      <c r="A14" s="3" t="s">
        <v>191</v>
      </c>
      <c r="D14" s="8">
        <v>1904438</v>
      </c>
      <c r="E14" s="8">
        <v>1616938</v>
      </c>
      <c r="F14" s="3">
        <f t="shared" si="0"/>
        <v>3521376</v>
      </c>
      <c r="M14" s="8">
        <v>0</v>
      </c>
      <c r="N14" s="8">
        <f>+'Income Statement Detail'!L105</f>
        <v>36663.662867940475</v>
      </c>
      <c r="O14" s="8">
        <f>+'Income Statement Detail'!M105</f>
        <v>335311.59314008243</v>
      </c>
      <c r="U14" s="8">
        <f t="shared" si="5"/>
        <v>371975.25600802293</v>
      </c>
      <c r="V14" s="3">
        <f>+U14+F14</f>
        <v>3893351.2560080229</v>
      </c>
      <c r="X14" s="8">
        <f>+V14+W14</f>
        <v>3893351.2560080229</v>
      </c>
    </row>
    <row r="15" spans="1:25">
      <c r="F15" s="3">
        <f t="shared" si="0"/>
        <v>0</v>
      </c>
      <c r="M15" s="9"/>
      <c r="U15" s="8">
        <f t="shared" si="5"/>
        <v>0</v>
      </c>
      <c r="V15" s="10"/>
    </row>
    <row r="16" spans="1:25">
      <c r="A16" s="3" t="s">
        <v>379</v>
      </c>
      <c r="D16" s="8">
        <v>-187862</v>
      </c>
      <c r="E16" s="8">
        <v>-347901</v>
      </c>
      <c r="F16" s="3">
        <f t="shared" si="0"/>
        <v>-535763</v>
      </c>
      <c r="H16" s="8">
        <f>+'Income Statement Detail'!F121</f>
        <v>-197645</v>
      </c>
      <c r="K16" s="8">
        <f>+'Income Statement Detail'!I121</f>
        <v>-108915</v>
      </c>
      <c r="L16" s="8">
        <f>+'Income Statement Detail'!J121</f>
        <v>-490295.35</v>
      </c>
      <c r="U16" s="8">
        <f t="shared" si="5"/>
        <v>-796855.35</v>
      </c>
      <c r="V16" s="3">
        <f>+U16+F16</f>
        <v>-1332618.3500000001</v>
      </c>
      <c r="X16" s="8">
        <f>+V16+W16</f>
        <v>-1332618.3500000001</v>
      </c>
    </row>
    <row r="17" spans="1:24">
      <c r="F17" s="3">
        <f t="shared" si="0"/>
        <v>0</v>
      </c>
      <c r="U17" s="8">
        <f t="shared" si="5"/>
        <v>0</v>
      </c>
    </row>
    <row r="18" spans="1:24" ht="17.25">
      <c r="A18" s="3" t="s">
        <v>9</v>
      </c>
      <c r="D18" s="4">
        <v>1314595</v>
      </c>
      <c r="E18" s="4">
        <v>1068999</v>
      </c>
      <c r="F18" s="5">
        <f t="shared" si="0"/>
        <v>2383594</v>
      </c>
      <c r="G18" s="4">
        <v>0</v>
      </c>
      <c r="H18" s="4">
        <v>0</v>
      </c>
      <c r="I18" s="4">
        <v>0</v>
      </c>
      <c r="J18" s="4">
        <v>0</v>
      </c>
      <c r="K18" s="4">
        <v>0</v>
      </c>
      <c r="L18" s="4">
        <v>0</v>
      </c>
      <c r="M18" s="4">
        <v>0</v>
      </c>
      <c r="N18" s="4">
        <v>0</v>
      </c>
      <c r="O18" s="4">
        <v>0</v>
      </c>
      <c r="P18" s="4">
        <f>+'Income Statement Detail'!N138</f>
        <v>370137.21791944932</v>
      </c>
      <c r="Q18" s="4">
        <v>0</v>
      </c>
      <c r="R18" s="4">
        <v>0</v>
      </c>
      <c r="S18" s="4">
        <v>0</v>
      </c>
      <c r="T18" s="4">
        <v>0</v>
      </c>
      <c r="U18" s="4">
        <f t="shared" si="5"/>
        <v>370137.21791944932</v>
      </c>
      <c r="V18" s="5">
        <f>+U18+F18</f>
        <v>2753731.2179194493</v>
      </c>
      <c r="X18" s="4">
        <f>+V18+W18</f>
        <v>2753731.2179194493</v>
      </c>
    </row>
    <row r="19" spans="1:24">
      <c r="F19" s="3">
        <f t="shared" si="0"/>
        <v>0</v>
      </c>
    </row>
    <row r="20" spans="1:24">
      <c r="A20" s="3" t="s">
        <v>192</v>
      </c>
      <c r="D20" s="8">
        <f>SUM(D8:D18)</f>
        <v>-7209625</v>
      </c>
      <c r="E20" s="8">
        <f>SUM(E8:E18)</f>
        <v>2799052</v>
      </c>
      <c r="F20" s="3">
        <f t="shared" si="0"/>
        <v>-4410573</v>
      </c>
      <c r="G20" s="8">
        <f t="shared" ref="G20:Q20" si="6">SUM(G8:G18)</f>
        <v>181164</v>
      </c>
      <c r="H20" s="8">
        <f t="shared" si="6"/>
        <v>-468576.3549554341</v>
      </c>
      <c r="I20" s="8">
        <f t="shared" ref="I20" si="7">SUM(I8:I18)</f>
        <v>0</v>
      </c>
      <c r="J20" s="8">
        <f t="shared" si="6"/>
        <v>-29150</v>
      </c>
      <c r="K20" s="8">
        <f t="shared" si="6"/>
        <v>0</v>
      </c>
      <c r="L20" s="8">
        <f t="shared" si="6"/>
        <v>-1298734</v>
      </c>
      <c r="M20" s="257">
        <f t="shared" si="6"/>
        <v>333465.21457103913</v>
      </c>
      <c r="N20" s="8">
        <f t="shared" ref="N20:P20" si="8">SUM(N8:N18)</f>
        <v>36663.662867940475</v>
      </c>
      <c r="O20" s="8">
        <f t="shared" si="8"/>
        <v>1892294.5931400824</v>
      </c>
      <c r="P20" s="8">
        <f t="shared" si="8"/>
        <v>370137.21791944932</v>
      </c>
      <c r="Q20" s="8">
        <f t="shared" si="6"/>
        <v>523277.22799999989</v>
      </c>
      <c r="R20" s="8">
        <f t="shared" ref="R20:U20" si="9">SUM(R8:R18)</f>
        <v>81948.794000000024</v>
      </c>
      <c r="S20" s="8">
        <f t="shared" ref="S20" si="10">SUM(S8:S18)</f>
        <v>310198.49000000022</v>
      </c>
      <c r="T20" s="8">
        <f t="shared" si="9"/>
        <v>210000</v>
      </c>
      <c r="U20" s="8">
        <f t="shared" si="9"/>
        <v>2142688.8455430772</v>
      </c>
      <c r="V20" s="340">
        <f>SUM(V8:V18)</f>
        <v>-2267884.1544569228</v>
      </c>
      <c r="W20" s="8">
        <f t="shared" ref="W20" si="11">SUM(W8:W18)</f>
        <v>-9135170</v>
      </c>
      <c r="X20" s="8">
        <f>+V20+W20</f>
        <v>-11403054.154456923</v>
      </c>
    </row>
    <row r="21" spans="1:24" ht="17.25">
      <c r="D21" s="4"/>
      <c r="E21" s="4"/>
      <c r="F21" s="5"/>
      <c r="G21" s="4"/>
      <c r="H21" s="4"/>
      <c r="I21" s="4"/>
      <c r="J21" s="4"/>
      <c r="K21" s="4"/>
      <c r="L21" s="4"/>
      <c r="M21" s="4"/>
      <c r="N21" s="4"/>
      <c r="O21" s="4"/>
      <c r="P21" s="4"/>
      <c r="Q21" s="4"/>
      <c r="R21" s="4"/>
      <c r="S21" s="4"/>
      <c r="T21" s="4"/>
      <c r="U21" s="4"/>
      <c r="V21" s="5"/>
      <c r="W21" s="4"/>
      <c r="X21" s="4"/>
    </row>
    <row r="22" spans="1:24" ht="17.25">
      <c r="A22" s="3" t="s">
        <v>193</v>
      </c>
      <c r="D22" s="4">
        <f>-D20*0.2495</f>
        <v>1798801.4375</v>
      </c>
      <c r="E22" s="4">
        <f t="shared" ref="E22:X22" si="12">-E20*0.2495</f>
        <v>-698363.47400000005</v>
      </c>
      <c r="F22" s="4">
        <f t="shared" si="12"/>
        <v>1100437.9635000001</v>
      </c>
      <c r="G22" s="4">
        <f t="shared" si="12"/>
        <v>-45200.417999999998</v>
      </c>
      <c r="H22" s="4">
        <f t="shared" si="12"/>
        <v>116909.80056138081</v>
      </c>
      <c r="I22" s="4">
        <f t="shared" si="12"/>
        <v>0</v>
      </c>
      <c r="J22" s="4">
        <f t="shared" si="12"/>
        <v>7272.9250000000002</v>
      </c>
      <c r="K22" s="4">
        <f t="shared" si="12"/>
        <v>0</v>
      </c>
      <c r="L22" s="4">
        <f t="shared" si="12"/>
        <v>324034.13299999997</v>
      </c>
      <c r="M22" s="4">
        <f t="shared" si="12"/>
        <v>-83199.571035474262</v>
      </c>
      <c r="N22" s="4">
        <f t="shared" si="12"/>
        <v>-9147.5838855511483</v>
      </c>
      <c r="O22" s="4">
        <f t="shared" si="12"/>
        <v>-472127.50098845054</v>
      </c>
      <c r="P22" s="4">
        <f t="shared" si="12"/>
        <v>-92349.235870902601</v>
      </c>
      <c r="Q22" s="4">
        <f t="shared" si="12"/>
        <v>-130557.66838599998</v>
      </c>
      <c r="R22" s="4">
        <f t="shared" si="12"/>
        <v>-20446.224103000004</v>
      </c>
      <c r="S22" s="4">
        <f t="shared" si="12"/>
        <v>-77394.523255000051</v>
      </c>
      <c r="T22" s="4">
        <f t="shared" si="12"/>
        <v>-52395</v>
      </c>
      <c r="U22" s="4">
        <f t="shared" si="12"/>
        <v>-534600.86696299771</v>
      </c>
      <c r="V22" s="4">
        <f t="shared" si="12"/>
        <v>565837.09653700225</v>
      </c>
      <c r="W22" s="4">
        <f t="shared" si="12"/>
        <v>2279224.915</v>
      </c>
      <c r="X22" s="4">
        <f t="shared" si="12"/>
        <v>2845062.0115370024</v>
      </c>
    </row>
    <row r="24" spans="1:24" ht="17.25">
      <c r="A24" s="3" t="s">
        <v>380</v>
      </c>
      <c r="D24" s="13">
        <f>+D20+D22</f>
        <v>-5410823.5625</v>
      </c>
      <c r="E24" s="13">
        <f t="shared" ref="E24:X24" si="13">+E20+E22</f>
        <v>2100688.5260000001</v>
      </c>
      <c r="F24" s="13">
        <f t="shared" si="13"/>
        <v>-3310135.0364999999</v>
      </c>
      <c r="G24" s="13">
        <f t="shared" si="13"/>
        <v>135963.58199999999</v>
      </c>
      <c r="H24" s="13">
        <f t="shared" si="13"/>
        <v>-351666.5543940533</v>
      </c>
      <c r="I24" s="13">
        <f t="shared" ref="I24" si="14">+I20+I22</f>
        <v>0</v>
      </c>
      <c r="J24" s="13">
        <f t="shared" si="13"/>
        <v>-21877.075000000001</v>
      </c>
      <c r="K24" s="13">
        <f t="shared" si="13"/>
        <v>0</v>
      </c>
      <c r="L24" s="13">
        <f t="shared" si="13"/>
        <v>-974699.86700000009</v>
      </c>
      <c r="M24" s="13">
        <f t="shared" si="13"/>
        <v>250265.64353556489</v>
      </c>
      <c r="N24" s="13">
        <f t="shared" si="13"/>
        <v>27516.078982389328</v>
      </c>
      <c r="O24" s="13">
        <f t="shared" si="13"/>
        <v>1420167.0921516318</v>
      </c>
      <c r="P24" s="13">
        <f t="shared" si="13"/>
        <v>277787.98204854672</v>
      </c>
      <c r="Q24" s="13">
        <f t="shared" ref="Q24" si="15">+Q20+Q22</f>
        <v>392719.55961399991</v>
      </c>
      <c r="R24" s="13">
        <f t="shared" si="13"/>
        <v>61502.569897000023</v>
      </c>
      <c r="S24" s="13">
        <f t="shared" ref="S24" si="16">+S20+S22</f>
        <v>232803.96674500016</v>
      </c>
      <c r="T24" s="13">
        <f t="shared" si="13"/>
        <v>157605</v>
      </c>
      <c r="U24" s="13">
        <f t="shared" si="13"/>
        <v>1608087.9785800795</v>
      </c>
      <c r="V24" s="13">
        <f t="shared" si="13"/>
        <v>-1702047.0579199204</v>
      </c>
      <c r="W24" s="13">
        <f t="shared" si="13"/>
        <v>-6855945.085</v>
      </c>
      <c r="X24" s="13">
        <f t="shared" si="13"/>
        <v>-8557992.1429199204</v>
      </c>
    </row>
    <row r="27" spans="1:24">
      <c r="A27" s="180" t="s">
        <v>381</v>
      </c>
      <c r="F27" s="3">
        <f t="shared" ref="F27" si="17">+F20</f>
        <v>-4410573</v>
      </c>
      <c r="Q27" s="180" t="s">
        <v>381</v>
      </c>
      <c r="U27" s="3">
        <f t="shared" ref="U27" si="18">+U20</f>
        <v>2142688.8455430772</v>
      </c>
      <c r="V27" s="3">
        <f>+V20</f>
        <v>-2267884.1544569228</v>
      </c>
      <c r="W27" s="3">
        <f t="shared" ref="W27:X27" si="19">+W20</f>
        <v>-9135170</v>
      </c>
      <c r="X27" s="3">
        <f t="shared" si="19"/>
        <v>-11403054.154456923</v>
      </c>
    </row>
    <row r="28" spans="1:24" ht="17.25">
      <c r="A28" s="180" t="s">
        <v>382</v>
      </c>
      <c r="F28" s="5">
        <f t="shared" ref="F28" si="20">+F16</f>
        <v>-535763</v>
      </c>
      <c r="Q28" s="180" t="s">
        <v>382</v>
      </c>
      <c r="U28" s="5">
        <f t="shared" ref="U28" si="21">+U16</f>
        <v>-796855.35</v>
      </c>
      <c r="V28" s="5">
        <f>+V16</f>
        <v>-1332618.3500000001</v>
      </c>
      <c r="W28" s="5">
        <f t="shared" ref="W28:X28" si="22">+W16</f>
        <v>0</v>
      </c>
      <c r="X28" s="5">
        <f t="shared" si="22"/>
        <v>-1332618.3500000001</v>
      </c>
    </row>
    <row r="29" spans="1:24">
      <c r="A29" s="180" t="s">
        <v>383</v>
      </c>
      <c r="F29" s="341">
        <f>+F27-F28</f>
        <v>-3874810</v>
      </c>
      <c r="Q29" s="180" t="s">
        <v>383</v>
      </c>
      <c r="U29" s="341">
        <f>+U27-U28</f>
        <v>2939544.1955430773</v>
      </c>
      <c r="V29" s="3">
        <f>+V27-V28</f>
        <v>-935265.80445692269</v>
      </c>
      <c r="W29" s="3">
        <f>+W27-W28</f>
        <v>-9135170</v>
      </c>
      <c r="X29" s="341">
        <f>+X27-X28</f>
        <v>-10070435.804456923</v>
      </c>
    </row>
    <row r="30" spans="1:24" ht="17.25">
      <c r="A30" s="180"/>
      <c r="F30" s="4"/>
      <c r="Q30" s="180"/>
      <c r="U30" s="4"/>
      <c r="V30" s="5"/>
      <c r="X30" s="4"/>
    </row>
    <row r="31" spans="1:24">
      <c r="A31" s="180" t="s">
        <v>384</v>
      </c>
      <c r="F31" s="3">
        <f t="shared" ref="F31" si="23">+F22</f>
        <v>1100437.9635000001</v>
      </c>
      <c r="Q31" s="180" t="s">
        <v>384</v>
      </c>
      <c r="R31" s="180"/>
      <c r="U31" s="3">
        <f t="shared" ref="U31" si="24">+U22</f>
        <v>-534600.86696299771</v>
      </c>
      <c r="V31" s="3">
        <f>+V22</f>
        <v>565837.09653700225</v>
      </c>
      <c r="W31" s="3">
        <f t="shared" ref="W31:X31" si="25">+W22</f>
        <v>2279224.915</v>
      </c>
      <c r="X31" s="3">
        <f t="shared" si="25"/>
        <v>2845062.0115370024</v>
      </c>
    </row>
    <row r="32" spans="1:24" ht="17.25">
      <c r="A32" s="180" t="s">
        <v>385</v>
      </c>
      <c r="F32" s="5">
        <f t="shared" ref="F32" si="26">+F28*-0.2495</f>
        <v>133672.86850000001</v>
      </c>
      <c r="Q32" s="180" t="s">
        <v>385</v>
      </c>
      <c r="U32" s="5">
        <f t="shared" ref="U32" si="27">+U28*-0.2495</f>
        <v>198815.40982499998</v>
      </c>
      <c r="V32" s="5">
        <f>+V28*-0.2495</f>
        <v>332488.27832500002</v>
      </c>
      <c r="W32" s="5">
        <f t="shared" ref="W32:X32" si="28">+W28*-0.2495</f>
        <v>0</v>
      </c>
      <c r="X32" s="5">
        <f t="shared" si="28"/>
        <v>332488.27832500002</v>
      </c>
    </row>
    <row r="33" spans="1:26" ht="17.25">
      <c r="A33" s="180" t="s">
        <v>386</v>
      </c>
      <c r="F33" s="341">
        <f t="shared" ref="F33" si="29">+F31-F32</f>
        <v>966765.09500000009</v>
      </c>
      <c r="Q33" s="180" t="s">
        <v>386</v>
      </c>
      <c r="U33" s="341">
        <f t="shared" ref="U33" si="30">+U31-U32</f>
        <v>-733416.27678799769</v>
      </c>
      <c r="V33" s="5">
        <f>+V31-V32</f>
        <v>233348.81821200222</v>
      </c>
      <c r="W33" s="5">
        <f t="shared" ref="W33:X33" si="31">+W31-W32</f>
        <v>2279224.915</v>
      </c>
      <c r="X33" s="341">
        <f t="shared" si="31"/>
        <v>2512573.7332120026</v>
      </c>
    </row>
    <row r="34" spans="1:26">
      <c r="A34" s="180" t="s">
        <v>387</v>
      </c>
      <c r="F34" s="284">
        <f>+F33/F29</f>
        <v>-0.24950000000000003</v>
      </c>
      <c r="Q34" s="180" t="s">
        <v>387</v>
      </c>
      <c r="U34" s="284">
        <f>+U33/U29</f>
        <v>-0.24949999999999997</v>
      </c>
      <c r="V34" s="284">
        <f>+V33/V29</f>
        <v>-0.24950000000000003</v>
      </c>
      <c r="W34" s="284">
        <f>+W33/W29</f>
        <v>-0.2495</v>
      </c>
      <c r="X34" s="284">
        <f>+X33/X29</f>
        <v>-0.24950000000000003</v>
      </c>
    </row>
    <row r="35" spans="1:26">
      <c r="A35" s="180"/>
      <c r="F35" s="284"/>
      <c r="Q35" s="180"/>
      <c r="U35" s="284"/>
      <c r="V35" s="284"/>
      <c r="W35" s="284"/>
      <c r="X35" s="284"/>
      <c r="Z35" s="180"/>
    </row>
    <row r="36" spans="1:26">
      <c r="A36" s="180" t="s">
        <v>388</v>
      </c>
      <c r="F36" s="341">
        <f t="shared" ref="F36" si="32">+F29+F33</f>
        <v>-2908044.9049999998</v>
      </c>
      <c r="Q36" s="180" t="s">
        <v>388</v>
      </c>
      <c r="U36" s="341">
        <f t="shared" ref="U36" si="33">+U29+U33</f>
        <v>2206127.9187550796</v>
      </c>
      <c r="V36" s="318">
        <f>+V29+V33</f>
        <v>-701916.98624492041</v>
      </c>
      <c r="W36" s="318">
        <f t="shared" ref="W36:X36" si="34">+W29+W33</f>
        <v>-6855945.085</v>
      </c>
      <c r="X36" s="341">
        <f t="shared" si="34"/>
        <v>-7557862.0712449206</v>
      </c>
      <c r="Z36" s="351"/>
    </row>
    <row r="37" spans="1:26">
      <c r="A37" s="3" t="s">
        <v>9</v>
      </c>
      <c r="F37" s="318">
        <f>+F18</f>
        <v>2383594</v>
      </c>
      <c r="Q37" s="180"/>
      <c r="U37" s="318">
        <f>+U18</f>
        <v>370137.21791944932</v>
      </c>
      <c r="V37" s="318">
        <f t="shared" ref="V37:X37" si="35">+V18</f>
        <v>2753731.2179194493</v>
      </c>
      <c r="W37" s="318">
        <f t="shared" ref="W37" si="36">+W18</f>
        <v>0</v>
      </c>
      <c r="X37" s="318">
        <f t="shared" si="35"/>
        <v>2753731.2179194493</v>
      </c>
    </row>
    <row r="38" spans="1:26">
      <c r="A38" s="3" t="s">
        <v>31</v>
      </c>
      <c r="F38" s="318">
        <f>+F36-F37</f>
        <v>-5291638.9049999993</v>
      </c>
      <c r="Q38" s="180"/>
      <c r="U38" s="318">
        <f>+U36-U37</f>
        <v>1835990.7008356303</v>
      </c>
      <c r="V38" s="318">
        <f>+V36-V37</f>
        <v>-3455648.20416437</v>
      </c>
      <c r="W38" s="318">
        <f>+W36-W37</f>
        <v>-6855945.085</v>
      </c>
      <c r="X38" s="341">
        <f>+X36-X37</f>
        <v>-10311593.28916437</v>
      </c>
    </row>
    <row r="39" spans="1:26">
      <c r="A39" s="3" t="s">
        <v>389</v>
      </c>
      <c r="F39" s="3">
        <f>+'Tab 57 - Sched D-1 Adj by Act'!E119</f>
        <v>0</v>
      </c>
      <c r="Q39" s="180"/>
      <c r="U39" s="3">
        <f>+'Tab 57 - Sched D-1 Adj by Act'!F117</f>
        <v>1835990.7008356308</v>
      </c>
      <c r="V39" s="3">
        <f>+'Tab 57 - Sched D-1 Adj by Act'!G117</f>
        <v>-3455650.2991643697</v>
      </c>
      <c r="W39" s="3"/>
      <c r="X39" s="3"/>
    </row>
    <row r="40" spans="1:26">
      <c r="B40" s="3" t="s">
        <v>12</v>
      </c>
      <c r="F40" s="3">
        <f>+F38-F39</f>
        <v>-5291638.9049999993</v>
      </c>
      <c r="Q40" s="180"/>
      <c r="U40" s="3">
        <f>+U38-U39</f>
        <v>0</v>
      </c>
      <c r="V40" s="3">
        <f>+V38-V39</f>
        <v>2.0949999997392297</v>
      </c>
      <c r="W40" s="3"/>
      <c r="X40" s="3"/>
    </row>
    <row r="41" spans="1:26">
      <c r="A41" s="3" t="s">
        <v>390</v>
      </c>
      <c r="F41" s="3">
        <f>+'Tab 56 - Sched C-1 Summary'!F12</f>
        <v>-5291638.9050000012</v>
      </c>
      <c r="Q41" s="180"/>
      <c r="U41" s="8">
        <f>+'Tab 56 - Sched C-1 Summary'!G12</f>
        <v>1835990.7008356294</v>
      </c>
      <c r="V41" s="8">
        <f>+'Tab 56 - Sched C-1 Summary'!H12</f>
        <v>-3455648.2041643718</v>
      </c>
      <c r="W41" s="284"/>
      <c r="X41" s="284"/>
    </row>
    <row r="42" spans="1:26">
      <c r="B42" s="3" t="s">
        <v>12</v>
      </c>
      <c r="F42" s="318">
        <f>+F41-F38</f>
        <v>0</v>
      </c>
      <c r="Q42" s="180"/>
      <c r="U42" s="8">
        <f>+U41-U38</f>
        <v>0</v>
      </c>
      <c r="V42" s="8">
        <f>+V41-V38</f>
        <v>0</v>
      </c>
      <c r="W42" s="284"/>
      <c r="X42" s="284"/>
    </row>
    <row r="43" spans="1:26">
      <c r="F43" s="284"/>
      <c r="Q43" s="180"/>
      <c r="V43" s="284"/>
      <c r="W43" s="284"/>
      <c r="X43" s="284"/>
    </row>
    <row r="44" spans="1:26">
      <c r="F44" s="284"/>
      <c r="Q44" s="180"/>
      <c r="V44" s="284"/>
      <c r="W44" s="284"/>
      <c r="X44" s="284"/>
    </row>
    <row r="45" spans="1:26">
      <c r="A45" s="3" t="s">
        <v>307</v>
      </c>
      <c r="F45" s="3">
        <f>+D45</f>
        <v>0</v>
      </c>
      <c r="V45" s="3" t="e">
        <f>+#REF!</f>
        <v>#REF!</v>
      </c>
      <c r="X45" s="3" t="e">
        <f>+V45</f>
        <v>#REF!</v>
      </c>
    </row>
    <row r="46" spans="1:26">
      <c r="A46" s="3" t="s">
        <v>391</v>
      </c>
      <c r="V46" s="11" t="e">
        <f>+V36/V45</f>
        <v>#REF!</v>
      </c>
      <c r="X46" s="342" t="e">
        <f>+X36/X45</f>
        <v>#REF!</v>
      </c>
    </row>
    <row r="48" spans="1:26">
      <c r="Q48" s="180"/>
    </row>
    <row r="49" spans="17:22">
      <c r="Q49" s="180" t="s">
        <v>392</v>
      </c>
      <c r="U49" s="3"/>
      <c r="V49" s="3">
        <f>+V20</f>
        <v>-2267884.1544569228</v>
      </c>
    </row>
    <row r="50" spans="17:22" ht="17.25">
      <c r="Q50" s="180" t="s">
        <v>393</v>
      </c>
      <c r="U50" s="5"/>
      <c r="V50" s="5">
        <f>+'Income Statement Detail'!V149</f>
        <v>-2267884.1544569228</v>
      </c>
    </row>
    <row r="51" spans="17:22">
      <c r="Q51" s="180" t="s">
        <v>12</v>
      </c>
      <c r="V51" s="3">
        <f>+V49-V50</f>
        <v>0</v>
      </c>
    </row>
  </sheetData>
  <pageMargins left="0.25" right="0.25" top="0.75" bottom="0.75" header="0.3" footer="0.3"/>
  <pageSetup paperSize="5" scale="5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55"/>
  <sheetViews>
    <sheetView workbookViewId="0">
      <pane xSplit="3" ySplit="1" topLeftCell="D46" activePane="bottomRight" state="frozen"/>
      <selection pane="topRight" activeCell="D1" sqref="D1"/>
      <selection pane="bottomLeft" activeCell="A2" sqref="A2"/>
      <selection pane="bottomRight" activeCell="A64" sqref="A64:A65"/>
    </sheetView>
  </sheetViews>
  <sheetFormatPr defaultRowHeight="15"/>
  <cols>
    <col min="1" max="1" width="8.85546875" bestFit="1" customWidth="1"/>
    <col min="2" max="2" width="8" bestFit="1" customWidth="1"/>
    <col min="3" max="3" width="56.7109375" bestFit="1" customWidth="1"/>
    <col min="4" max="4" width="14.5703125" style="1" bestFit="1" customWidth="1"/>
    <col min="5" max="5" width="10.5703125" style="1" bestFit="1" customWidth="1"/>
    <col min="6" max="6" width="11.28515625" style="180" bestFit="1" customWidth="1"/>
    <col min="7" max="7" width="11.28515625" style="180" customWidth="1"/>
    <col min="8" max="10" width="11.5703125" style="1" customWidth="1"/>
    <col min="11" max="12" width="9.140625" style="1"/>
    <col min="13" max="13" width="10.5703125" style="1" bestFit="1" customWidth="1"/>
    <col min="14" max="14" width="9.140625" style="1"/>
    <col min="15" max="16" width="9.140625" style="180"/>
    <col min="17" max="17" width="11.28515625" style="180" bestFit="1" customWidth="1"/>
    <col min="18" max="18" width="9.140625" style="1"/>
    <col min="19" max="19" width="5.140625" style="1" bestFit="1" customWidth="1"/>
    <col min="20" max="20" width="12" style="1" customWidth="1"/>
    <col min="21" max="21" width="14.5703125" style="1" bestFit="1" customWidth="1"/>
    <col min="22" max="22" width="12.28515625" style="256" bestFit="1" customWidth="1"/>
    <col min="23" max="33" width="9.140625" style="1"/>
  </cols>
  <sheetData>
    <row r="1" spans="1:38" ht="69">
      <c r="A1" s="120" t="s">
        <v>394</v>
      </c>
      <c r="B1" s="120" t="s">
        <v>395</v>
      </c>
      <c r="C1" s="120" t="s">
        <v>396</v>
      </c>
      <c r="D1" s="127" t="s">
        <v>397</v>
      </c>
      <c r="E1" s="6" t="s">
        <v>1</v>
      </c>
      <c r="F1" s="6" t="s">
        <v>180</v>
      </c>
      <c r="G1" s="6" t="s">
        <v>398</v>
      </c>
      <c r="H1" s="6" t="s">
        <v>2</v>
      </c>
      <c r="I1" s="6" t="s">
        <v>399</v>
      </c>
      <c r="J1" s="6" t="s">
        <v>14</v>
      </c>
      <c r="K1" s="6" t="s">
        <v>65</v>
      </c>
      <c r="L1" s="6" t="s">
        <v>4</v>
      </c>
      <c r="M1" s="6" t="s">
        <v>184</v>
      </c>
      <c r="N1" s="6" t="s">
        <v>9</v>
      </c>
      <c r="O1" s="6" t="s">
        <v>5</v>
      </c>
      <c r="P1" s="6" t="s">
        <v>6</v>
      </c>
      <c r="Q1" s="6" t="s">
        <v>7</v>
      </c>
      <c r="R1" s="6" t="s">
        <v>10</v>
      </c>
      <c r="S1" s="6"/>
      <c r="T1" s="6" t="s">
        <v>185</v>
      </c>
      <c r="U1" s="254" t="s">
        <v>186</v>
      </c>
      <c r="V1" s="255" t="s">
        <v>400</v>
      </c>
      <c r="W1" s="180"/>
      <c r="X1" s="180"/>
      <c r="Y1" s="180"/>
      <c r="Z1" s="180"/>
      <c r="AA1" s="180"/>
      <c r="AB1" s="180"/>
      <c r="AC1" s="180"/>
      <c r="AD1" s="180"/>
      <c r="AE1" s="180"/>
      <c r="AF1" s="180"/>
      <c r="AG1" s="180"/>
      <c r="AH1" s="179"/>
      <c r="AI1" s="179"/>
      <c r="AJ1" s="179"/>
      <c r="AK1" s="179"/>
      <c r="AL1" s="179"/>
    </row>
    <row r="2" spans="1:38">
      <c r="A2" s="538" t="s">
        <v>401</v>
      </c>
      <c r="B2" s="539"/>
      <c r="C2" s="539"/>
      <c r="D2" s="191"/>
      <c r="E2" s="180"/>
      <c r="H2" s="180"/>
      <c r="I2" s="180"/>
      <c r="J2" s="180"/>
      <c r="K2" s="180"/>
      <c r="L2" s="180"/>
      <c r="M2" s="180"/>
      <c r="N2" s="180"/>
      <c r="R2" s="180"/>
      <c r="S2" s="180"/>
      <c r="T2" s="180"/>
      <c r="U2" s="191"/>
      <c r="W2" s="180"/>
      <c r="X2" s="180"/>
      <c r="Y2" s="180"/>
      <c r="Z2" s="180"/>
      <c r="AA2" s="180"/>
      <c r="AB2" s="180"/>
      <c r="AC2" s="180"/>
      <c r="AD2" s="180"/>
      <c r="AE2" s="180"/>
      <c r="AF2" s="180"/>
      <c r="AG2" s="180"/>
      <c r="AH2" s="179"/>
      <c r="AI2" s="179"/>
      <c r="AJ2" s="179"/>
      <c r="AK2" s="179"/>
      <c r="AL2" s="179"/>
    </row>
    <row r="3" spans="1:38">
      <c r="A3" s="121"/>
      <c r="B3" s="121"/>
      <c r="C3" s="122" t="s">
        <v>40</v>
      </c>
      <c r="D3" s="192"/>
      <c r="E3" s="180"/>
      <c r="H3" s="180"/>
      <c r="I3" s="180"/>
      <c r="J3" s="180"/>
      <c r="K3" s="180"/>
      <c r="L3" s="180"/>
      <c r="M3" s="180"/>
      <c r="N3" s="180"/>
      <c r="R3" s="180"/>
      <c r="S3" s="180"/>
      <c r="T3" s="180"/>
      <c r="U3" s="192"/>
      <c r="W3" s="180"/>
      <c r="X3" s="180"/>
      <c r="Y3" s="180"/>
      <c r="Z3" s="180"/>
      <c r="AA3" s="180"/>
      <c r="AB3" s="180"/>
      <c r="AC3" s="180"/>
      <c r="AD3" s="180"/>
      <c r="AE3" s="180"/>
      <c r="AF3" s="180"/>
      <c r="AG3" s="180"/>
      <c r="AH3" s="179"/>
      <c r="AI3" s="179"/>
      <c r="AJ3" s="179"/>
      <c r="AK3" s="179"/>
      <c r="AL3" s="179"/>
    </row>
    <row r="4" spans="1:38">
      <c r="A4" s="123"/>
      <c r="B4" s="123"/>
      <c r="C4" s="124" t="s">
        <v>41</v>
      </c>
      <c r="D4" s="192"/>
      <c r="E4" s="180"/>
      <c r="H4" s="180"/>
      <c r="I4" s="180"/>
      <c r="J4" s="180"/>
      <c r="K4" s="180"/>
      <c r="L4" s="180"/>
      <c r="M4" s="180"/>
      <c r="N4" s="180"/>
      <c r="R4" s="180"/>
      <c r="S4" s="180"/>
      <c r="T4" s="180"/>
      <c r="U4" s="192"/>
      <c r="W4" s="180"/>
      <c r="X4" s="180"/>
      <c r="Y4" s="180"/>
      <c r="Z4" s="180"/>
      <c r="AA4" s="180"/>
      <c r="AB4" s="180"/>
      <c r="AC4" s="180"/>
      <c r="AD4" s="180"/>
      <c r="AE4" s="180"/>
      <c r="AF4" s="180"/>
      <c r="AG4" s="180"/>
      <c r="AH4" s="179"/>
      <c r="AI4" s="179"/>
      <c r="AJ4" s="179"/>
      <c r="AK4" s="179"/>
      <c r="AL4" s="179"/>
    </row>
    <row r="5" spans="1:38">
      <c r="A5" s="123"/>
      <c r="B5" s="123"/>
      <c r="C5" s="124" t="s">
        <v>42</v>
      </c>
      <c r="D5" s="192"/>
      <c r="E5" s="180"/>
      <c r="H5" s="180"/>
      <c r="I5" s="180"/>
      <c r="J5" s="180"/>
      <c r="K5" s="180"/>
      <c r="L5" s="180"/>
      <c r="M5" s="180"/>
      <c r="N5" s="180"/>
      <c r="R5" s="180"/>
      <c r="S5" s="180"/>
      <c r="T5" s="180"/>
      <c r="U5" s="192"/>
      <c r="W5" s="180"/>
      <c r="X5" s="180"/>
      <c r="Y5" s="180"/>
      <c r="Z5" s="180"/>
      <c r="AA5" s="180"/>
      <c r="AB5" s="180"/>
      <c r="AC5" s="180"/>
      <c r="AD5" s="180"/>
      <c r="AE5" s="180"/>
      <c r="AF5" s="180"/>
      <c r="AG5" s="180"/>
      <c r="AH5" s="179"/>
      <c r="AI5" s="179"/>
      <c r="AJ5" s="179"/>
      <c r="AK5" s="179"/>
      <c r="AL5" s="179"/>
    </row>
    <row r="6" spans="1:38">
      <c r="A6" s="123"/>
      <c r="B6" s="123"/>
      <c r="C6" s="124" t="s">
        <v>43</v>
      </c>
      <c r="D6" s="192"/>
      <c r="E6" s="180"/>
      <c r="H6" s="180"/>
      <c r="I6" s="180"/>
      <c r="J6" s="180"/>
      <c r="K6" s="180"/>
      <c r="L6" s="180"/>
      <c r="M6" s="180"/>
      <c r="N6" s="180"/>
      <c r="R6" s="180"/>
      <c r="S6" s="180"/>
      <c r="T6" s="180"/>
      <c r="U6" s="192"/>
      <c r="W6" s="180"/>
      <c r="X6" s="180"/>
      <c r="Y6" s="180"/>
      <c r="Z6" s="180"/>
      <c r="AA6" s="180"/>
      <c r="AB6" s="180"/>
      <c r="AC6" s="180"/>
      <c r="AD6" s="180"/>
      <c r="AE6" s="180"/>
      <c r="AF6" s="180"/>
      <c r="AG6" s="180"/>
      <c r="AH6" s="179"/>
      <c r="AI6" s="179"/>
      <c r="AJ6" s="179"/>
      <c r="AK6" s="179"/>
      <c r="AL6" s="179"/>
    </row>
    <row r="7" spans="1:38">
      <c r="A7" s="123" t="s">
        <v>402</v>
      </c>
      <c r="B7" s="123">
        <v>9480000</v>
      </c>
      <c r="C7" s="124" t="s">
        <v>44</v>
      </c>
      <c r="D7" s="192">
        <v>-23881894</v>
      </c>
      <c r="E7" s="128">
        <f>+'PreTax Net Income'!AA6</f>
        <v>332509</v>
      </c>
      <c r="F7" s="128">
        <f>+'Op Revenue'!Y3</f>
        <v>-1113083.2175764032</v>
      </c>
      <c r="G7" s="128">
        <f>-'Gas Cost'!E28</f>
        <v>-2055178.7347014614</v>
      </c>
      <c r="H7" s="180"/>
      <c r="I7" s="180"/>
      <c r="J7" s="180"/>
      <c r="K7" s="180"/>
      <c r="L7" s="180"/>
      <c r="M7" s="180"/>
      <c r="N7" s="180"/>
      <c r="R7" s="180"/>
      <c r="S7" s="180"/>
      <c r="T7" s="180">
        <f>SUM(E7:S7)</f>
        <v>-2835752.9522778643</v>
      </c>
      <c r="U7" s="192">
        <f>+D7+T7</f>
        <v>-26717646.952277865</v>
      </c>
      <c r="W7" s="180"/>
      <c r="X7" s="180"/>
      <c r="Y7" s="180"/>
      <c r="Z7" s="180"/>
      <c r="AA7" s="180"/>
      <c r="AB7" s="180"/>
      <c r="AC7" s="180"/>
      <c r="AD7" s="180"/>
      <c r="AE7" s="180"/>
      <c r="AF7" s="180"/>
      <c r="AG7" s="180"/>
      <c r="AH7" s="179"/>
      <c r="AI7" s="179"/>
      <c r="AJ7" s="179"/>
      <c r="AK7" s="179"/>
      <c r="AL7" s="179"/>
    </row>
    <row r="8" spans="1:38">
      <c r="A8" s="123">
        <v>1600</v>
      </c>
      <c r="B8" s="123">
        <v>9481000</v>
      </c>
      <c r="C8" s="124" t="s">
        <v>46</v>
      </c>
      <c r="D8" s="192">
        <v>-15551832</v>
      </c>
      <c r="E8" s="128">
        <f>+'PreTax Net Income'!AA8+'PreTax Net Income'!AA10</f>
        <v>164779</v>
      </c>
      <c r="F8" s="128">
        <f>+'Op Revenue'!Y4+'Op Revenue'!Y5</f>
        <v>201336.71904236358</v>
      </c>
      <c r="G8" s="128">
        <f>-'Gas Cost'!E29</f>
        <v>-1573959.9083712108</v>
      </c>
      <c r="H8" s="180"/>
      <c r="I8" s="180"/>
      <c r="J8" s="180"/>
      <c r="K8" s="180"/>
      <c r="L8" s="180"/>
      <c r="M8" s="180"/>
      <c r="N8" s="180"/>
      <c r="R8" s="180"/>
      <c r="S8" s="180"/>
      <c r="T8" s="180">
        <f>SUM(E8:S8)</f>
        <v>-1207844.1893288472</v>
      </c>
      <c r="U8" s="192">
        <f>+D8+T8</f>
        <v>-16759676.189328847</v>
      </c>
      <c r="W8" s="180"/>
      <c r="X8" s="180"/>
      <c r="Y8" s="180"/>
      <c r="Z8" s="180"/>
      <c r="AA8" s="180"/>
      <c r="AB8" s="180"/>
      <c r="AC8" s="180"/>
      <c r="AD8" s="180"/>
      <c r="AE8" s="180"/>
      <c r="AF8" s="180"/>
      <c r="AG8" s="180"/>
      <c r="AH8" s="179"/>
      <c r="AI8" s="179"/>
      <c r="AJ8" s="179"/>
      <c r="AK8" s="179"/>
      <c r="AL8" s="179"/>
    </row>
    <row r="9" spans="1:38">
      <c r="A9" s="125"/>
      <c r="B9" s="125"/>
      <c r="C9" s="124" t="s">
        <v>48</v>
      </c>
      <c r="D9" s="126">
        <v>-39433725</v>
      </c>
      <c r="E9" s="180"/>
      <c r="H9" s="180"/>
      <c r="I9" s="180"/>
      <c r="J9" s="180"/>
      <c r="K9" s="180"/>
      <c r="L9" s="180"/>
      <c r="M9" s="180"/>
      <c r="N9" s="180"/>
      <c r="R9" s="180"/>
      <c r="S9" s="180"/>
      <c r="T9" s="180"/>
      <c r="U9" s="126">
        <f>+U7+U8</f>
        <v>-43477323.141606711</v>
      </c>
      <c r="W9" s="180"/>
      <c r="X9" s="180"/>
      <c r="Y9" s="180"/>
      <c r="Z9" s="180"/>
      <c r="AA9" s="180"/>
      <c r="AB9" s="180"/>
      <c r="AC9" s="180"/>
      <c r="AD9" s="180"/>
      <c r="AE9" s="180"/>
      <c r="AF9" s="180"/>
      <c r="AG9" s="180"/>
      <c r="AH9" s="179"/>
      <c r="AI9" s="179"/>
      <c r="AJ9" s="179"/>
      <c r="AK9" s="179"/>
      <c r="AL9" s="179"/>
    </row>
    <row r="10" spans="1:38">
      <c r="A10" s="123" t="s">
        <v>402</v>
      </c>
      <c r="B10" s="123">
        <v>9487000</v>
      </c>
      <c r="C10" s="124" t="s">
        <v>49</v>
      </c>
      <c r="D10" s="192">
        <v>-1244</v>
      </c>
      <c r="E10" s="180"/>
      <c r="H10" s="180">
        <f>-D10</f>
        <v>1244</v>
      </c>
      <c r="I10" s="180"/>
      <c r="J10" s="180"/>
      <c r="K10" s="180"/>
      <c r="L10" s="180"/>
      <c r="M10" s="180"/>
      <c r="N10" s="180"/>
      <c r="R10" s="180"/>
      <c r="S10" s="180"/>
      <c r="T10" s="180">
        <f>SUM(E10:S10)</f>
        <v>1244</v>
      </c>
      <c r="U10" s="192">
        <f>+D10+T10</f>
        <v>0</v>
      </c>
      <c r="W10" s="180"/>
      <c r="X10" s="180"/>
      <c r="Y10" s="180"/>
      <c r="Z10" s="180"/>
      <c r="AA10" s="180"/>
      <c r="AB10" s="180"/>
      <c r="AC10" s="180"/>
      <c r="AD10" s="180"/>
      <c r="AE10" s="180"/>
      <c r="AF10" s="180"/>
      <c r="AG10" s="180"/>
      <c r="AH10" s="179"/>
      <c r="AI10" s="179"/>
      <c r="AJ10" s="179"/>
      <c r="AK10" s="179"/>
      <c r="AL10" s="179"/>
    </row>
    <row r="11" spans="1:38">
      <c r="A11" s="123" t="s">
        <v>402</v>
      </c>
      <c r="B11" s="123">
        <v>9488000</v>
      </c>
      <c r="C11" s="124" t="s">
        <v>51</v>
      </c>
      <c r="D11" s="192">
        <v>-82420</v>
      </c>
      <c r="E11" s="180"/>
      <c r="H11" s="180"/>
      <c r="I11" s="180"/>
      <c r="J11" s="180"/>
      <c r="K11" s="180"/>
      <c r="L11" s="180"/>
      <c r="M11" s="180"/>
      <c r="N11" s="180"/>
      <c r="R11" s="180"/>
      <c r="S11" s="180"/>
      <c r="T11" s="180">
        <f>SUM(E11:S11)</f>
        <v>0</v>
      </c>
      <c r="U11" s="192">
        <f>+D11+T11</f>
        <v>-82420</v>
      </c>
      <c r="W11" s="180"/>
      <c r="X11" s="180"/>
      <c r="Y11" s="180"/>
      <c r="Z11" s="180"/>
      <c r="AA11" s="180"/>
      <c r="AB11" s="180"/>
      <c r="AC11" s="180"/>
      <c r="AD11" s="180"/>
      <c r="AE11" s="180"/>
      <c r="AF11" s="180"/>
      <c r="AG11" s="180"/>
      <c r="AH11" s="179"/>
      <c r="AI11" s="179"/>
      <c r="AJ11" s="179"/>
      <c r="AK11" s="179"/>
      <c r="AL11" s="179"/>
    </row>
    <row r="12" spans="1:38">
      <c r="A12" s="123">
        <v>1600</v>
      </c>
      <c r="B12" s="123">
        <v>9489300</v>
      </c>
      <c r="C12" s="124" t="s">
        <v>52</v>
      </c>
      <c r="D12" s="192">
        <v>-7846694</v>
      </c>
      <c r="E12" s="180"/>
      <c r="F12" s="180">
        <f>SUM('Op Revenue'!Y10:Y18)-'Op Revenue'!Y13</f>
        <v>732799.14357860549</v>
      </c>
      <c r="H12" s="180"/>
      <c r="I12" s="180"/>
      <c r="J12" s="180"/>
      <c r="K12" s="180"/>
      <c r="L12" s="180"/>
      <c r="M12" s="180"/>
      <c r="N12" s="180"/>
      <c r="R12" s="180"/>
      <c r="S12" s="180"/>
      <c r="T12" s="180">
        <f>SUM(E12:S12)</f>
        <v>732799.14357860549</v>
      </c>
      <c r="U12" s="192">
        <f>+D12+T12</f>
        <v>-7113894.8564213943</v>
      </c>
      <c r="W12" s="180"/>
      <c r="X12" s="180"/>
      <c r="Y12" s="180"/>
      <c r="Z12" s="180"/>
      <c r="AA12" s="180"/>
      <c r="AB12" s="180"/>
      <c r="AC12" s="180"/>
      <c r="AD12" s="180"/>
      <c r="AE12" s="180"/>
      <c r="AF12" s="180"/>
      <c r="AG12" s="180"/>
      <c r="AH12" s="179"/>
      <c r="AI12" s="179"/>
      <c r="AJ12" s="179"/>
      <c r="AK12" s="179"/>
      <c r="AL12" s="179"/>
    </row>
    <row r="13" spans="1:38">
      <c r="A13" s="123">
        <v>1600</v>
      </c>
      <c r="B13" s="123">
        <v>9490000</v>
      </c>
      <c r="C13" s="124" t="s">
        <v>54</v>
      </c>
      <c r="D13" s="192" t="s">
        <v>223</v>
      </c>
      <c r="E13" s="180"/>
      <c r="H13" s="180"/>
      <c r="I13" s="180"/>
      <c r="J13" s="180"/>
      <c r="K13" s="180"/>
      <c r="L13" s="180"/>
      <c r="M13" s="180"/>
      <c r="N13" s="180"/>
      <c r="R13" s="180"/>
      <c r="S13" s="180"/>
      <c r="T13" s="180"/>
      <c r="U13" s="192"/>
      <c r="W13" s="180"/>
      <c r="X13" s="180"/>
      <c r="Y13" s="180"/>
      <c r="Z13" s="180"/>
      <c r="AA13" s="180"/>
      <c r="AB13" s="180"/>
      <c r="AC13" s="180"/>
      <c r="AD13" s="180"/>
      <c r="AE13" s="180"/>
      <c r="AF13" s="180"/>
      <c r="AG13" s="180"/>
      <c r="AH13" s="179"/>
      <c r="AI13" s="179"/>
      <c r="AJ13" s="179"/>
      <c r="AK13" s="179"/>
      <c r="AL13" s="179"/>
    </row>
    <row r="14" spans="1:38">
      <c r="A14" s="123"/>
      <c r="B14" s="123">
        <v>9495000</v>
      </c>
      <c r="C14" s="124" t="s">
        <v>55</v>
      </c>
      <c r="D14" s="192">
        <v>-1248100</v>
      </c>
      <c r="E14" s="180"/>
      <c r="H14" s="180"/>
      <c r="I14" s="180"/>
      <c r="J14" s="180"/>
      <c r="K14" s="180"/>
      <c r="L14" s="180"/>
      <c r="M14" s="180"/>
      <c r="N14" s="180"/>
      <c r="R14" s="180"/>
      <c r="S14" s="180"/>
      <c r="T14" s="180">
        <f>SUM(E14:S14)</f>
        <v>0</v>
      </c>
      <c r="U14" s="192">
        <f>+D14+T14</f>
        <v>-1248100</v>
      </c>
      <c r="W14" s="180"/>
      <c r="X14" s="180"/>
      <c r="Y14" s="180"/>
      <c r="Z14" s="180"/>
      <c r="AA14" s="180"/>
      <c r="AB14" s="180"/>
      <c r="AC14" s="180"/>
      <c r="AD14" s="180"/>
      <c r="AE14" s="180"/>
      <c r="AF14" s="180"/>
      <c r="AG14" s="180"/>
      <c r="AH14" s="179"/>
      <c r="AI14" s="179"/>
      <c r="AJ14" s="179"/>
      <c r="AK14" s="179"/>
      <c r="AL14" s="179"/>
    </row>
    <row r="15" spans="1:38">
      <c r="A15" s="123">
        <v>1600</v>
      </c>
      <c r="B15" s="123">
        <v>9496000</v>
      </c>
      <c r="C15" s="124" t="s">
        <v>56</v>
      </c>
      <c r="D15" s="192">
        <v>2699420</v>
      </c>
      <c r="E15" s="180"/>
      <c r="F15" s="180">
        <f>+'Op Revenue'!Y7+'Op Revenue'!Y13</f>
        <v>-91984</v>
      </c>
      <c r="H15" s="180"/>
      <c r="I15" s="180"/>
      <c r="J15" s="180"/>
      <c r="K15" s="180"/>
      <c r="L15" s="180"/>
      <c r="M15" s="180"/>
      <c r="N15" s="180"/>
      <c r="R15" s="180"/>
      <c r="S15" s="180"/>
      <c r="T15" s="180">
        <f>SUM(E15:S15)</f>
        <v>-91984</v>
      </c>
      <c r="U15" s="192">
        <f>+D15+T15</f>
        <v>2607436</v>
      </c>
      <c r="W15" s="180"/>
      <c r="X15" s="180"/>
      <c r="Y15" s="180"/>
      <c r="Z15" s="180"/>
      <c r="AA15" s="180"/>
      <c r="AB15" s="180"/>
      <c r="AC15" s="180"/>
      <c r="AD15" s="180"/>
      <c r="AE15" s="180"/>
      <c r="AF15" s="180"/>
      <c r="AG15" s="180"/>
      <c r="AH15" s="179"/>
      <c r="AI15" s="179"/>
      <c r="AJ15" s="179"/>
      <c r="AK15" s="179"/>
      <c r="AL15" s="179"/>
    </row>
    <row r="16" spans="1:38">
      <c r="A16" s="125"/>
      <c r="B16" s="125"/>
      <c r="C16" s="124" t="s">
        <v>58</v>
      </c>
      <c r="D16" s="126">
        <v>-6479037</v>
      </c>
      <c r="E16" s="180"/>
      <c r="H16" s="180"/>
      <c r="I16" s="180"/>
      <c r="J16" s="180"/>
      <c r="K16" s="180"/>
      <c r="L16" s="180"/>
      <c r="M16" s="180"/>
      <c r="N16" s="180"/>
      <c r="R16" s="180"/>
      <c r="S16" s="180"/>
      <c r="T16" s="180"/>
      <c r="U16" s="126">
        <f>SUM(U10:U15)</f>
        <v>-5836978.8564213943</v>
      </c>
      <c r="W16" s="180"/>
      <c r="X16" s="180"/>
      <c r="Y16" s="180"/>
      <c r="Z16" s="180"/>
      <c r="AA16" s="180"/>
      <c r="AB16" s="180"/>
      <c r="AC16" s="180"/>
      <c r="AD16" s="180"/>
      <c r="AE16" s="180"/>
      <c r="AF16" s="180"/>
      <c r="AG16" s="180"/>
      <c r="AH16" s="179"/>
      <c r="AI16" s="179"/>
      <c r="AJ16" s="179"/>
      <c r="AK16" s="179"/>
      <c r="AL16" s="179"/>
    </row>
    <row r="17" spans="1:38">
      <c r="A17" s="125"/>
      <c r="B17" s="125"/>
      <c r="C17" s="124" t="s">
        <v>59</v>
      </c>
      <c r="D17" s="126">
        <v>-45912763</v>
      </c>
      <c r="E17" s="180"/>
      <c r="H17" s="180"/>
      <c r="I17" s="180"/>
      <c r="J17" s="180"/>
      <c r="K17" s="180"/>
      <c r="L17" s="180"/>
      <c r="M17" s="180"/>
      <c r="N17" s="180"/>
      <c r="R17" s="180"/>
      <c r="S17" s="180"/>
      <c r="T17" s="180"/>
      <c r="U17" s="126">
        <f>+U16+U9</f>
        <v>-49314301.998028107</v>
      </c>
      <c r="V17" s="256">
        <f>+U17</f>
        <v>-49314301.998028107</v>
      </c>
      <c r="W17" s="180"/>
      <c r="X17" s="180"/>
      <c r="Y17" s="180"/>
      <c r="Z17" s="180"/>
      <c r="AA17" s="180"/>
      <c r="AB17" s="180"/>
      <c r="AC17" s="180"/>
      <c r="AD17" s="180"/>
      <c r="AE17" s="180"/>
      <c r="AF17" s="180"/>
      <c r="AG17" s="180"/>
      <c r="AH17" s="179"/>
      <c r="AI17" s="179"/>
      <c r="AJ17" s="179"/>
      <c r="AK17" s="179"/>
      <c r="AL17" s="179"/>
    </row>
    <row r="18" spans="1:38">
      <c r="A18" s="123"/>
      <c r="B18" s="123"/>
      <c r="C18" s="124" t="s">
        <v>60</v>
      </c>
      <c r="D18" s="192"/>
      <c r="E18" s="180"/>
      <c r="H18" s="180"/>
      <c r="I18" s="180"/>
      <c r="J18" s="180"/>
      <c r="K18" s="180"/>
      <c r="L18" s="180"/>
      <c r="M18" s="180"/>
      <c r="N18" s="180"/>
      <c r="R18" s="180"/>
      <c r="S18" s="180"/>
      <c r="T18" s="180"/>
      <c r="U18" s="192"/>
      <c r="W18" s="180"/>
      <c r="X18" s="180"/>
      <c r="Y18" s="180"/>
      <c r="Z18" s="180"/>
      <c r="AA18" s="180"/>
      <c r="AB18" s="180"/>
      <c r="AC18" s="180"/>
      <c r="AD18" s="180"/>
      <c r="AE18" s="180"/>
      <c r="AF18" s="180"/>
      <c r="AG18" s="180"/>
      <c r="AH18" s="179"/>
      <c r="AI18" s="179"/>
      <c r="AJ18" s="179"/>
      <c r="AK18" s="179"/>
      <c r="AL18" s="179"/>
    </row>
    <row r="19" spans="1:38">
      <c r="A19" s="123"/>
      <c r="B19" s="123"/>
      <c r="C19" s="124" t="s">
        <v>61</v>
      </c>
      <c r="D19" s="192"/>
      <c r="E19" s="180"/>
      <c r="H19" s="180"/>
      <c r="I19" s="180"/>
      <c r="J19" s="180"/>
      <c r="K19" s="180"/>
      <c r="L19" s="180"/>
      <c r="M19" s="180"/>
      <c r="N19" s="180"/>
      <c r="R19" s="180"/>
      <c r="S19" s="180"/>
      <c r="T19" s="180"/>
      <c r="U19" s="192"/>
      <c r="W19" s="180"/>
      <c r="X19" s="180"/>
      <c r="Y19" s="180"/>
      <c r="Z19" s="180"/>
      <c r="AA19" s="180"/>
      <c r="AB19" s="180"/>
      <c r="AC19" s="180"/>
      <c r="AD19" s="180"/>
      <c r="AE19" s="180"/>
      <c r="AF19" s="180"/>
      <c r="AG19" s="180"/>
      <c r="AH19" s="179"/>
      <c r="AI19" s="179"/>
      <c r="AJ19" s="179"/>
      <c r="AK19" s="179"/>
      <c r="AL19" s="179"/>
    </row>
    <row r="20" spans="1:38">
      <c r="A20" s="123"/>
      <c r="B20" s="123"/>
      <c r="C20" s="124" t="s">
        <v>62</v>
      </c>
      <c r="D20" s="192"/>
      <c r="E20" s="180"/>
      <c r="H20" s="180"/>
      <c r="I20" s="180"/>
      <c r="J20" s="180"/>
      <c r="K20" s="180"/>
      <c r="L20" s="180"/>
      <c r="M20" s="180"/>
      <c r="N20" s="180"/>
      <c r="R20" s="180"/>
      <c r="S20" s="180"/>
      <c r="T20" s="180"/>
      <c r="U20" s="192"/>
      <c r="W20" s="180"/>
      <c r="X20" s="180"/>
      <c r="Y20" s="180"/>
      <c r="Z20" s="180"/>
      <c r="AA20" s="180"/>
      <c r="AB20" s="180"/>
      <c r="AC20" s="180"/>
      <c r="AD20" s="180"/>
      <c r="AE20" s="180"/>
      <c r="AF20" s="180"/>
      <c r="AG20" s="180"/>
      <c r="AH20" s="179"/>
      <c r="AI20" s="179"/>
      <c r="AJ20" s="179"/>
      <c r="AK20" s="179"/>
      <c r="AL20" s="179"/>
    </row>
    <row r="21" spans="1:38">
      <c r="A21" s="123"/>
      <c r="B21" s="123"/>
      <c r="C21" s="124" t="s">
        <v>63</v>
      </c>
      <c r="D21" s="192"/>
      <c r="E21" s="180"/>
      <c r="H21" s="180"/>
      <c r="I21" s="180"/>
      <c r="J21" s="180"/>
      <c r="K21" s="180"/>
      <c r="L21" s="180"/>
      <c r="M21" s="180"/>
      <c r="N21" s="180"/>
      <c r="R21" s="180"/>
      <c r="S21" s="180"/>
      <c r="T21" s="180"/>
      <c r="U21" s="192"/>
      <c r="W21" s="180"/>
      <c r="X21" s="180"/>
      <c r="Y21" s="180"/>
      <c r="Z21" s="180"/>
      <c r="AA21" s="180"/>
      <c r="AB21" s="180"/>
      <c r="AC21" s="180"/>
      <c r="AD21" s="180"/>
      <c r="AE21" s="180"/>
      <c r="AF21" s="180"/>
      <c r="AG21" s="180"/>
      <c r="AH21" s="179"/>
      <c r="AI21" s="179"/>
      <c r="AJ21" s="179"/>
      <c r="AK21" s="179"/>
      <c r="AL21" s="179"/>
    </row>
    <row r="22" spans="1:38">
      <c r="A22" s="123">
        <v>1600</v>
      </c>
      <c r="B22" s="123">
        <v>9753000</v>
      </c>
      <c r="C22" s="124" t="s">
        <v>64</v>
      </c>
      <c r="D22" s="192">
        <v>46826</v>
      </c>
      <c r="E22" s="180"/>
      <c r="H22" s="180"/>
      <c r="I22" s="180"/>
      <c r="J22" s="180"/>
      <c r="K22" s="180">
        <f>+'Payroll Base and Adjustment '!F83</f>
        <v>5519.4773273282763</v>
      </c>
      <c r="L22" s="180"/>
      <c r="M22" s="180"/>
      <c r="N22" s="180"/>
      <c r="R22" s="180"/>
      <c r="S22" s="180"/>
      <c r="T22" s="180">
        <f>SUM(E22:S22)</f>
        <v>5519.4773273282763</v>
      </c>
      <c r="U22" s="192">
        <f>+D22+T22</f>
        <v>52345.477327328277</v>
      </c>
      <c r="W22" s="180"/>
      <c r="X22" s="180"/>
      <c r="Y22" s="180"/>
      <c r="Z22" s="180"/>
      <c r="AA22" s="180"/>
      <c r="AB22" s="180"/>
      <c r="AC22" s="180"/>
      <c r="AD22" s="180"/>
      <c r="AE22" s="180"/>
      <c r="AF22" s="180"/>
      <c r="AG22" s="180"/>
      <c r="AH22" s="179"/>
      <c r="AI22" s="179"/>
      <c r="AJ22" s="179"/>
      <c r="AK22" s="179"/>
      <c r="AL22" s="179"/>
    </row>
    <row r="23" spans="1:38">
      <c r="A23" s="123">
        <v>1600</v>
      </c>
      <c r="B23" s="123">
        <v>9754000</v>
      </c>
      <c r="C23" s="124" t="s">
        <v>66</v>
      </c>
      <c r="D23" s="192">
        <v>129512</v>
      </c>
      <c r="E23" s="180"/>
      <c r="H23" s="180"/>
      <c r="I23" s="180"/>
      <c r="J23" s="180"/>
      <c r="K23" s="180"/>
      <c r="L23" s="180"/>
      <c r="M23" s="180"/>
      <c r="N23" s="180"/>
      <c r="R23" s="180"/>
      <c r="S23" s="180"/>
      <c r="T23" s="180">
        <f>SUM(E23:S23)</f>
        <v>0</v>
      </c>
      <c r="U23" s="192">
        <f>+D23+T23</f>
        <v>129512</v>
      </c>
      <c r="W23" s="180"/>
      <c r="X23" s="180"/>
      <c r="Y23" s="180"/>
      <c r="Z23" s="180"/>
      <c r="AA23" s="180"/>
      <c r="AB23" s="180"/>
      <c r="AC23" s="180"/>
      <c r="AD23" s="180"/>
      <c r="AE23" s="180"/>
      <c r="AF23" s="180"/>
      <c r="AG23" s="180"/>
      <c r="AH23" s="179"/>
      <c r="AI23" s="179"/>
      <c r="AJ23" s="179"/>
      <c r="AK23" s="179"/>
      <c r="AL23" s="179"/>
    </row>
    <row r="24" spans="1:38">
      <c r="A24" s="125"/>
      <c r="B24" s="125"/>
      <c r="C24" s="124" t="s">
        <v>67</v>
      </c>
      <c r="D24" s="126">
        <v>176338</v>
      </c>
      <c r="E24" s="180"/>
      <c r="H24" s="180"/>
      <c r="I24" s="180"/>
      <c r="J24" s="180"/>
      <c r="K24" s="180"/>
      <c r="L24" s="180"/>
      <c r="M24" s="180"/>
      <c r="N24" s="180"/>
      <c r="R24" s="180"/>
      <c r="S24" s="180"/>
      <c r="T24" s="180"/>
      <c r="U24" s="126">
        <f>SUM(U22:U23)</f>
        <v>181857.47732732829</v>
      </c>
      <c r="W24" s="180"/>
      <c r="X24" s="180"/>
      <c r="Y24" s="180"/>
      <c r="Z24" s="180"/>
      <c r="AA24" s="180"/>
      <c r="AB24" s="180"/>
      <c r="AC24" s="180"/>
      <c r="AD24" s="180"/>
      <c r="AE24" s="180"/>
      <c r="AF24" s="180"/>
      <c r="AG24" s="180"/>
      <c r="AH24" s="179"/>
      <c r="AI24" s="179"/>
      <c r="AJ24" s="179"/>
      <c r="AK24" s="179"/>
      <c r="AL24" s="179"/>
    </row>
    <row r="25" spans="1:38">
      <c r="A25" s="125"/>
      <c r="B25" s="125"/>
      <c r="C25" s="124" t="s">
        <v>68</v>
      </c>
      <c r="D25" s="126">
        <v>176338</v>
      </c>
      <c r="E25" s="180"/>
      <c r="H25" s="180"/>
      <c r="I25" s="180"/>
      <c r="J25" s="180"/>
      <c r="K25" s="180"/>
      <c r="L25" s="180"/>
      <c r="M25" s="180"/>
      <c r="N25" s="180"/>
      <c r="R25" s="180"/>
      <c r="S25" s="180"/>
      <c r="T25" s="180"/>
      <c r="U25" s="126">
        <f>+U24</f>
        <v>181857.47732732829</v>
      </c>
      <c r="W25" s="180"/>
      <c r="X25" s="180"/>
      <c r="Y25" s="180"/>
      <c r="Z25" s="180"/>
      <c r="AA25" s="180"/>
      <c r="AB25" s="180"/>
      <c r="AC25" s="180"/>
      <c r="AD25" s="180"/>
      <c r="AE25" s="180"/>
      <c r="AF25" s="180"/>
      <c r="AG25" s="180"/>
      <c r="AH25" s="179"/>
      <c r="AI25" s="179"/>
      <c r="AJ25" s="179"/>
      <c r="AK25" s="179"/>
      <c r="AL25" s="179"/>
    </row>
    <row r="26" spans="1:38">
      <c r="A26" s="123" t="s">
        <v>402</v>
      </c>
      <c r="B26" s="123">
        <v>9803000</v>
      </c>
      <c r="C26" s="124" t="s">
        <v>69</v>
      </c>
      <c r="D26" s="192">
        <v>11955982</v>
      </c>
      <c r="E26" s="128">
        <f>+'PreTax Net Income'!AA23</f>
        <v>-316124</v>
      </c>
      <c r="F26" s="128"/>
      <c r="G26" s="128">
        <f>+'Gas Cost'!E26</f>
        <v>3629138.6430726722</v>
      </c>
      <c r="H26" s="180"/>
      <c r="I26" s="180"/>
      <c r="J26" s="180"/>
      <c r="K26" s="180"/>
      <c r="L26" s="180"/>
      <c r="M26" s="180"/>
      <c r="N26" s="180"/>
      <c r="R26" s="180"/>
      <c r="S26" s="180"/>
      <c r="T26" s="180">
        <f>SUM(E26:S26)</f>
        <v>3313014.6430726722</v>
      </c>
      <c r="U26" s="192">
        <f>+D26+T26</f>
        <v>15268996.643072672</v>
      </c>
      <c r="W26" s="180"/>
      <c r="X26" s="180"/>
      <c r="Y26" s="180"/>
      <c r="Z26" s="180"/>
      <c r="AA26" s="180"/>
      <c r="AB26" s="180"/>
      <c r="AC26" s="180"/>
      <c r="AD26" s="180"/>
      <c r="AE26" s="180"/>
      <c r="AF26" s="180"/>
      <c r="AG26" s="180"/>
      <c r="AH26" s="179"/>
      <c r="AI26" s="179"/>
      <c r="AJ26" s="179"/>
      <c r="AK26" s="179"/>
      <c r="AL26" s="179"/>
    </row>
    <row r="27" spans="1:38">
      <c r="A27" s="123" t="s">
        <v>402</v>
      </c>
      <c r="B27" s="123">
        <v>9805100</v>
      </c>
      <c r="C27" s="124" t="s">
        <v>71</v>
      </c>
      <c r="D27" s="192">
        <v>369965</v>
      </c>
      <c r="E27" s="180"/>
      <c r="H27" s="180"/>
      <c r="I27" s="180"/>
      <c r="J27" s="180"/>
      <c r="K27" s="180"/>
      <c r="L27" s="180"/>
      <c r="M27" s="180"/>
      <c r="N27" s="180"/>
      <c r="R27" s="180"/>
      <c r="S27" s="180"/>
      <c r="T27" s="180">
        <f>SUM(E27:S27)</f>
        <v>0</v>
      </c>
      <c r="U27" s="192">
        <f>+D27+T27</f>
        <v>369965</v>
      </c>
      <c r="W27" s="180"/>
      <c r="X27" s="180"/>
      <c r="Y27" s="180"/>
      <c r="Z27" s="180"/>
      <c r="AA27" s="180"/>
      <c r="AB27" s="180"/>
      <c r="AC27" s="180"/>
      <c r="AD27" s="180"/>
      <c r="AE27" s="180"/>
      <c r="AF27" s="180"/>
      <c r="AG27" s="180"/>
      <c r="AH27" s="179"/>
      <c r="AI27" s="179"/>
      <c r="AJ27" s="179"/>
      <c r="AK27" s="179"/>
      <c r="AL27" s="179"/>
    </row>
    <row r="28" spans="1:38">
      <c r="A28" s="123" t="s">
        <v>402</v>
      </c>
      <c r="B28" s="123">
        <v>9813000</v>
      </c>
      <c r="C28" s="124" t="s">
        <v>72</v>
      </c>
      <c r="D28" s="192">
        <v>1064</v>
      </c>
      <c r="E28" s="180"/>
      <c r="H28" s="180"/>
      <c r="I28" s="180"/>
      <c r="J28" s="180"/>
      <c r="K28" s="180"/>
      <c r="L28" s="180"/>
      <c r="M28" s="180"/>
      <c r="N28" s="180"/>
      <c r="R28" s="180"/>
      <c r="S28" s="180"/>
      <c r="T28" s="180">
        <f>SUM(E28:S28)</f>
        <v>0</v>
      </c>
      <c r="U28" s="192">
        <f>+D28+T28</f>
        <v>1064</v>
      </c>
      <c r="W28" s="180"/>
      <c r="X28" s="180"/>
      <c r="Y28" s="180"/>
      <c r="Z28" s="180"/>
      <c r="AA28" s="180"/>
      <c r="AB28" s="180"/>
      <c r="AC28" s="180"/>
      <c r="AD28" s="180"/>
      <c r="AE28" s="180"/>
      <c r="AF28" s="180"/>
      <c r="AG28" s="180"/>
      <c r="AH28" s="179"/>
      <c r="AI28" s="179"/>
      <c r="AJ28" s="179"/>
      <c r="AK28" s="179"/>
      <c r="AL28" s="179"/>
    </row>
    <row r="29" spans="1:38">
      <c r="A29" s="125"/>
      <c r="B29" s="125"/>
      <c r="C29" s="124" t="s">
        <v>73</v>
      </c>
      <c r="D29" s="126">
        <v>12327011</v>
      </c>
      <c r="E29" s="180"/>
      <c r="H29" s="180"/>
      <c r="I29" s="180"/>
      <c r="J29" s="180"/>
      <c r="K29" s="180"/>
      <c r="L29" s="180"/>
      <c r="M29" s="180"/>
      <c r="N29" s="180"/>
      <c r="R29" s="180"/>
      <c r="S29" s="180"/>
      <c r="T29" s="180"/>
      <c r="U29" s="126">
        <f>SUM(U26:U28)</f>
        <v>15640025.643072672</v>
      </c>
      <c r="W29" s="180"/>
      <c r="X29" s="180"/>
      <c r="Y29" s="180"/>
      <c r="Z29" s="180"/>
      <c r="AA29" s="180"/>
      <c r="AB29" s="180"/>
      <c r="AC29" s="180"/>
      <c r="AD29" s="180"/>
      <c r="AE29" s="180"/>
      <c r="AF29" s="180"/>
      <c r="AG29" s="180"/>
      <c r="AH29" s="179"/>
      <c r="AI29" s="179"/>
      <c r="AJ29" s="179"/>
      <c r="AK29" s="179"/>
      <c r="AL29" s="179"/>
    </row>
    <row r="30" spans="1:38">
      <c r="A30" s="125"/>
      <c r="B30" s="125"/>
      <c r="C30" s="124" t="s">
        <v>74</v>
      </c>
      <c r="D30" s="126">
        <v>12503349</v>
      </c>
      <c r="E30" s="180"/>
      <c r="H30" s="180"/>
      <c r="I30" s="180"/>
      <c r="J30" s="180"/>
      <c r="K30" s="180"/>
      <c r="L30" s="180"/>
      <c r="M30" s="180"/>
      <c r="N30" s="180"/>
      <c r="R30" s="180"/>
      <c r="S30" s="180"/>
      <c r="T30" s="180"/>
      <c r="U30" s="126">
        <f>+U29+U25</f>
        <v>15821883.1204</v>
      </c>
      <c r="V30" s="256">
        <f>+U30</f>
        <v>15821883.1204</v>
      </c>
      <c r="W30" s="180"/>
      <c r="X30" s="180"/>
      <c r="Y30" s="180"/>
      <c r="Z30" s="180"/>
      <c r="AA30" s="180"/>
      <c r="AB30" s="180"/>
      <c r="AC30" s="180"/>
      <c r="AD30" s="180"/>
      <c r="AE30" s="180"/>
      <c r="AF30" s="180"/>
      <c r="AG30" s="180"/>
      <c r="AH30" s="179"/>
      <c r="AI30" s="179"/>
      <c r="AJ30" s="179"/>
      <c r="AK30" s="179"/>
      <c r="AL30" s="179"/>
    </row>
    <row r="31" spans="1:38">
      <c r="A31" s="123"/>
      <c r="B31" s="123"/>
      <c r="C31" s="130" t="s">
        <v>75</v>
      </c>
      <c r="D31" s="192"/>
      <c r="E31" s="180"/>
      <c r="H31" s="180"/>
      <c r="I31" s="180"/>
      <c r="J31" s="180"/>
      <c r="K31" s="180"/>
      <c r="L31" s="180"/>
      <c r="M31" s="180"/>
      <c r="N31" s="180"/>
      <c r="R31" s="180"/>
      <c r="S31" s="180"/>
      <c r="T31" s="180"/>
      <c r="U31" s="192"/>
      <c r="W31" s="180"/>
      <c r="X31" s="180"/>
      <c r="Y31" s="180"/>
      <c r="Z31" s="180"/>
      <c r="AA31" s="180"/>
      <c r="AB31" s="180"/>
      <c r="AC31" s="180"/>
      <c r="AD31" s="180"/>
      <c r="AE31" s="180"/>
      <c r="AF31" s="180"/>
      <c r="AG31" s="180"/>
      <c r="AH31" s="179"/>
      <c r="AI31" s="179"/>
      <c r="AJ31" s="179"/>
      <c r="AK31" s="179"/>
      <c r="AL31" s="179"/>
    </row>
    <row r="32" spans="1:38">
      <c r="A32" s="123">
        <v>1600</v>
      </c>
      <c r="B32" s="123">
        <v>9816000</v>
      </c>
      <c r="C32" s="130" t="s">
        <v>76</v>
      </c>
      <c r="D32" s="192">
        <v>73226</v>
      </c>
      <c r="E32" s="180"/>
      <c r="H32" s="180"/>
      <c r="I32" s="180"/>
      <c r="J32" s="180"/>
      <c r="K32" s="180">
        <f>+'Payroll Base and Adjustment '!F84</f>
        <v>2424.1937181466897</v>
      </c>
      <c r="L32" s="180"/>
      <c r="M32" s="180"/>
      <c r="N32" s="180"/>
      <c r="R32" s="180"/>
      <c r="S32" s="180"/>
      <c r="T32" s="180">
        <f t="shared" ref="T32:T37" si="0">SUM(E32:S32)</f>
        <v>2424.1937181466897</v>
      </c>
      <c r="U32" s="192">
        <f t="shared" ref="U32:U37" si="1">+D32+T32</f>
        <v>75650.193718146693</v>
      </c>
      <c r="W32" s="180"/>
      <c r="X32" s="180"/>
      <c r="Y32" s="180"/>
      <c r="Z32" s="180"/>
      <c r="AA32" s="180"/>
      <c r="AB32" s="180"/>
      <c r="AC32" s="180"/>
      <c r="AD32" s="180"/>
      <c r="AE32" s="180"/>
      <c r="AF32" s="180"/>
      <c r="AG32" s="180"/>
      <c r="AH32" s="179"/>
      <c r="AI32" s="179"/>
      <c r="AJ32" s="179"/>
      <c r="AK32" s="179"/>
      <c r="AL32" s="179"/>
    </row>
    <row r="33" spans="1:38">
      <c r="A33" s="123">
        <v>1600</v>
      </c>
      <c r="B33" s="123">
        <v>9818000</v>
      </c>
      <c r="C33" s="130" t="s">
        <v>77</v>
      </c>
      <c r="D33" s="192">
        <v>87868</v>
      </c>
      <c r="E33" s="180"/>
      <c r="H33" s="180"/>
      <c r="I33" s="180"/>
      <c r="J33" s="180"/>
      <c r="K33" s="180"/>
      <c r="L33" s="180"/>
      <c r="M33" s="180"/>
      <c r="N33" s="180"/>
      <c r="R33" s="180"/>
      <c r="S33" s="180"/>
      <c r="T33" s="180">
        <f t="shared" si="0"/>
        <v>0</v>
      </c>
      <c r="U33" s="192">
        <f t="shared" si="1"/>
        <v>87868</v>
      </c>
      <c r="W33" s="180"/>
      <c r="X33" s="180"/>
      <c r="Y33" s="180"/>
      <c r="Z33" s="180"/>
      <c r="AA33" s="180"/>
      <c r="AB33" s="180"/>
      <c r="AC33" s="180"/>
      <c r="AD33" s="180"/>
      <c r="AE33" s="180"/>
      <c r="AF33" s="180"/>
      <c r="AG33" s="180"/>
      <c r="AH33" s="179"/>
      <c r="AI33" s="179"/>
      <c r="AJ33" s="179"/>
      <c r="AK33" s="179"/>
      <c r="AL33" s="179"/>
    </row>
    <row r="34" spans="1:38">
      <c r="A34" s="123">
        <v>1600</v>
      </c>
      <c r="B34" s="123">
        <v>9821000</v>
      </c>
      <c r="C34" s="130" t="s">
        <v>78</v>
      </c>
      <c r="D34" s="192">
        <v>102594</v>
      </c>
      <c r="E34" s="180"/>
      <c r="H34" s="180"/>
      <c r="I34" s="180"/>
      <c r="J34" s="180"/>
      <c r="K34" s="180"/>
      <c r="L34" s="180"/>
      <c r="M34" s="180"/>
      <c r="N34" s="180"/>
      <c r="R34" s="180"/>
      <c r="S34" s="180"/>
      <c r="T34" s="180">
        <f t="shared" si="0"/>
        <v>0</v>
      </c>
      <c r="U34" s="192">
        <f t="shared" si="1"/>
        <v>102594</v>
      </c>
      <c r="W34" s="180"/>
      <c r="X34" s="180"/>
      <c r="Y34" s="180"/>
      <c r="Z34" s="180"/>
      <c r="AA34" s="180"/>
      <c r="AB34" s="180"/>
      <c r="AC34" s="180"/>
      <c r="AD34" s="180"/>
      <c r="AE34" s="180"/>
      <c r="AF34" s="180"/>
      <c r="AG34" s="180"/>
      <c r="AH34" s="179"/>
      <c r="AI34" s="179"/>
      <c r="AJ34" s="179"/>
      <c r="AK34" s="179"/>
      <c r="AL34" s="179"/>
    </row>
    <row r="35" spans="1:38">
      <c r="A35" s="123"/>
      <c r="B35" s="123">
        <v>9823000</v>
      </c>
      <c r="C35" s="130" t="s">
        <v>79</v>
      </c>
      <c r="D35" s="192">
        <v>1686</v>
      </c>
      <c r="E35" s="180"/>
      <c r="H35" s="180"/>
      <c r="I35" s="180"/>
      <c r="J35" s="180"/>
      <c r="K35" s="180"/>
      <c r="L35" s="180"/>
      <c r="M35" s="180"/>
      <c r="N35" s="180"/>
      <c r="R35" s="180"/>
      <c r="S35" s="180"/>
      <c r="T35" s="180">
        <f t="shared" si="0"/>
        <v>0</v>
      </c>
      <c r="U35" s="192">
        <f t="shared" si="1"/>
        <v>1686</v>
      </c>
      <c r="W35" s="180"/>
      <c r="X35" s="180"/>
      <c r="Y35" s="180"/>
      <c r="Z35" s="180"/>
      <c r="AA35" s="180"/>
      <c r="AB35" s="180"/>
      <c r="AC35" s="180"/>
      <c r="AD35" s="180"/>
      <c r="AE35" s="180"/>
      <c r="AF35" s="180"/>
      <c r="AG35" s="180"/>
      <c r="AH35" s="179"/>
      <c r="AI35" s="179"/>
      <c r="AJ35" s="179"/>
      <c r="AK35" s="179"/>
      <c r="AL35" s="179"/>
    </row>
    <row r="36" spans="1:38">
      <c r="A36" s="123">
        <v>1600</v>
      </c>
      <c r="B36" s="123">
        <v>9824000</v>
      </c>
      <c r="C36" s="130" t="s">
        <v>80</v>
      </c>
      <c r="D36" s="192">
        <v>3546</v>
      </c>
      <c r="E36" s="180"/>
      <c r="H36" s="180"/>
      <c r="I36" s="180"/>
      <c r="J36" s="180"/>
      <c r="K36" s="180"/>
      <c r="L36" s="180"/>
      <c r="M36" s="180"/>
      <c r="N36" s="180"/>
      <c r="R36" s="180"/>
      <c r="S36" s="180"/>
      <c r="T36" s="180">
        <f t="shared" si="0"/>
        <v>0</v>
      </c>
      <c r="U36" s="192">
        <f t="shared" si="1"/>
        <v>3546</v>
      </c>
      <c r="W36" s="180"/>
      <c r="X36" s="180"/>
      <c r="Y36" s="180"/>
      <c r="Z36" s="180"/>
      <c r="AA36" s="180"/>
      <c r="AB36" s="180"/>
      <c r="AC36" s="180"/>
      <c r="AD36" s="180"/>
      <c r="AE36" s="180"/>
      <c r="AF36" s="180"/>
      <c r="AG36" s="180"/>
      <c r="AH36" s="179"/>
      <c r="AI36" s="179"/>
      <c r="AJ36" s="179"/>
      <c r="AK36" s="179"/>
      <c r="AL36" s="179"/>
    </row>
    <row r="37" spans="1:38">
      <c r="A37" s="123">
        <v>1600</v>
      </c>
      <c r="B37" s="123">
        <v>9825000</v>
      </c>
      <c r="C37" s="130" t="s">
        <v>81</v>
      </c>
      <c r="D37" s="192">
        <v>50569</v>
      </c>
      <c r="E37" s="180"/>
      <c r="H37" s="180"/>
      <c r="I37" s="180"/>
      <c r="J37" s="180"/>
      <c r="K37" s="180"/>
      <c r="L37" s="180"/>
      <c r="M37" s="180"/>
      <c r="N37" s="180"/>
      <c r="R37" s="180"/>
      <c r="S37" s="180"/>
      <c r="T37" s="180">
        <f t="shared" si="0"/>
        <v>0</v>
      </c>
      <c r="U37" s="192">
        <f t="shared" si="1"/>
        <v>50569</v>
      </c>
      <c r="W37" s="180"/>
      <c r="X37" s="180"/>
      <c r="Y37" s="180"/>
      <c r="Z37" s="180"/>
      <c r="AA37" s="180"/>
      <c r="AB37" s="180"/>
      <c r="AC37" s="180"/>
      <c r="AD37" s="180"/>
      <c r="AE37" s="180"/>
      <c r="AF37" s="180"/>
      <c r="AG37" s="180"/>
      <c r="AH37" s="179"/>
      <c r="AI37" s="179"/>
      <c r="AJ37" s="179"/>
      <c r="AK37" s="179"/>
      <c r="AL37" s="179"/>
    </row>
    <row r="38" spans="1:38">
      <c r="A38" s="125"/>
      <c r="B38" s="125"/>
      <c r="C38" s="130" t="s">
        <v>82</v>
      </c>
      <c r="D38" s="126">
        <v>319489</v>
      </c>
      <c r="E38" s="180"/>
      <c r="H38" s="180"/>
      <c r="I38" s="180"/>
      <c r="J38" s="180"/>
      <c r="K38" s="180"/>
      <c r="L38" s="180"/>
      <c r="M38" s="180"/>
      <c r="N38" s="180"/>
      <c r="R38" s="180"/>
      <c r="S38" s="180"/>
      <c r="T38" s="180"/>
      <c r="U38" s="126">
        <f>SUM(U32:U37)</f>
        <v>321913.19371814671</v>
      </c>
      <c r="W38" s="180"/>
      <c r="X38" s="180"/>
      <c r="Y38" s="180"/>
      <c r="Z38" s="180"/>
      <c r="AA38" s="180"/>
      <c r="AB38" s="180"/>
      <c r="AC38" s="180"/>
      <c r="AD38" s="180"/>
      <c r="AE38" s="180"/>
      <c r="AF38" s="180"/>
      <c r="AG38" s="180"/>
      <c r="AH38" s="179"/>
      <c r="AI38" s="179"/>
      <c r="AJ38" s="179"/>
      <c r="AK38" s="179"/>
      <c r="AL38" s="179"/>
    </row>
    <row r="39" spans="1:38">
      <c r="A39" s="125"/>
      <c r="B39" s="125"/>
      <c r="C39" s="130" t="s">
        <v>83</v>
      </c>
      <c r="D39" s="126">
        <v>319489</v>
      </c>
      <c r="E39" s="180"/>
      <c r="H39" s="180"/>
      <c r="I39" s="180"/>
      <c r="J39" s="180"/>
      <c r="K39" s="180"/>
      <c r="L39" s="180"/>
      <c r="M39" s="180"/>
      <c r="N39" s="180"/>
      <c r="R39" s="180"/>
      <c r="S39" s="180"/>
      <c r="T39" s="180"/>
      <c r="U39" s="126">
        <f>+U38</f>
        <v>321913.19371814671</v>
      </c>
      <c r="W39" s="180"/>
      <c r="X39" s="180"/>
      <c r="Y39" s="180"/>
      <c r="Z39" s="180"/>
      <c r="AA39" s="180"/>
      <c r="AB39" s="180"/>
      <c r="AC39" s="180"/>
      <c r="AD39" s="180"/>
      <c r="AE39" s="180"/>
      <c r="AF39" s="180"/>
      <c r="AG39" s="180"/>
      <c r="AH39" s="179"/>
      <c r="AI39" s="179"/>
      <c r="AJ39" s="179"/>
      <c r="AK39" s="179"/>
      <c r="AL39" s="179"/>
    </row>
    <row r="40" spans="1:38">
      <c r="A40" s="123">
        <v>1600</v>
      </c>
      <c r="B40" s="123">
        <v>9851000</v>
      </c>
      <c r="C40" s="131" t="s">
        <v>84</v>
      </c>
      <c r="D40" s="192">
        <v>111655</v>
      </c>
      <c r="E40" s="180"/>
      <c r="H40" s="180"/>
      <c r="I40" s="180"/>
      <c r="J40" s="180"/>
      <c r="K40" s="180"/>
      <c r="L40" s="180"/>
      <c r="M40" s="180"/>
      <c r="N40" s="180"/>
      <c r="R40" s="180"/>
      <c r="S40" s="180"/>
      <c r="T40" s="180">
        <f>SUM(E40:S40)</f>
        <v>0</v>
      </c>
      <c r="U40" s="192">
        <f>+D40+T40</f>
        <v>111655</v>
      </c>
      <c r="W40" s="180"/>
      <c r="X40" s="180"/>
      <c r="Y40" s="180"/>
      <c r="Z40" s="180"/>
      <c r="AA40" s="180"/>
      <c r="AB40" s="180"/>
      <c r="AC40" s="180"/>
      <c r="AD40" s="180"/>
      <c r="AE40" s="180"/>
      <c r="AF40" s="180"/>
      <c r="AG40" s="180"/>
      <c r="AH40" s="179"/>
      <c r="AI40" s="179"/>
      <c r="AJ40" s="179"/>
      <c r="AK40" s="179"/>
      <c r="AL40" s="179"/>
    </row>
    <row r="41" spans="1:38">
      <c r="A41" s="123">
        <v>1600</v>
      </c>
      <c r="B41" s="123">
        <v>9856000</v>
      </c>
      <c r="C41" s="131" t="s">
        <v>85</v>
      </c>
      <c r="D41" s="192">
        <v>3191457</v>
      </c>
      <c r="E41" s="180"/>
      <c r="H41" s="180"/>
      <c r="I41" s="180"/>
      <c r="J41" s="180"/>
      <c r="K41" s="180">
        <f>+'Payroll Base and Adjustment '!F85</f>
        <v>160025.93260864337</v>
      </c>
      <c r="L41" s="180"/>
      <c r="M41" s="180"/>
      <c r="N41" s="180"/>
      <c r="R41" s="180"/>
      <c r="S41" s="180"/>
      <c r="T41" s="180">
        <f>SUM(E41:S41)</f>
        <v>160025.93260864337</v>
      </c>
      <c r="U41" s="192">
        <f>+D41+T41</f>
        <v>3351482.9326086435</v>
      </c>
      <c r="W41" s="180"/>
      <c r="X41" s="180"/>
      <c r="Y41" s="180"/>
      <c r="Z41" s="180"/>
      <c r="AA41" s="180"/>
      <c r="AB41" s="180"/>
      <c r="AC41" s="180"/>
      <c r="AD41" s="180"/>
      <c r="AE41" s="180"/>
      <c r="AF41" s="180"/>
      <c r="AG41" s="180"/>
      <c r="AH41" s="179"/>
      <c r="AI41" s="179"/>
      <c r="AJ41" s="179"/>
      <c r="AK41" s="179"/>
      <c r="AL41" s="179"/>
    </row>
    <row r="42" spans="1:38">
      <c r="A42" s="123">
        <v>1300</v>
      </c>
      <c r="B42" s="123">
        <v>9858000</v>
      </c>
      <c r="C42" s="131" t="s">
        <v>86</v>
      </c>
      <c r="D42" s="192">
        <v>290244</v>
      </c>
      <c r="E42" s="180"/>
      <c r="H42" s="180"/>
      <c r="I42" s="180"/>
      <c r="J42" s="180"/>
      <c r="K42" s="180"/>
      <c r="L42" s="180"/>
      <c r="M42" s="180"/>
      <c r="N42" s="180"/>
      <c r="R42" s="180"/>
      <c r="S42" s="180"/>
      <c r="T42" s="180">
        <f>SUM(E42:S42)</f>
        <v>0</v>
      </c>
      <c r="U42" s="192">
        <f>+D42+T42</f>
        <v>290244</v>
      </c>
      <c r="W42" s="180"/>
      <c r="X42" s="180"/>
      <c r="Y42" s="180"/>
      <c r="Z42" s="180"/>
      <c r="AA42" s="180"/>
      <c r="AB42" s="180"/>
      <c r="AC42" s="180"/>
      <c r="AD42" s="180"/>
      <c r="AE42" s="180"/>
      <c r="AF42" s="180"/>
      <c r="AG42" s="180"/>
      <c r="AH42" s="179"/>
      <c r="AI42" s="179"/>
      <c r="AJ42" s="179"/>
      <c r="AK42" s="179"/>
      <c r="AL42" s="179"/>
    </row>
    <row r="43" spans="1:38">
      <c r="A43" s="125"/>
      <c r="B43" s="125"/>
      <c r="C43" s="131" t="s">
        <v>87</v>
      </c>
      <c r="D43" s="126">
        <v>3593355</v>
      </c>
      <c r="E43" s="180"/>
      <c r="H43" s="180"/>
      <c r="I43" s="180"/>
      <c r="J43" s="180"/>
      <c r="K43" s="180"/>
      <c r="L43" s="180"/>
      <c r="M43" s="180"/>
      <c r="N43" s="180"/>
      <c r="R43" s="180"/>
      <c r="S43" s="180"/>
      <c r="T43" s="180"/>
      <c r="U43" s="126">
        <f>SUM(U40:U42)</f>
        <v>3753381.9326086435</v>
      </c>
      <c r="W43" s="180"/>
      <c r="X43" s="180"/>
      <c r="Y43" s="180"/>
      <c r="Z43" s="180"/>
      <c r="AA43" s="180"/>
      <c r="AB43" s="180"/>
      <c r="AC43" s="180"/>
      <c r="AD43" s="180"/>
      <c r="AE43" s="180"/>
      <c r="AF43" s="180"/>
      <c r="AG43" s="180"/>
      <c r="AH43" s="179"/>
      <c r="AI43" s="179"/>
      <c r="AJ43" s="179"/>
      <c r="AK43" s="179"/>
      <c r="AL43" s="179"/>
    </row>
    <row r="44" spans="1:38">
      <c r="A44" s="123" t="s">
        <v>402</v>
      </c>
      <c r="B44" s="123">
        <v>9870000</v>
      </c>
      <c r="C44" s="132" t="s">
        <v>88</v>
      </c>
      <c r="D44" s="192">
        <v>-23722</v>
      </c>
      <c r="E44" s="180"/>
      <c r="H44" s="180"/>
      <c r="I44" s="180"/>
      <c r="J44" s="180"/>
      <c r="K44" s="180"/>
      <c r="L44" s="180"/>
      <c r="M44" s="180"/>
      <c r="N44" s="180"/>
      <c r="R44" s="180"/>
      <c r="S44" s="180"/>
      <c r="T44" s="180">
        <f t="shared" ref="T44:T49" si="2">SUM(E44:S44)</f>
        <v>0</v>
      </c>
      <c r="U44" s="192">
        <f t="shared" ref="U44:U49" si="3">+D44+T44</f>
        <v>-23722</v>
      </c>
      <c r="W44" s="180"/>
      <c r="X44" s="180"/>
      <c r="Y44" s="180"/>
      <c r="Z44" s="180"/>
      <c r="AA44" s="180"/>
      <c r="AB44" s="180"/>
      <c r="AC44" s="180"/>
      <c r="AD44" s="180"/>
      <c r="AE44" s="180"/>
      <c r="AF44" s="180"/>
      <c r="AG44" s="180"/>
      <c r="AH44" s="179"/>
      <c r="AI44" s="179"/>
      <c r="AJ44" s="179"/>
      <c r="AK44" s="179"/>
      <c r="AL44" s="179"/>
    </row>
    <row r="45" spans="1:38">
      <c r="A45" s="123">
        <v>1600</v>
      </c>
      <c r="B45" s="123">
        <v>9872000</v>
      </c>
      <c r="C45" s="132" t="s">
        <v>89</v>
      </c>
      <c r="D45" s="192">
        <v>334963</v>
      </c>
      <c r="E45" s="180"/>
      <c r="H45" s="180"/>
      <c r="I45" s="180"/>
      <c r="J45" s="180"/>
      <c r="K45" s="129">
        <f>+'Payroll Base and Adjustment '!F86</f>
        <v>63906.409964100632</v>
      </c>
      <c r="L45" s="129"/>
      <c r="M45" s="180"/>
      <c r="N45" s="180"/>
      <c r="R45" s="180"/>
      <c r="S45" s="180"/>
      <c r="T45" s="180">
        <f t="shared" si="2"/>
        <v>63906.409964100632</v>
      </c>
      <c r="U45" s="192">
        <f t="shared" si="3"/>
        <v>398869.40996410063</v>
      </c>
      <c r="W45" s="180"/>
      <c r="X45" s="180"/>
      <c r="Y45" s="180"/>
      <c r="Z45" s="180"/>
      <c r="AA45" s="180"/>
      <c r="AB45" s="180"/>
      <c r="AC45" s="180"/>
      <c r="AD45" s="180"/>
      <c r="AE45" s="180"/>
      <c r="AF45" s="180"/>
      <c r="AG45" s="180"/>
      <c r="AH45" s="179"/>
      <c r="AI45" s="179"/>
      <c r="AJ45" s="179"/>
      <c r="AK45" s="179"/>
      <c r="AL45" s="179"/>
    </row>
    <row r="46" spans="1:38">
      <c r="A46" s="123" t="s">
        <v>402</v>
      </c>
      <c r="B46" s="123">
        <v>9874000</v>
      </c>
      <c r="C46" s="132" t="s">
        <v>90</v>
      </c>
      <c r="D46" s="192">
        <v>1028079</v>
      </c>
      <c r="E46" s="180"/>
      <c r="H46" s="180"/>
      <c r="I46" s="180"/>
      <c r="J46" s="180"/>
      <c r="K46" s="180"/>
      <c r="L46" s="180"/>
      <c r="M46" s="180"/>
      <c r="N46" s="180"/>
      <c r="R46" s="180"/>
      <c r="S46" s="180"/>
      <c r="T46" s="180">
        <f t="shared" si="2"/>
        <v>0</v>
      </c>
      <c r="U46" s="192">
        <f t="shared" si="3"/>
        <v>1028079</v>
      </c>
      <c r="W46" s="180"/>
      <c r="X46" s="180"/>
      <c r="Y46" s="180"/>
      <c r="Z46" s="180"/>
      <c r="AA46" s="180"/>
      <c r="AB46" s="180"/>
      <c r="AC46" s="180"/>
      <c r="AD46" s="180"/>
      <c r="AE46" s="180"/>
      <c r="AF46" s="180"/>
      <c r="AG46" s="180"/>
      <c r="AH46" s="179"/>
      <c r="AI46" s="179"/>
      <c r="AJ46" s="179"/>
      <c r="AK46" s="179"/>
      <c r="AL46" s="179"/>
    </row>
    <row r="47" spans="1:38">
      <c r="A47" s="123">
        <v>1300</v>
      </c>
      <c r="B47" s="123">
        <v>9878000</v>
      </c>
      <c r="C47" s="132" t="s">
        <v>91</v>
      </c>
      <c r="D47" s="192">
        <v>170849</v>
      </c>
      <c r="E47" s="180"/>
      <c r="H47" s="180"/>
      <c r="I47" s="180"/>
      <c r="J47" s="180"/>
      <c r="K47" s="180"/>
      <c r="L47" s="180"/>
      <c r="M47" s="180"/>
      <c r="N47" s="180"/>
      <c r="R47" s="180"/>
      <c r="S47" s="180"/>
      <c r="T47" s="180">
        <f t="shared" si="2"/>
        <v>0</v>
      </c>
      <c r="U47" s="192">
        <f t="shared" si="3"/>
        <v>170849</v>
      </c>
      <c r="W47" s="180"/>
      <c r="X47" s="180"/>
      <c r="Y47" s="180"/>
      <c r="Z47" s="180"/>
      <c r="AA47" s="180"/>
      <c r="AB47" s="180"/>
      <c r="AC47" s="180"/>
      <c r="AD47" s="180"/>
      <c r="AE47" s="180"/>
      <c r="AF47" s="180"/>
      <c r="AG47" s="180"/>
      <c r="AH47" s="179"/>
      <c r="AI47" s="179"/>
      <c r="AJ47" s="179"/>
      <c r="AK47" s="179"/>
      <c r="AL47" s="179"/>
    </row>
    <row r="48" spans="1:38">
      <c r="A48" s="123">
        <v>1300</v>
      </c>
      <c r="B48" s="123">
        <v>9879000</v>
      </c>
      <c r="C48" s="132" t="s">
        <v>92</v>
      </c>
      <c r="D48" s="192">
        <v>126421</v>
      </c>
      <c r="E48" s="180"/>
      <c r="H48" s="180"/>
      <c r="I48" s="180"/>
      <c r="J48" s="180"/>
      <c r="K48" s="180"/>
      <c r="L48" s="180"/>
      <c r="M48" s="180"/>
      <c r="N48" s="180"/>
      <c r="R48" s="180"/>
      <c r="S48" s="180"/>
      <c r="T48" s="180">
        <f t="shared" si="2"/>
        <v>0</v>
      </c>
      <c r="U48" s="192">
        <f t="shared" si="3"/>
        <v>126421</v>
      </c>
      <c r="W48" s="180"/>
      <c r="X48" s="180"/>
      <c r="Y48" s="180"/>
      <c r="Z48" s="180"/>
      <c r="AA48" s="180"/>
      <c r="AB48" s="180"/>
      <c r="AC48" s="180"/>
      <c r="AD48" s="180"/>
      <c r="AE48" s="180"/>
      <c r="AF48" s="180"/>
      <c r="AG48" s="180"/>
      <c r="AH48" s="179"/>
      <c r="AI48" s="179"/>
      <c r="AJ48" s="179"/>
      <c r="AK48" s="179"/>
      <c r="AL48" s="179"/>
    </row>
    <row r="49" spans="1:38">
      <c r="A49" s="123" t="s">
        <v>402</v>
      </c>
      <c r="B49" s="123">
        <v>9880000</v>
      </c>
      <c r="C49" s="132" t="s">
        <v>93</v>
      </c>
      <c r="D49" s="192">
        <v>413831</v>
      </c>
      <c r="E49" s="180"/>
      <c r="H49" s="180"/>
      <c r="I49" s="180"/>
      <c r="J49" s="180"/>
      <c r="K49" s="180"/>
      <c r="L49" s="180"/>
      <c r="M49" s="180"/>
      <c r="N49" s="180"/>
      <c r="R49" s="180"/>
      <c r="S49" s="180"/>
      <c r="T49" s="180">
        <f t="shared" si="2"/>
        <v>0</v>
      </c>
      <c r="U49" s="192">
        <f t="shared" si="3"/>
        <v>413831</v>
      </c>
      <c r="W49" s="180"/>
      <c r="X49" s="180"/>
      <c r="Y49" s="180"/>
      <c r="Z49" s="180"/>
      <c r="AA49" s="180"/>
      <c r="AB49" s="180"/>
      <c r="AC49" s="180"/>
      <c r="AD49" s="180"/>
      <c r="AE49" s="180"/>
      <c r="AF49" s="180"/>
      <c r="AG49" s="180"/>
      <c r="AH49" s="179"/>
      <c r="AI49" s="179"/>
      <c r="AJ49" s="179"/>
      <c r="AK49" s="179"/>
      <c r="AL49" s="179"/>
    </row>
    <row r="50" spans="1:38">
      <c r="A50" s="125"/>
      <c r="B50" s="125"/>
      <c r="C50" s="132" t="s">
        <v>94</v>
      </c>
      <c r="D50" s="126">
        <v>2050422</v>
      </c>
      <c r="E50" s="180"/>
      <c r="H50" s="180"/>
      <c r="I50" s="180"/>
      <c r="J50" s="180"/>
      <c r="K50" s="180"/>
      <c r="L50" s="180"/>
      <c r="M50" s="180"/>
      <c r="N50" s="180"/>
      <c r="R50" s="180"/>
      <c r="S50" s="180"/>
      <c r="T50" s="180"/>
      <c r="U50" s="126">
        <f>SUM(U44:U49)</f>
        <v>2114327.4099641005</v>
      </c>
      <c r="W50" s="180"/>
      <c r="X50" s="180"/>
      <c r="Y50" s="180"/>
      <c r="Z50" s="180"/>
      <c r="AA50" s="180"/>
      <c r="AB50" s="180"/>
      <c r="AC50" s="180"/>
      <c r="AD50" s="180"/>
      <c r="AE50" s="180"/>
      <c r="AF50" s="180"/>
      <c r="AG50" s="180"/>
      <c r="AH50" s="179"/>
      <c r="AI50" s="179"/>
      <c r="AJ50" s="179"/>
      <c r="AK50" s="179"/>
      <c r="AL50" s="179"/>
    </row>
    <row r="51" spans="1:38">
      <c r="A51" s="123">
        <v>1300</v>
      </c>
      <c r="B51" s="123">
        <v>9902000</v>
      </c>
      <c r="C51" s="133" t="s">
        <v>95</v>
      </c>
      <c r="D51" s="192">
        <v>410092</v>
      </c>
      <c r="E51" s="180"/>
      <c r="H51" s="180"/>
      <c r="I51" s="180"/>
      <c r="J51" s="180"/>
      <c r="K51" s="180"/>
      <c r="L51" s="180"/>
      <c r="M51" s="180"/>
      <c r="N51" s="180"/>
      <c r="R51" s="180"/>
      <c r="S51" s="180"/>
      <c r="T51" s="180">
        <f>SUM(E51:S51)</f>
        <v>0</v>
      </c>
      <c r="U51" s="192">
        <f>+D51+T51</f>
        <v>410092</v>
      </c>
      <c r="W51" s="180"/>
      <c r="X51" s="180"/>
      <c r="Y51" s="180"/>
      <c r="Z51" s="180"/>
      <c r="AA51" s="180"/>
      <c r="AB51" s="180"/>
      <c r="AC51" s="180"/>
      <c r="AD51" s="180"/>
      <c r="AE51" s="180"/>
      <c r="AF51" s="180"/>
      <c r="AG51" s="180"/>
      <c r="AH51" s="179"/>
      <c r="AI51" s="179"/>
      <c r="AJ51" s="179"/>
      <c r="AK51" s="179"/>
      <c r="AL51" s="179"/>
    </row>
    <row r="52" spans="1:38">
      <c r="A52" s="123" t="s">
        <v>402</v>
      </c>
      <c r="B52" s="123">
        <v>9903000</v>
      </c>
      <c r="C52" s="133" t="s">
        <v>96</v>
      </c>
      <c r="D52" s="192">
        <v>875506</v>
      </c>
      <c r="E52" s="180"/>
      <c r="H52" s="180"/>
      <c r="I52" s="180"/>
      <c r="J52" s="180"/>
      <c r="K52" s="180">
        <f>+'Payroll Base and Adjustment '!F87</f>
        <v>21155.148975158249</v>
      </c>
      <c r="L52" s="180"/>
      <c r="M52" s="180"/>
      <c r="N52" s="180"/>
      <c r="R52" s="180"/>
      <c r="S52" s="180"/>
      <c r="T52" s="180">
        <f>SUM(E52:S52)</f>
        <v>21155.148975158249</v>
      </c>
      <c r="U52" s="192">
        <f>+D52+T52</f>
        <v>896661.14897515823</v>
      </c>
      <c r="W52" s="180"/>
      <c r="X52" s="180"/>
      <c r="Y52" s="180"/>
      <c r="Z52" s="180"/>
      <c r="AA52" s="180"/>
      <c r="AB52" s="180"/>
      <c r="AC52" s="180"/>
      <c r="AD52" s="180"/>
      <c r="AE52" s="180"/>
      <c r="AF52" s="180"/>
      <c r="AG52" s="180"/>
      <c r="AH52" s="179"/>
      <c r="AI52" s="179"/>
      <c r="AJ52" s="179"/>
      <c r="AK52" s="179"/>
      <c r="AL52" s="179"/>
    </row>
    <row r="53" spans="1:38">
      <c r="A53" s="123" t="s">
        <v>402</v>
      </c>
      <c r="B53" s="123">
        <v>9904000</v>
      </c>
      <c r="C53" s="133" t="s">
        <v>97</v>
      </c>
      <c r="D53" s="192">
        <v>161710</v>
      </c>
      <c r="E53" s="180"/>
      <c r="H53" s="180"/>
      <c r="I53" s="180"/>
      <c r="J53" s="180"/>
      <c r="K53" s="180"/>
      <c r="L53" s="180"/>
      <c r="M53" s="180"/>
      <c r="N53" s="180"/>
      <c r="R53" s="180"/>
      <c r="S53" s="180"/>
      <c r="T53" s="180">
        <f>SUM(E53:S53)</f>
        <v>0</v>
      </c>
      <c r="U53" s="192">
        <f>+D53+T53</f>
        <v>161710</v>
      </c>
      <c r="W53" s="180"/>
      <c r="X53" s="180"/>
      <c r="Y53" s="180"/>
      <c r="Z53" s="180"/>
      <c r="AA53" s="180"/>
      <c r="AB53" s="180"/>
      <c r="AC53" s="180"/>
      <c r="AD53" s="180"/>
      <c r="AE53" s="180"/>
      <c r="AF53" s="180"/>
      <c r="AG53" s="180"/>
      <c r="AH53" s="179"/>
      <c r="AI53" s="179"/>
      <c r="AJ53" s="179"/>
      <c r="AK53" s="179"/>
      <c r="AL53" s="179"/>
    </row>
    <row r="54" spans="1:38">
      <c r="A54" s="125"/>
      <c r="B54" s="125"/>
      <c r="C54" s="133" t="s">
        <v>98</v>
      </c>
      <c r="D54" s="126">
        <v>1447307</v>
      </c>
      <c r="E54" s="180"/>
      <c r="H54" s="180"/>
      <c r="I54" s="180"/>
      <c r="J54" s="180"/>
      <c r="K54" s="180"/>
      <c r="L54" s="180"/>
      <c r="M54" s="180"/>
      <c r="N54" s="180"/>
      <c r="R54" s="180"/>
      <c r="S54" s="180"/>
      <c r="T54" s="180"/>
      <c r="U54" s="126">
        <f>SUM(U51:U53)</f>
        <v>1468463.1489751581</v>
      </c>
      <c r="W54" s="180"/>
      <c r="X54" s="180"/>
      <c r="Y54" s="180"/>
      <c r="Z54" s="180"/>
      <c r="AA54" s="180"/>
      <c r="AB54" s="180"/>
      <c r="AC54" s="180"/>
      <c r="AD54" s="180"/>
      <c r="AE54" s="180"/>
      <c r="AF54" s="180"/>
      <c r="AG54" s="180"/>
      <c r="AH54" s="179"/>
      <c r="AI54" s="179"/>
      <c r="AJ54" s="179"/>
      <c r="AK54" s="179"/>
      <c r="AL54" s="179"/>
    </row>
    <row r="55" spans="1:38">
      <c r="A55" s="123">
        <v>1300</v>
      </c>
      <c r="B55" s="123">
        <v>9909000</v>
      </c>
      <c r="C55" s="133" t="s">
        <v>99</v>
      </c>
      <c r="D55" s="192">
        <v>592</v>
      </c>
      <c r="E55" s="180"/>
      <c r="H55" s="180"/>
      <c r="I55" s="180"/>
      <c r="J55" s="180"/>
      <c r="K55" s="180"/>
      <c r="L55" s="180"/>
      <c r="M55" s="180"/>
      <c r="N55" s="180"/>
      <c r="R55" s="180"/>
      <c r="S55" s="180"/>
      <c r="T55" s="180">
        <f>SUM(E55:S55)</f>
        <v>0</v>
      </c>
      <c r="U55" s="192">
        <f>+D55+T55</f>
        <v>592</v>
      </c>
      <c r="W55" s="180"/>
      <c r="X55" s="180"/>
      <c r="Y55" s="180"/>
      <c r="Z55" s="180"/>
      <c r="AA55" s="180"/>
      <c r="AB55" s="180"/>
      <c r="AC55" s="180"/>
      <c r="AD55" s="180"/>
      <c r="AE55" s="180"/>
      <c r="AF55" s="180"/>
      <c r="AG55" s="180"/>
      <c r="AH55" s="179"/>
      <c r="AI55" s="179"/>
      <c r="AJ55" s="179"/>
      <c r="AK55" s="179"/>
      <c r="AL55" s="179"/>
    </row>
    <row r="56" spans="1:38">
      <c r="A56" s="125"/>
      <c r="B56" s="125"/>
      <c r="C56" s="133" t="s">
        <v>100</v>
      </c>
      <c r="D56" s="126">
        <v>592</v>
      </c>
      <c r="E56" s="180"/>
      <c r="H56" s="180"/>
      <c r="I56" s="180"/>
      <c r="J56" s="180"/>
      <c r="K56" s="180"/>
      <c r="L56" s="180"/>
      <c r="M56" s="180"/>
      <c r="N56" s="180"/>
      <c r="R56" s="180"/>
      <c r="S56" s="180"/>
      <c r="T56" s="180"/>
      <c r="U56" s="126">
        <f>+U55</f>
        <v>592</v>
      </c>
      <c r="W56" s="180"/>
      <c r="X56" s="180"/>
      <c r="Y56" s="180"/>
      <c r="Z56" s="180"/>
      <c r="AA56" s="180"/>
      <c r="AB56" s="180"/>
      <c r="AC56" s="180"/>
      <c r="AD56" s="180"/>
      <c r="AE56" s="180"/>
      <c r="AF56" s="180"/>
      <c r="AG56" s="180"/>
      <c r="AH56" s="179"/>
      <c r="AI56" s="179"/>
      <c r="AJ56" s="179"/>
      <c r="AK56" s="179"/>
      <c r="AL56" s="179"/>
    </row>
    <row r="57" spans="1:38">
      <c r="A57" s="123">
        <v>1300</v>
      </c>
      <c r="B57" s="123">
        <v>9912000</v>
      </c>
      <c r="C57" s="124" t="s">
        <v>101</v>
      </c>
      <c r="D57" s="192">
        <v>553</v>
      </c>
      <c r="E57" s="180"/>
      <c r="H57" s="180"/>
      <c r="I57" s="180"/>
      <c r="J57" s="180"/>
      <c r="K57" s="180"/>
      <c r="L57" s="180"/>
      <c r="M57" s="180"/>
      <c r="N57" s="180"/>
      <c r="R57" s="180"/>
      <c r="S57" s="180"/>
      <c r="T57" s="180">
        <f>SUM(E57:S57)</f>
        <v>0</v>
      </c>
      <c r="U57" s="192">
        <f>+D57+T57</f>
        <v>553</v>
      </c>
      <c r="W57" s="180"/>
      <c r="X57" s="180"/>
      <c r="Y57" s="180"/>
      <c r="Z57" s="180"/>
      <c r="AA57" s="180"/>
      <c r="AB57" s="180"/>
      <c r="AC57" s="180"/>
      <c r="AD57" s="180"/>
      <c r="AE57" s="180"/>
      <c r="AF57" s="180"/>
      <c r="AG57" s="180"/>
      <c r="AH57" s="179"/>
      <c r="AI57" s="179"/>
      <c r="AJ57" s="179"/>
      <c r="AK57" s="179"/>
      <c r="AL57" s="179"/>
    </row>
    <row r="58" spans="1:38">
      <c r="A58" s="125"/>
      <c r="B58" s="125"/>
      <c r="C58" s="124" t="s">
        <v>102</v>
      </c>
      <c r="D58" s="126">
        <v>553</v>
      </c>
      <c r="E58" s="180"/>
      <c r="H58" s="180"/>
      <c r="I58" s="180"/>
      <c r="J58" s="180"/>
      <c r="K58" s="180"/>
      <c r="L58" s="180"/>
      <c r="M58" s="180"/>
      <c r="N58" s="180"/>
      <c r="R58" s="180"/>
      <c r="S58" s="180"/>
      <c r="T58" s="180"/>
      <c r="U58" s="126">
        <f>+U57</f>
        <v>553</v>
      </c>
      <c r="W58" s="180"/>
      <c r="X58" s="180"/>
      <c r="Y58" s="180"/>
      <c r="Z58" s="180"/>
      <c r="AA58" s="180"/>
      <c r="AB58" s="180"/>
      <c r="AC58" s="180"/>
      <c r="AD58" s="180"/>
      <c r="AE58" s="180"/>
      <c r="AF58" s="180"/>
      <c r="AG58" s="180"/>
      <c r="AH58" s="179"/>
      <c r="AI58" s="179"/>
      <c r="AJ58" s="179"/>
      <c r="AK58" s="179"/>
      <c r="AL58" s="179"/>
    </row>
    <row r="59" spans="1:38">
      <c r="A59" s="123" t="s">
        <v>402</v>
      </c>
      <c r="B59" s="123">
        <v>9920000</v>
      </c>
      <c r="C59" s="124" t="s">
        <v>103</v>
      </c>
      <c r="D59" s="192">
        <v>2120737</v>
      </c>
      <c r="E59" s="180"/>
      <c r="H59" s="180"/>
      <c r="I59" s="180"/>
      <c r="J59" s="180"/>
      <c r="K59" s="129">
        <f>+'Payroll Base and Adjustment '!F88</f>
        <v>74998.824640150997</v>
      </c>
      <c r="L59" s="129"/>
      <c r="M59" s="180"/>
      <c r="N59" s="180"/>
      <c r="R59" s="180"/>
      <c r="S59" s="180"/>
      <c r="T59" s="180">
        <f t="shared" ref="T59:T69" si="4">SUM(E59:S59)</f>
        <v>74998.824640150997</v>
      </c>
      <c r="U59" s="192">
        <f t="shared" ref="U59:U69" si="5">+D59+T59</f>
        <v>2195735.8246401511</v>
      </c>
      <c r="W59" s="180"/>
      <c r="X59" s="180"/>
      <c r="Y59" s="180"/>
      <c r="Z59" s="180"/>
      <c r="AA59" s="180"/>
      <c r="AB59" s="180"/>
      <c r="AC59" s="180"/>
      <c r="AD59" s="180"/>
      <c r="AE59" s="180"/>
      <c r="AF59" s="180"/>
      <c r="AG59" s="180"/>
      <c r="AH59" s="179"/>
      <c r="AI59" s="179"/>
      <c r="AJ59" s="179"/>
      <c r="AK59" s="179"/>
      <c r="AL59" s="179"/>
    </row>
    <row r="60" spans="1:38">
      <c r="A60" s="123" t="s">
        <v>402</v>
      </c>
      <c r="B60" s="123">
        <v>9921000</v>
      </c>
      <c r="C60" s="124" t="s">
        <v>104</v>
      </c>
      <c r="D60" s="192">
        <v>1516190</v>
      </c>
      <c r="E60" s="180"/>
      <c r="H60" s="180"/>
      <c r="I60" s="180"/>
      <c r="J60" s="180"/>
      <c r="K60" s="180"/>
      <c r="L60" s="180"/>
      <c r="M60" s="180"/>
      <c r="N60" s="180"/>
      <c r="R60" s="180"/>
      <c r="S60" s="180"/>
      <c r="T60" s="180">
        <f t="shared" si="4"/>
        <v>0</v>
      </c>
      <c r="U60" s="192">
        <f t="shared" si="5"/>
        <v>1516190</v>
      </c>
      <c r="W60" s="180"/>
      <c r="X60" s="180"/>
      <c r="Y60" s="180"/>
      <c r="Z60" s="180"/>
      <c r="AA60" s="180"/>
      <c r="AB60" s="180"/>
      <c r="AC60" s="180"/>
      <c r="AD60" s="180"/>
      <c r="AE60" s="180"/>
      <c r="AF60" s="180"/>
      <c r="AG60" s="180"/>
      <c r="AH60" s="179"/>
      <c r="AI60" s="179"/>
      <c r="AJ60" s="179"/>
      <c r="AK60" s="179"/>
      <c r="AL60" s="179"/>
    </row>
    <row r="61" spans="1:38">
      <c r="A61" s="123" t="s">
        <v>402</v>
      </c>
      <c r="B61" s="123">
        <v>9922000</v>
      </c>
      <c r="C61" s="124" t="s">
        <v>105</v>
      </c>
      <c r="D61" s="192">
        <v>-1930381</v>
      </c>
      <c r="E61" s="180"/>
      <c r="H61" s="180"/>
      <c r="I61" s="180"/>
      <c r="J61" s="180"/>
      <c r="K61" s="180"/>
      <c r="L61" s="180"/>
      <c r="M61" s="180"/>
      <c r="N61" s="180"/>
      <c r="R61" s="180"/>
      <c r="S61" s="180"/>
      <c r="T61" s="180">
        <f t="shared" si="4"/>
        <v>0</v>
      </c>
      <c r="U61" s="192">
        <f t="shared" si="5"/>
        <v>-1930381</v>
      </c>
      <c r="W61" s="180"/>
      <c r="X61" s="180"/>
      <c r="Y61" s="180"/>
      <c r="Z61" s="180"/>
      <c r="AA61" s="180"/>
      <c r="AB61" s="180"/>
      <c r="AC61" s="180"/>
      <c r="AD61" s="180"/>
      <c r="AE61" s="180"/>
      <c r="AF61" s="180"/>
      <c r="AG61" s="180"/>
      <c r="AH61" s="179"/>
      <c r="AI61" s="179"/>
      <c r="AJ61" s="179"/>
      <c r="AK61" s="179"/>
      <c r="AL61" s="179"/>
    </row>
    <row r="62" spans="1:38">
      <c r="A62" s="123" t="s">
        <v>402</v>
      </c>
      <c r="B62" s="123">
        <v>9923000</v>
      </c>
      <c r="C62" s="124" t="s">
        <v>106</v>
      </c>
      <c r="D62" s="192">
        <v>1114263</v>
      </c>
      <c r="E62" s="180"/>
      <c r="H62" s="180">
        <v>-7350</v>
      </c>
      <c r="I62" s="180"/>
      <c r="J62" s="180"/>
      <c r="K62" s="180"/>
      <c r="L62" s="180"/>
      <c r="M62" s="180"/>
      <c r="N62" s="180"/>
      <c r="R62" s="180">
        <f>+'D-2.9'!E40</f>
        <v>210000</v>
      </c>
      <c r="S62" s="180"/>
      <c r="T62" s="180">
        <f t="shared" si="4"/>
        <v>202650</v>
      </c>
      <c r="U62" s="192">
        <f t="shared" si="5"/>
        <v>1316913</v>
      </c>
      <c r="W62" s="180"/>
      <c r="X62" s="180"/>
      <c r="Y62" s="180"/>
      <c r="Z62" s="180"/>
      <c r="AA62" s="180"/>
      <c r="AB62" s="180"/>
      <c r="AC62" s="180"/>
      <c r="AD62" s="180"/>
      <c r="AE62" s="180"/>
      <c r="AF62" s="180"/>
      <c r="AG62" s="180"/>
      <c r="AH62" s="179"/>
      <c r="AI62" s="179"/>
      <c r="AJ62" s="179"/>
      <c r="AK62" s="179"/>
      <c r="AL62" s="179"/>
    </row>
    <row r="63" spans="1:38">
      <c r="A63" s="123" t="s">
        <v>402</v>
      </c>
      <c r="B63" s="123">
        <v>9924000</v>
      </c>
      <c r="C63" s="124" t="s">
        <v>108</v>
      </c>
      <c r="D63" s="192">
        <v>256870</v>
      </c>
      <c r="E63" s="180"/>
      <c r="H63" s="180"/>
      <c r="I63" s="180"/>
      <c r="J63" s="180"/>
      <c r="K63" s="180"/>
      <c r="L63" s="180"/>
      <c r="M63" s="180"/>
      <c r="N63" s="180"/>
      <c r="R63" s="180"/>
      <c r="S63" s="180"/>
      <c r="T63" s="180">
        <f t="shared" si="4"/>
        <v>0</v>
      </c>
      <c r="U63" s="192">
        <f t="shared" si="5"/>
        <v>256870</v>
      </c>
      <c r="W63" s="180"/>
      <c r="X63" s="180"/>
      <c r="Y63" s="180"/>
      <c r="Z63" s="180"/>
      <c r="AA63" s="180"/>
      <c r="AB63" s="180"/>
      <c r="AC63" s="180"/>
      <c r="AD63" s="180"/>
      <c r="AE63" s="180"/>
      <c r="AF63" s="180"/>
      <c r="AG63" s="180"/>
      <c r="AH63" s="179"/>
      <c r="AI63" s="179"/>
      <c r="AJ63" s="179"/>
      <c r="AK63" s="179"/>
      <c r="AL63" s="179"/>
    </row>
    <row r="64" spans="1:38">
      <c r="A64" s="123" t="s">
        <v>402</v>
      </c>
      <c r="B64" s="123">
        <v>9925000</v>
      </c>
      <c r="C64" s="124" t="s">
        <v>109</v>
      </c>
      <c r="D64" s="192">
        <v>1093498</v>
      </c>
      <c r="E64" s="180"/>
      <c r="H64" s="180"/>
      <c r="I64" s="180"/>
      <c r="J64" s="180"/>
      <c r="K64" s="180"/>
      <c r="L64" s="180"/>
      <c r="M64" s="180"/>
      <c r="N64" s="180"/>
      <c r="R64" s="180"/>
      <c r="S64" s="180"/>
      <c r="T64" s="180">
        <f t="shared" si="4"/>
        <v>0</v>
      </c>
      <c r="U64" s="192">
        <f t="shared" si="5"/>
        <v>1093498</v>
      </c>
      <c r="W64" s="180"/>
      <c r="X64" s="180"/>
      <c r="Y64" s="180"/>
      <c r="Z64" s="180"/>
      <c r="AA64" s="180"/>
      <c r="AB64" s="180"/>
      <c r="AC64" s="180"/>
      <c r="AD64" s="180"/>
      <c r="AE64" s="180"/>
      <c r="AF64" s="180"/>
      <c r="AG64" s="180"/>
      <c r="AH64" s="179"/>
      <c r="AI64" s="179"/>
      <c r="AJ64" s="179"/>
      <c r="AK64" s="179"/>
      <c r="AL64" s="179"/>
    </row>
    <row r="65" spans="1:38">
      <c r="A65" s="123" t="s">
        <v>402</v>
      </c>
      <c r="B65" s="123">
        <v>9926000</v>
      </c>
      <c r="C65" s="124" t="s">
        <v>110</v>
      </c>
      <c r="D65" s="192">
        <v>2832340</v>
      </c>
      <c r="E65" s="180"/>
      <c r="H65" s="180"/>
      <c r="I65" s="180">
        <v>108915</v>
      </c>
      <c r="J65" s="180">
        <f>+Pensions!E36</f>
        <v>-808438.65</v>
      </c>
      <c r="K65" s="180"/>
      <c r="L65" s="180"/>
      <c r="M65" s="180"/>
      <c r="N65" s="180"/>
      <c r="O65" s="180">
        <f>+'Medical and Dental'!AM4</f>
        <v>523277.22799999989</v>
      </c>
      <c r="P65" s="180">
        <f>+'Medical and Dental'!AM6</f>
        <v>81948.794000000024</v>
      </c>
      <c r="Q65" s="180">
        <f>+'401k estimate'!G149</f>
        <v>310198.49000000022</v>
      </c>
      <c r="R65" s="180"/>
      <c r="S65" s="180"/>
      <c r="T65" s="180">
        <f t="shared" si="4"/>
        <v>215900.86200000011</v>
      </c>
      <c r="U65" s="192">
        <f t="shared" si="5"/>
        <v>3048240.8620000002</v>
      </c>
      <c r="W65" s="180"/>
      <c r="X65" s="180"/>
      <c r="Y65" s="180"/>
      <c r="Z65" s="180"/>
      <c r="AA65" s="180"/>
      <c r="AB65" s="180"/>
      <c r="AC65" s="180"/>
      <c r="AD65" s="180"/>
      <c r="AE65" s="180"/>
      <c r="AF65" s="180"/>
      <c r="AG65" s="180"/>
      <c r="AH65" s="179"/>
      <c r="AI65" s="179"/>
      <c r="AJ65" s="179"/>
      <c r="AK65" s="179"/>
      <c r="AL65" s="179"/>
    </row>
    <row r="66" spans="1:38">
      <c r="A66" s="123">
        <v>1600</v>
      </c>
      <c r="B66" s="123">
        <v>9928000</v>
      </c>
      <c r="C66" s="124" t="s">
        <v>112</v>
      </c>
      <c r="D66" s="192">
        <v>199612</v>
      </c>
      <c r="E66" s="180"/>
      <c r="H66" s="180"/>
      <c r="I66" s="180"/>
      <c r="J66" s="180"/>
      <c r="K66" s="180"/>
      <c r="L66" s="180"/>
      <c r="M66" s="180"/>
      <c r="N66" s="180"/>
      <c r="R66" s="180"/>
      <c r="S66" s="180"/>
      <c r="T66" s="180">
        <f t="shared" si="4"/>
        <v>0</v>
      </c>
      <c r="U66" s="192">
        <f t="shared" si="5"/>
        <v>199612</v>
      </c>
      <c r="W66" s="180"/>
      <c r="X66" s="180"/>
      <c r="Y66" s="180"/>
      <c r="Z66" s="180"/>
      <c r="AA66" s="180"/>
      <c r="AB66" s="180"/>
      <c r="AC66" s="180"/>
      <c r="AD66" s="180"/>
      <c r="AE66" s="180"/>
      <c r="AF66" s="180"/>
      <c r="AG66" s="180"/>
      <c r="AH66" s="179"/>
      <c r="AI66" s="179"/>
      <c r="AJ66" s="179"/>
      <c r="AK66" s="179"/>
      <c r="AL66" s="179"/>
    </row>
    <row r="67" spans="1:38">
      <c r="A67" s="123">
        <v>1600</v>
      </c>
      <c r="B67" s="123">
        <v>9930100</v>
      </c>
      <c r="C67" s="124" t="s">
        <v>113</v>
      </c>
      <c r="D67" s="192">
        <v>23044</v>
      </c>
      <c r="E67" s="180"/>
      <c r="H67" s="180">
        <f>-D67</f>
        <v>-23044</v>
      </c>
      <c r="I67" s="180"/>
      <c r="J67" s="180"/>
      <c r="K67" s="180"/>
      <c r="L67" s="180"/>
      <c r="M67" s="180"/>
      <c r="N67" s="180"/>
      <c r="R67" s="180"/>
      <c r="S67" s="180"/>
      <c r="T67" s="180">
        <f t="shared" si="4"/>
        <v>-23044</v>
      </c>
      <c r="U67" s="192">
        <f t="shared" si="5"/>
        <v>0</v>
      </c>
      <c r="W67" s="180"/>
      <c r="X67" s="180"/>
      <c r="Y67" s="180"/>
      <c r="Z67" s="180"/>
      <c r="AA67" s="180"/>
      <c r="AB67" s="180"/>
      <c r="AC67" s="180"/>
      <c r="AD67" s="180"/>
      <c r="AE67" s="180"/>
      <c r="AF67" s="180"/>
      <c r="AG67" s="180"/>
      <c r="AH67" s="179"/>
      <c r="AI67" s="179"/>
      <c r="AJ67" s="179"/>
      <c r="AK67" s="179"/>
      <c r="AL67" s="179"/>
    </row>
    <row r="68" spans="1:38">
      <c r="A68" s="123" t="s">
        <v>402</v>
      </c>
      <c r="B68" s="123">
        <v>9930200</v>
      </c>
      <c r="C68" s="124" t="s">
        <v>115</v>
      </c>
      <c r="D68" s="192">
        <v>111482</v>
      </c>
      <c r="E68" s="180"/>
      <c r="H68" s="180"/>
      <c r="I68" s="180"/>
      <c r="J68" s="180"/>
      <c r="K68" s="180"/>
      <c r="L68" s="180"/>
      <c r="M68" s="180"/>
      <c r="N68" s="180"/>
      <c r="R68" s="180"/>
      <c r="S68" s="180"/>
      <c r="T68" s="180">
        <f t="shared" si="4"/>
        <v>0</v>
      </c>
      <c r="U68" s="192">
        <f t="shared" si="5"/>
        <v>111482</v>
      </c>
      <c r="W68" s="180"/>
      <c r="X68" s="180"/>
      <c r="Y68" s="180"/>
      <c r="Z68" s="180"/>
      <c r="AA68" s="180"/>
      <c r="AB68" s="180"/>
      <c r="AC68" s="180"/>
      <c r="AD68" s="180"/>
      <c r="AE68" s="180"/>
      <c r="AF68" s="180"/>
      <c r="AG68" s="180"/>
      <c r="AH68" s="179"/>
      <c r="AI68" s="179"/>
      <c r="AJ68" s="179"/>
      <c r="AK68" s="179"/>
      <c r="AL68" s="179"/>
    </row>
    <row r="69" spans="1:38">
      <c r="A69" s="123">
        <v>1300</v>
      </c>
      <c r="B69" s="123">
        <v>9931000</v>
      </c>
      <c r="C69" s="124" t="s">
        <v>116</v>
      </c>
      <c r="D69" s="192">
        <v>7828</v>
      </c>
      <c r="E69" s="180"/>
      <c r="H69" s="180"/>
      <c r="I69" s="180"/>
      <c r="J69" s="180"/>
      <c r="K69" s="180"/>
      <c r="L69" s="180"/>
      <c r="M69" s="180"/>
      <c r="N69" s="180"/>
      <c r="R69" s="180"/>
      <c r="S69" s="180"/>
      <c r="T69" s="180">
        <f t="shared" si="4"/>
        <v>0</v>
      </c>
      <c r="U69" s="192">
        <f t="shared" si="5"/>
        <v>7828</v>
      </c>
      <c r="W69" s="180"/>
      <c r="X69" s="180"/>
      <c r="Y69" s="180"/>
      <c r="Z69" s="180"/>
      <c r="AA69" s="180"/>
      <c r="AB69" s="180"/>
      <c r="AC69" s="180"/>
      <c r="AD69" s="180"/>
      <c r="AE69" s="180"/>
      <c r="AF69" s="180"/>
      <c r="AG69" s="180"/>
      <c r="AH69" s="179"/>
      <c r="AI69" s="179"/>
      <c r="AJ69" s="179"/>
      <c r="AK69" s="179"/>
      <c r="AL69" s="179"/>
    </row>
    <row r="70" spans="1:38">
      <c r="A70" s="125"/>
      <c r="B70" s="125"/>
      <c r="C70" s="124" t="s">
        <v>117</v>
      </c>
      <c r="D70" s="126">
        <v>7345484</v>
      </c>
      <c r="E70" s="180"/>
      <c r="H70" s="180"/>
      <c r="I70" s="180"/>
      <c r="J70" s="180"/>
      <c r="K70" s="180"/>
      <c r="L70" s="180"/>
      <c r="M70" s="180"/>
      <c r="N70" s="180"/>
      <c r="R70" s="180"/>
      <c r="S70" s="180"/>
      <c r="T70" s="180"/>
      <c r="U70" s="126">
        <f>SUM(U59:U69)</f>
        <v>7815988.6866401508</v>
      </c>
      <c r="W70" s="180"/>
      <c r="X70" s="180"/>
      <c r="Y70" s="180"/>
      <c r="Z70" s="180"/>
      <c r="AA70" s="180"/>
      <c r="AB70" s="180"/>
      <c r="AC70" s="180"/>
      <c r="AD70" s="180"/>
      <c r="AE70" s="180"/>
      <c r="AF70" s="180"/>
      <c r="AG70" s="180"/>
      <c r="AH70" s="179"/>
      <c r="AI70" s="179"/>
      <c r="AJ70" s="179"/>
      <c r="AK70" s="179"/>
      <c r="AL70" s="179"/>
    </row>
    <row r="71" spans="1:38">
      <c r="A71" s="125"/>
      <c r="B71" s="125"/>
      <c r="C71" s="124" t="s">
        <v>118</v>
      </c>
      <c r="D71" s="126">
        <v>27260552</v>
      </c>
      <c r="E71" s="180"/>
      <c r="H71" s="180"/>
      <c r="I71" s="180"/>
      <c r="J71" s="180"/>
      <c r="K71" s="180"/>
      <c r="L71" s="180"/>
      <c r="M71" s="180"/>
      <c r="N71" s="180"/>
      <c r="R71" s="180"/>
      <c r="S71" s="180"/>
      <c r="T71" s="180"/>
      <c r="U71" s="126">
        <f>+U70+U58+U56+U54+U50+U43+U39+U30</f>
        <v>31297102.492306203</v>
      </c>
      <c r="W71" s="180"/>
      <c r="X71" s="180"/>
      <c r="Y71" s="180"/>
      <c r="Z71" s="180"/>
      <c r="AA71" s="180"/>
      <c r="AB71" s="180"/>
      <c r="AC71" s="180"/>
      <c r="AD71" s="180"/>
      <c r="AE71" s="180"/>
      <c r="AF71" s="180"/>
      <c r="AG71" s="180"/>
      <c r="AH71" s="179"/>
      <c r="AI71" s="179"/>
      <c r="AJ71" s="179"/>
      <c r="AK71" s="179"/>
      <c r="AL71" s="179"/>
    </row>
    <row r="72" spans="1:38">
      <c r="A72" s="123"/>
      <c r="B72" s="123"/>
      <c r="C72" s="124" t="s">
        <v>119</v>
      </c>
      <c r="D72" s="192"/>
      <c r="E72" s="180"/>
      <c r="H72" s="180"/>
      <c r="I72" s="180"/>
      <c r="J72" s="180"/>
      <c r="K72" s="180"/>
      <c r="L72" s="180"/>
      <c r="M72" s="180"/>
      <c r="N72" s="180"/>
      <c r="R72" s="180"/>
      <c r="S72" s="180"/>
      <c r="T72" s="180"/>
      <c r="U72" s="192"/>
      <c r="W72" s="180"/>
      <c r="X72" s="180"/>
      <c r="Y72" s="180"/>
      <c r="Z72" s="180"/>
      <c r="AA72" s="180"/>
      <c r="AB72" s="180"/>
      <c r="AC72" s="180"/>
      <c r="AD72" s="180"/>
      <c r="AE72" s="180"/>
      <c r="AF72" s="180"/>
      <c r="AG72" s="180"/>
      <c r="AH72" s="179"/>
      <c r="AI72" s="179"/>
      <c r="AJ72" s="179"/>
      <c r="AK72" s="179"/>
      <c r="AL72" s="179"/>
    </row>
    <row r="73" spans="1:38">
      <c r="A73" s="123"/>
      <c r="B73" s="123"/>
      <c r="C73" s="124" t="s">
        <v>120</v>
      </c>
      <c r="D73" s="192"/>
      <c r="E73" s="180"/>
      <c r="H73" s="180"/>
      <c r="I73" s="180"/>
      <c r="J73" s="180"/>
      <c r="K73" s="180"/>
      <c r="L73" s="180"/>
      <c r="M73" s="180"/>
      <c r="N73" s="180"/>
      <c r="R73" s="180"/>
      <c r="S73" s="180"/>
      <c r="T73" s="180"/>
      <c r="U73" s="192"/>
      <c r="W73" s="180"/>
      <c r="X73" s="180"/>
      <c r="Y73" s="180"/>
      <c r="Z73" s="180"/>
      <c r="AA73" s="180"/>
      <c r="AB73" s="180"/>
      <c r="AC73" s="180"/>
      <c r="AD73" s="180"/>
      <c r="AE73" s="180"/>
      <c r="AF73" s="180"/>
      <c r="AG73" s="180"/>
      <c r="AH73" s="179"/>
      <c r="AI73" s="179"/>
      <c r="AJ73" s="179"/>
      <c r="AK73" s="179"/>
      <c r="AL73" s="179"/>
    </row>
    <row r="74" spans="1:38">
      <c r="A74" s="123">
        <v>1600</v>
      </c>
      <c r="B74" s="123">
        <v>9764000</v>
      </c>
      <c r="C74" s="124" t="s">
        <v>121</v>
      </c>
      <c r="D74" s="192">
        <v>1075</v>
      </c>
      <c r="E74" s="180"/>
      <c r="H74" s="180"/>
      <c r="I74" s="180"/>
      <c r="J74" s="180"/>
      <c r="K74" s="180"/>
      <c r="L74" s="180"/>
      <c r="M74" s="180"/>
      <c r="N74" s="180"/>
      <c r="R74" s="180"/>
      <c r="S74" s="180"/>
      <c r="T74" s="180">
        <f>SUM(E74:S74)</f>
        <v>0</v>
      </c>
      <c r="U74" s="192">
        <f>+D74+T74</f>
        <v>1075</v>
      </c>
      <c r="W74" s="180"/>
      <c r="X74" s="180"/>
      <c r="Y74" s="180"/>
      <c r="Z74" s="180"/>
      <c r="AA74" s="180"/>
      <c r="AB74" s="180"/>
      <c r="AC74" s="180"/>
      <c r="AD74" s="180"/>
      <c r="AE74" s="180"/>
      <c r="AF74" s="180"/>
      <c r="AG74" s="180"/>
      <c r="AH74" s="179"/>
      <c r="AI74" s="179"/>
      <c r="AJ74" s="179"/>
      <c r="AK74" s="179"/>
      <c r="AL74" s="179"/>
    </row>
    <row r="75" spans="1:38">
      <c r="A75" s="123">
        <v>1600</v>
      </c>
      <c r="B75" s="123">
        <v>9765000</v>
      </c>
      <c r="C75" s="124" t="s">
        <v>122</v>
      </c>
      <c r="D75" s="192">
        <v>35741</v>
      </c>
      <c r="E75" s="180"/>
      <c r="H75" s="180"/>
      <c r="I75" s="180"/>
      <c r="J75" s="180"/>
      <c r="K75" s="180">
        <f>+'Payroll Base and Adjustment '!I83</f>
        <v>1289.0013762408282</v>
      </c>
      <c r="L75" s="180"/>
      <c r="M75" s="180"/>
      <c r="N75" s="180"/>
      <c r="R75" s="180"/>
      <c r="S75" s="180"/>
      <c r="T75" s="180">
        <f>SUM(E75:S75)</f>
        <v>1289.0013762408282</v>
      </c>
      <c r="U75" s="192">
        <f>+D75+T75</f>
        <v>37030.001376240827</v>
      </c>
      <c r="W75" s="180"/>
      <c r="X75" s="180"/>
      <c r="Y75" s="180"/>
      <c r="Z75" s="180"/>
      <c r="AA75" s="180"/>
      <c r="AB75" s="180"/>
      <c r="AC75" s="180"/>
      <c r="AD75" s="180"/>
      <c r="AE75" s="180"/>
      <c r="AF75" s="180"/>
      <c r="AG75" s="180"/>
      <c r="AH75" s="179"/>
      <c r="AI75" s="179"/>
      <c r="AJ75" s="179"/>
      <c r="AK75" s="179"/>
      <c r="AL75" s="179"/>
    </row>
    <row r="76" spans="1:38">
      <c r="A76" s="125"/>
      <c r="B76" s="125"/>
      <c r="C76" s="124" t="s">
        <v>123</v>
      </c>
      <c r="D76" s="126">
        <v>36816</v>
      </c>
      <c r="E76" s="180"/>
      <c r="H76" s="180"/>
      <c r="I76" s="180"/>
      <c r="J76" s="180"/>
      <c r="K76" s="180"/>
      <c r="L76" s="180"/>
      <c r="M76" s="180"/>
      <c r="N76" s="180"/>
      <c r="R76" s="180"/>
      <c r="S76" s="180"/>
      <c r="T76" s="180"/>
      <c r="U76" s="126">
        <f>SUM(U74:U75)</f>
        <v>38105.001376240827</v>
      </c>
      <c r="W76" s="180"/>
      <c r="X76" s="180"/>
      <c r="Y76" s="180"/>
      <c r="Z76" s="180"/>
      <c r="AA76" s="180"/>
      <c r="AB76" s="180"/>
      <c r="AC76" s="180"/>
      <c r="AD76" s="180"/>
      <c r="AE76" s="180"/>
      <c r="AF76" s="180"/>
      <c r="AG76" s="180"/>
      <c r="AH76" s="179"/>
      <c r="AI76" s="179"/>
      <c r="AJ76" s="179"/>
      <c r="AK76" s="179"/>
      <c r="AL76" s="179"/>
    </row>
    <row r="77" spans="1:38">
      <c r="A77" s="125"/>
      <c r="B77" s="125"/>
      <c r="C77" s="124" t="s">
        <v>124</v>
      </c>
      <c r="D77" s="126">
        <v>36816</v>
      </c>
      <c r="E77" s="180"/>
      <c r="H77" s="180"/>
      <c r="I77" s="180"/>
      <c r="J77" s="180"/>
      <c r="K77" s="180"/>
      <c r="L77" s="180"/>
      <c r="M77" s="180"/>
      <c r="N77" s="180"/>
      <c r="R77" s="180"/>
      <c r="S77" s="180"/>
      <c r="T77" s="180"/>
      <c r="U77" s="126">
        <f>+U76</f>
        <v>38105.001376240827</v>
      </c>
      <c r="W77" s="180"/>
      <c r="X77" s="180"/>
      <c r="Y77" s="180"/>
      <c r="Z77" s="180"/>
      <c r="AA77" s="180"/>
      <c r="AB77" s="180"/>
      <c r="AC77" s="180"/>
      <c r="AD77" s="180"/>
      <c r="AE77" s="180"/>
      <c r="AF77" s="180"/>
      <c r="AG77" s="180"/>
      <c r="AH77" s="179"/>
      <c r="AI77" s="179"/>
      <c r="AJ77" s="179"/>
      <c r="AK77" s="179"/>
      <c r="AL77" s="179"/>
    </row>
    <row r="78" spans="1:38">
      <c r="A78" s="125"/>
      <c r="B78" s="125"/>
      <c r="C78" s="124" t="s">
        <v>125</v>
      </c>
      <c r="D78" s="126">
        <v>36816</v>
      </c>
      <c r="E78" s="180"/>
      <c r="H78" s="180"/>
      <c r="I78" s="180"/>
      <c r="J78" s="180"/>
      <c r="K78" s="180"/>
      <c r="L78" s="180"/>
      <c r="M78" s="180"/>
      <c r="N78" s="180"/>
      <c r="R78" s="180"/>
      <c r="S78" s="180"/>
      <c r="T78" s="180"/>
      <c r="U78" s="126">
        <f>+U77</f>
        <v>38105.001376240827</v>
      </c>
      <c r="W78" s="180"/>
      <c r="X78" s="180"/>
      <c r="Y78" s="180"/>
      <c r="Z78" s="180"/>
      <c r="AA78" s="180"/>
      <c r="AB78" s="180"/>
      <c r="AC78" s="180"/>
      <c r="AD78" s="180"/>
      <c r="AE78" s="180"/>
      <c r="AF78" s="180"/>
      <c r="AG78" s="180"/>
      <c r="AH78" s="179"/>
      <c r="AI78" s="179"/>
      <c r="AJ78" s="179"/>
      <c r="AK78" s="179"/>
      <c r="AL78" s="179"/>
    </row>
    <row r="79" spans="1:38">
      <c r="A79" s="123"/>
      <c r="B79" s="123"/>
      <c r="C79" s="130" t="s">
        <v>126</v>
      </c>
      <c r="D79" s="192"/>
      <c r="E79" s="180"/>
      <c r="H79" s="180"/>
      <c r="I79" s="180"/>
      <c r="J79" s="180"/>
      <c r="K79" s="180"/>
      <c r="L79" s="180"/>
      <c r="M79" s="180"/>
      <c r="N79" s="180"/>
      <c r="R79" s="180"/>
      <c r="S79" s="180"/>
      <c r="T79" s="180"/>
      <c r="U79" s="192"/>
      <c r="W79" s="180"/>
      <c r="X79" s="180"/>
      <c r="Y79" s="180"/>
      <c r="Z79" s="180"/>
      <c r="AA79" s="180"/>
      <c r="AB79" s="180"/>
      <c r="AC79" s="180"/>
      <c r="AD79" s="180"/>
      <c r="AE79" s="180"/>
      <c r="AF79" s="180"/>
      <c r="AG79" s="180"/>
      <c r="AH79" s="179"/>
      <c r="AI79" s="179"/>
      <c r="AJ79" s="179"/>
      <c r="AK79" s="179"/>
      <c r="AL79" s="179"/>
    </row>
    <row r="80" spans="1:38">
      <c r="A80" s="123">
        <v>1600</v>
      </c>
      <c r="B80" s="123">
        <v>9831000</v>
      </c>
      <c r="C80" s="130" t="s">
        <v>127</v>
      </c>
      <c r="D80" s="192">
        <v>2525</v>
      </c>
      <c r="E80" s="180"/>
      <c r="H80" s="180"/>
      <c r="I80" s="180"/>
      <c r="J80" s="180"/>
      <c r="K80" s="180"/>
      <c r="L80" s="180"/>
      <c r="M80" s="180"/>
      <c r="N80" s="180"/>
      <c r="R80" s="180"/>
      <c r="S80" s="180"/>
      <c r="T80" s="180">
        <f>SUM(E80:S80)</f>
        <v>0</v>
      </c>
      <c r="U80" s="192">
        <f>+D80+T80</f>
        <v>2525</v>
      </c>
      <c r="W80" s="180"/>
      <c r="X80" s="180"/>
      <c r="Y80" s="180"/>
      <c r="Z80" s="180"/>
      <c r="AA80" s="180"/>
      <c r="AB80" s="180"/>
      <c r="AC80" s="180"/>
      <c r="AD80" s="180"/>
      <c r="AE80" s="180"/>
      <c r="AF80" s="180"/>
      <c r="AG80" s="180"/>
      <c r="AH80" s="179"/>
      <c r="AI80" s="179"/>
      <c r="AJ80" s="179"/>
      <c r="AK80" s="179"/>
      <c r="AL80" s="179"/>
    </row>
    <row r="81" spans="1:38">
      <c r="A81" s="123">
        <v>1600</v>
      </c>
      <c r="B81" s="123">
        <v>9832000</v>
      </c>
      <c r="C81" s="130" t="s">
        <v>128</v>
      </c>
      <c r="D81" s="192">
        <v>14034</v>
      </c>
      <c r="E81" s="180"/>
      <c r="H81" s="180"/>
      <c r="I81" s="180"/>
      <c r="J81" s="180"/>
      <c r="K81" s="180">
        <f>+'Payroll Base and Adjustment '!I84</f>
        <v>762.05171848108671</v>
      </c>
      <c r="L81" s="180"/>
      <c r="M81" s="180"/>
      <c r="N81" s="180"/>
      <c r="R81" s="180"/>
      <c r="S81" s="180"/>
      <c r="T81" s="180">
        <f>SUM(E81:S81)</f>
        <v>762.05171848108671</v>
      </c>
      <c r="U81" s="192">
        <f>+D81+T81</f>
        <v>14796.051718481087</v>
      </c>
      <c r="W81" s="180"/>
      <c r="X81" s="180"/>
      <c r="Y81" s="180"/>
      <c r="Z81" s="180"/>
      <c r="AA81" s="180"/>
      <c r="AB81" s="180"/>
      <c r="AC81" s="180"/>
      <c r="AD81" s="180"/>
      <c r="AE81" s="180"/>
      <c r="AF81" s="180"/>
      <c r="AG81" s="180"/>
      <c r="AH81" s="179"/>
      <c r="AI81" s="179"/>
      <c r="AJ81" s="179"/>
      <c r="AK81" s="179"/>
      <c r="AL81" s="179"/>
    </row>
    <row r="82" spans="1:38">
      <c r="A82" s="123">
        <v>1600</v>
      </c>
      <c r="B82" s="123">
        <v>9834000</v>
      </c>
      <c r="C82" s="130" t="s">
        <v>129</v>
      </c>
      <c r="D82" s="192">
        <v>8819</v>
      </c>
      <c r="E82" s="180"/>
      <c r="H82" s="180"/>
      <c r="I82" s="180"/>
      <c r="J82" s="180"/>
      <c r="K82" s="180"/>
      <c r="L82" s="180"/>
      <c r="M82" s="180"/>
      <c r="N82" s="180"/>
      <c r="R82" s="180"/>
      <c r="S82" s="180"/>
      <c r="T82" s="180">
        <f>SUM(E82:S82)</f>
        <v>0</v>
      </c>
      <c r="U82" s="192">
        <f>+D82+T82</f>
        <v>8819</v>
      </c>
      <c r="W82" s="180"/>
      <c r="X82" s="180"/>
      <c r="Y82" s="180"/>
      <c r="Z82" s="180"/>
      <c r="AA82" s="180"/>
      <c r="AB82" s="180"/>
      <c r="AC82" s="180"/>
      <c r="AD82" s="180"/>
      <c r="AE82" s="180"/>
      <c r="AF82" s="180"/>
      <c r="AG82" s="180"/>
      <c r="AH82" s="179"/>
      <c r="AI82" s="179"/>
      <c r="AJ82" s="179"/>
      <c r="AK82" s="179"/>
      <c r="AL82" s="179"/>
    </row>
    <row r="83" spans="1:38">
      <c r="A83" s="123"/>
      <c r="B83" s="123">
        <v>9835000</v>
      </c>
      <c r="C83" s="130" t="s">
        <v>130</v>
      </c>
      <c r="D83" s="192">
        <v>189</v>
      </c>
      <c r="E83" s="180"/>
      <c r="H83" s="180"/>
      <c r="I83" s="180"/>
      <c r="J83" s="180"/>
      <c r="K83" s="180"/>
      <c r="L83" s="180"/>
      <c r="M83" s="180"/>
      <c r="N83" s="180"/>
      <c r="R83" s="180"/>
      <c r="S83" s="180"/>
      <c r="T83" s="180">
        <f>SUM(E83:S83)</f>
        <v>0</v>
      </c>
      <c r="U83" s="192">
        <f>+D83+T83</f>
        <v>189</v>
      </c>
      <c r="W83" s="180"/>
      <c r="X83" s="180"/>
      <c r="Y83" s="180"/>
      <c r="Z83" s="180"/>
      <c r="AA83" s="180"/>
      <c r="AB83" s="180"/>
      <c r="AC83" s="180"/>
      <c r="AD83" s="180"/>
      <c r="AE83" s="180"/>
      <c r="AF83" s="180"/>
      <c r="AG83" s="180"/>
      <c r="AH83" s="179"/>
      <c r="AI83" s="179"/>
      <c r="AJ83" s="179"/>
      <c r="AK83" s="179"/>
      <c r="AL83" s="179"/>
    </row>
    <row r="84" spans="1:38">
      <c r="A84" s="123">
        <v>1600</v>
      </c>
      <c r="B84" s="123">
        <v>9837000</v>
      </c>
      <c r="C84" s="130" t="s">
        <v>131</v>
      </c>
      <c r="D84" s="192">
        <v>444</v>
      </c>
      <c r="E84" s="180"/>
      <c r="H84" s="180"/>
      <c r="I84" s="180"/>
      <c r="J84" s="180"/>
      <c r="K84" s="180"/>
      <c r="L84" s="180"/>
      <c r="M84" s="180"/>
      <c r="N84" s="180"/>
      <c r="R84" s="180"/>
      <c r="S84" s="180"/>
      <c r="T84" s="180">
        <f>SUM(E84:S84)</f>
        <v>0</v>
      </c>
      <c r="U84" s="192">
        <f>+D84+T84</f>
        <v>444</v>
      </c>
      <c r="W84" s="180"/>
      <c r="X84" s="180"/>
      <c r="Y84" s="180"/>
      <c r="Z84" s="180"/>
      <c r="AA84" s="180"/>
      <c r="AB84" s="180"/>
      <c r="AC84" s="180"/>
      <c r="AD84" s="180"/>
      <c r="AE84" s="180"/>
      <c r="AF84" s="180"/>
      <c r="AG84" s="180"/>
      <c r="AH84" s="179"/>
      <c r="AI84" s="179"/>
      <c r="AJ84" s="179"/>
      <c r="AK84" s="179"/>
      <c r="AL84" s="179"/>
    </row>
    <row r="85" spans="1:38">
      <c r="A85" s="125"/>
      <c r="B85" s="125"/>
      <c r="C85" s="130" t="s">
        <v>132</v>
      </c>
      <c r="D85" s="126">
        <v>26011</v>
      </c>
      <c r="E85" s="180"/>
      <c r="H85" s="180"/>
      <c r="I85" s="180"/>
      <c r="J85" s="180"/>
      <c r="K85" s="180"/>
      <c r="L85" s="180"/>
      <c r="M85" s="180"/>
      <c r="N85" s="180"/>
      <c r="R85" s="180"/>
      <c r="S85" s="180"/>
      <c r="T85" s="180"/>
      <c r="U85" s="126">
        <f>SUM(U80:U84)</f>
        <v>26773.051718481089</v>
      </c>
      <c r="W85" s="180"/>
      <c r="X85" s="180"/>
      <c r="Y85" s="180"/>
      <c r="Z85" s="180"/>
      <c r="AA85" s="180"/>
      <c r="AB85" s="180"/>
      <c r="AC85" s="180"/>
      <c r="AD85" s="180"/>
      <c r="AE85" s="180"/>
      <c r="AF85" s="180"/>
      <c r="AG85" s="180"/>
      <c r="AH85" s="179"/>
      <c r="AI85" s="179"/>
      <c r="AJ85" s="179"/>
      <c r="AK85" s="179"/>
      <c r="AL85" s="179"/>
    </row>
    <row r="86" spans="1:38">
      <c r="A86" s="125"/>
      <c r="B86" s="125"/>
      <c r="C86" s="130" t="s">
        <v>133</v>
      </c>
      <c r="D86" s="126">
        <v>26011</v>
      </c>
      <c r="E86" s="180"/>
      <c r="H86" s="180"/>
      <c r="I86" s="180"/>
      <c r="J86" s="180"/>
      <c r="K86" s="180"/>
      <c r="L86" s="180"/>
      <c r="M86" s="180"/>
      <c r="N86" s="180"/>
      <c r="R86" s="180"/>
      <c r="S86" s="180"/>
      <c r="T86" s="180"/>
      <c r="U86" s="126">
        <f>+U85</f>
        <v>26773.051718481089</v>
      </c>
      <c r="W86" s="180"/>
      <c r="X86" s="180"/>
      <c r="Y86" s="180"/>
      <c r="Z86" s="180"/>
      <c r="AA86" s="180"/>
      <c r="AB86" s="180"/>
      <c r="AC86" s="180"/>
      <c r="AD86" s="180"/>
      <c r="AE86" s="180"/>
      <c r="AF86" s="180"/>
      <c r="AG86" s="180"/>
      <c r="AH86" s="179"/>
      <c r="AI86" s="179"/>
      <c r="AJ86" s="179"/>
      <c r="AK86" s="179"/>
      <c r="AL86" s="179"/>
    </row>
    <row r="87" spans="1:38">
      <c r="A87" s="123">
        <v>1600</v>
      </c>
      <c r="B87" s="123">
        <v>9863000</v>
      </c>
      <c r="C87" s="131" t="s">
        <v>134</v>
      </c>
      <c r="D87" s="192">
        <v>-80962</v>
      </c>
      <c r="E87" s="180"/>
      <c r="H87" s="180"/>
      <c r="I87" s="180"/>
      <c r="J87" s="180"/>
      <c r="K87" s="180"/>
      <c r="L87" s="180"/>
      <c r="M87" s="180"/>
      <c r="N87" s="180"/>
      <c r="R87" s="180"/>
      <c r="S87" s="180"/>
      <c r="T87" s="180">
        <f>SUM(E87:S87)</f>
        <v>0</v>
      </c>
      <c r="U87" s="192">
        <f>+D87+T87</f>
        <v>-80962</v>
      </c>
      <c r="W87" s="180"/>
      <c r="X87" s="180"/>
      <c r="Y87" s="180"/>
      <c r="Z87" s="180"/>
      <c r="AA87" s="180"/>
      <c r="AB87" s="180"/>
      <c r="AC87" s="180"/>
      <c r="AD87" s="180"/>
      <c r="AE87" s="180"/>
      <c r="AF87" s="180"/>
      <c r="AG87" s="180"/>
      <c r="AH87" s="179"/>
      <c r="AI87" s="179"/>
      <c r="AJ87" s="179"/>
      <c r="AK87" s="179"/>
      <c r="AL87" s="179"/>
    </row>
    <row r="88" spans="1:38">
      <c r="A88" s="125"/>
      <c r="B88" s="125"/>
      <c r="C88" s="131" t="s">
        <v>135</v>
      </c>
      <c r="D88" s="126">
        <v>-80962</v>
      </c>
      <c r="E88" s="180"/>
      <c r="H88" s="180"/>
      <c r="I88" s="180"/>
      <c r="J88" s="180"/>
      <c r="K88" s="180"/>
      <c r="L88" s="180"/>
      <c r="M88" s="180"/>
      <c r="N88" s="180"/>
      <c r="R88" s="180"/>
      <c r="S88" s="180"/>
      <c r="T88" s="180"/>
      <c r="U88" s="126">
        <f>+U87</f>
        <v>-80962</v>
      </c>
      <c r="W88" s="180"/>
      <c r="X88" s="180"/>
      <c r="Y88" s="180"/>
      <c r="Z88" s="180"/>
      <c r="AA88" s="180"/>
      <c r="AB88" s="180"/>
      <c r="AC88" s="180"/>
      <c r="AD88" s="180"/>
      <c r="AE88" s="180"/>
      <c r="AF88" s="180"/>
      <c r="AG88" s="180"/>
      <c r="AH88" s="179"/>
      <c r="AI88" s="179"/>
      <c r="AJ88" s="179"/>
      <c r="AK88" s="179"/>
      <c r="AL88" s="179"/>
    </row>
    <row r="89" spans="1:38">
      <c r="A89" s="123">
        <v>1600</v>
      </c>
      <c r="B89" s="123">
        <v>9885000</v>
      </c>
      <c r="C89" s="132" t="s">
        <v>136</v>
      </c>
      <c r="D89" s="192">
        <v>103774</v>
      </c>
      <c r="E89" s="180"/>
      <c r="H89" s="180"/>
      <c r="I89" s="180"/>
      <c r="J89" s="180"/>
      <c r="K89" s="129">
        <f>+'Payroll Base and Adjustment '!I86</f>
        <v>3384.1742427890686</v>
      </c>
      <c r="L89" s="129"/>
      <c r="M89" s="180"/>
      <c r="N89" s="180"/>
      <c r="R89" s="180"/>
      <c r="S89" s="180"/>
      <c r="T89" s="180">
        <f t="shared" ref="T89:T95" si="6">SUM(E89:S89)</f>
        <v>3384.1742427890686</v>
      </c>
      <c r="U89" s="192">
        <f t="shared" ref="U89:U95" si="7">+D89+T89</f>
        <v>107158.17424278907</v>
      </c>
      <c r="W89" s="180"/>
      <c r="X89" s="180"/>
      <c r="Y89" s="180"/>
      <c r="Z89" s="180"/>
      <c r="AA89" s="180"/>
      <c r="AB89" s="180"/>
      <c r="AC89" s="180"/>
      <c r="AD89" s="180"/>
      <c r="AE89" s="180"/>
      <c r="AF89" s="180"/>
      <c r="AG89" s="180"/>
      <c r="AH89" s="179"/>
      <c r="AI89" s="179"/>
      <c r="AJ89" s="179"/>
      <c r="AK89" s="179"/>
      <c r="AL89" s="179"/>
    </row>
    <row r="90" spans="1:38">
      <c r="A90" s="123">
        <v>1300</v>
      </c>
      <c r="B90" s="123">
        <v>9886000</v>
      </c>
      <c r="C90" s="132" t="s">
        <v>137</v>
      </c>
      <c r="D90" s="192">
        <v>33078</v>
      </c>
      <c r="E90" s="180"/>
      <c r="H90" s="180"/>
      <c r="I90" s="180"/>
      <c r="J90" s="180"/>
      <c r="K90" s="180"/>
      <c r="L90" s="180"/>
      <c r="M90" s="180"/>
      <c r="N90" s="180"/>
      <c r="R90" s="180"/>
      <c r="S90" s="180"/>
      <c r="T90" s="180">
        <f t="shared" si="6"/>
        <v>0</v>
      </c>
      <c r="U90" s="192">
        <f t="shared" si="7"/>
        <v>33078</v>
      </c>
      <c r="W90" s="180"/>
      <c r="X90" s="180"/>
      <c r="Y90" s="180"/>
      <c r="Z90" s="180"/>
      <c r="AA90" s="180"/>
      <c r="AB90" s="180"/>
      <c r="AC90" s="180"/>
      <c r="AD90" s="180"/>
      <c r="AE90" s="180"/>
      <c r="AF90" s="180"/>
      <c r="AG90" s="180"/>
      <c r="AH90" s="179"/>
      <c r="AI90" s="179"/>
      <c r="AJ90" s="179"/>
      <c r="AK90" s="179"/>
      <c r="AL90" s="179"/>
    </row>
    <row r="91" spans="1:38">
      <c r="A91" s="123" t="s">
        <v>402</v>
      </c>
      <c r="B91" s="123">
        <v>9887000</v>
      </c>
      <c r="C91" s="132" t="s">
        <v>138</v>
      </c>
      <c r="D91" s="192">
        <v>-65395</v>
      </c>
      <c r="E91" s="180"/>
      <c r="H91" s="180"/>
      <c r="I91" s="180"/>
      <c r="J91" s="180"/>
      <c r="K91" s="180"/>
      <c r="L91" s="180"/>
      <c r="M91" s="180"/>
      <c r="N91" s="180"/>
      <c r="R91" s="180"/>
      <c r="S91" s="180"/>
      <c r="T91" s="180">
        <f t="shared" si="6"/>
        <v>0</v>
      </c>
      <c r="U91" s="192">
        <f t="shared" si="7"/>
        <v>-65395</v>
      </c>
      <c r="W91" s="180"/>
      <c r="X91" s="180"/>
      <c r="Y91" s="180"/>
      <c r="Z91" s="180"/>
      <c r="AA91" s="180"/>
      <c r="AB91" s="180"/>
      <c r="AC91" s="180"/>
      <c r="AD91" s="180"/>
      <c r="AE91" s="180"/>
      <c r="AF91" s="180"/>
      <c r="AG91" s="180"/>
      <c r="AH91" s="179"/>
      <c r="AI91" s="179"/>
      <c r="AJ91" s="179"/>
      <c r="AK91" s="179"/>
      <c r="AL91" s="179"/>
    </row>
    <row r="92" spans="1:38">
      <c r="A92" s="123"/>
      <c r="B92" s="123">
        <v>9889000</v>
      </c>
      <c r="C92" s="132" t="s">
        <v>139</v>
      </c>
      <c r="D92" s="192">
        <v>5</v>
      </c>
      <c r="E92" s="180"/>
      <c r="H92" s="180"/>
      <c r="I92" s="180"/>
      <c r="J92" s="180"/>
      <c r="K92" s="180"/>
      <c r="L92" s="180"/>
      <c r="M92" s="180"/>
      <c r="N92" s="180"/>
      <c r="R92" s="180"/>
      <c r="S92" s="180"/>
      <c r="T92" s="180">
        <f t="shared" si="6"/>
        <v>0</v>
      </c>
      <c r="U92" s="192">
        <f t="shared" si="7"/>
        <v>5</v>
      </c>
      <c r="W92" s="180"/>
      <c r="X92" s="180"/>
      <c r="Y92" s="180"/>
      <c r="Z92" s="180"/>
      <c r="AA92" s="180"/>
      <c r="AB92" s="180"/>
      <c r="AC92" s="180"/>
      <c r="AD92" s="180"/>
      <c r="AE92" s="180"/>
      <c r="AF92" s="180"/>
      <c r="AG92" s="180"/>
      <c r="AH92" s="179"/>
      <c r="AI92" s="179"/>
      <c r="AJ92" s="179"/>
      <c r="AK92" s="179"/>
      <c r="AL92" s="179"/>
    </row>
    <row r="93" spans="1:38">
      <c r="A93" s="123" t="s">
        <v>402</v>
      </c>
      <c r="B93" s="123">
        <v>9892000</v>
      </c>
      <c r="C93" s="132" t="s">
        <v>140</v>
      </c>
      <c r="D93" s="192">
        <v>50454</v>
      </c>
      <c r="E93" s="180"/>
      <c r="H93" s="180"/>
      <c r="I93" s="180"/>
      <c r="J93" s="180"/>
      <c r="K93" s="180"/>
      <c r="L93" s="180"/>
      <c r="M93" s="180"/>
      <c r="N93" s="180"/>
      <c r="R93" s="180"/>
      <c r="S93" s="180"/>
      <c r="T93" s="180">
        <f t="shared" si="6"/>
        <v>0</v>
      </c>
      <c r="U93" s="192">
        <f t="shared" si="7"/>
        <v>50454</v>
      </c>
      <c r="W93" s="180"/>
      <c r="X93" s="180"/>
      <c r="Y93" s="180"/>
      <c r="Z93" s="180"/>
      <c r="AA93" s="180"/>
      <c r="AB93" s="180"/>
      <c r="AC93" s="180"/>
      <c r="AD93" s="180"/>
      <c r="AE93" s="180"/>
      <c r="AF93" s="180"/>
      <c r="AG93" s="180"/>
      <c r="AH93" s="179"/>
      <c r="AI93" s="179"/>
      <c r="AJ93" s="179"/>
      <c r="AK93" s="179"/>
      <c r="AL93" s="179"/>
    </row>
    <row r="94" spans="1:38">
      <c r="A94" s="123" t="s">
        <v>402</v>
      </c>
      <c r="B94" s="123">
        <v>9893000</v>
      </c>
      <c r="C94" s="132" t="s">
        <v>141</v>
      </c>
      <c r="D94" s="192">
        <v>177602</v>
      </c>
      <c r="E94" s="180"/>
      <c r="H94" s="180"/>
      <c r="I94" s="180"/>
      <c r="J94" s="180"/>
      <c r="K94" s="180"/>
      <c r="L94" s="180"/>
      <c r="M94" s="180"/>
      <c r="N94" s="180"/>
      <c r="R94" s="180"/>
      <c r="S94" s="180"/>
      <c r="T94" s="180">
        <f t="shared" si="6"/>
        <v>0</v>
      </c>
      <c r="U94" s="192">
        <f t="shared" si="7"/>
        <v>177602</v>
      </c>
      <c r="W94" s="180"/>
      <c r="X94" s="180"/>
      <c r="Y94" s="180"/>
      <c r="Z94" s="180"/>
      <c r="AA94" s="180"/>
      <c r="AB94" s="180"/>
      <c r="AC94" s="180"/>
      <c r="AD94" s="180"/>
      <c r="AE94" s="180"/>
      <c r="AF94" s="180"/>
      <c r="AG94" s="180"/>
      <c r="AH94" s="179"/>
      <c r="AI94" s="179"/>
      <c r="AJ94" s="179"/>
      <c r="AK94" s="179"/>
      <c r="AL94" s="179"/>
    </row>
    <row r="95" spans="1:38">
      <c r="A95" s="123" t="s">
        <v>402</v>
      </c>
      <c r="B95" s="123">
        <v>9894000</v>
      </c>
      <c r="C95" s="132" t="s">
        <v>142</v>
      </c>
      <c r="D95" s="192">
        <v>188033</v>
      </c>
      <c r="E95" s="180"/>
      <c r="H95" s="180"/>
      <c r="I95" s="180"/>
      <c r="J95" s="180"/>
      <c r="K95" s="180"/>
      <c r="L95" s="180"/>
      <c r="M95" s="180"/>
      <c r="N95" s="180"/>
      <c r="R95" s="180"/>
      <c r="S95" s="180"/>
      <c r="T95" s="180">
        <f t="shared" si="6"/>
        <v>0</v>
      </c>
      <c r="U95" s="192">
        <f t="shared" si="7"/>
        <v>188033</v>
      </c>
      <c r="W95" s="180"/>
      <c r="X95" s="180"/>
      <c r="Y95" s="180"/>
      <c r="Z95" s="180"/>
      <c r="AA95" s="180"/>
      <c r="AB95" s="180"/>
      <c r="AC95" s="180"/>
      <c r="AD95" s="180"/>
      <c r="AE95" s="180"/>
      <c r="AF95" s="180"/>
      <c r="AG95" s="180"/>
      <c r="AH95" s="179"/>
      <c r="AI95" s="179"/>
      <c r="AJ95" s="179"/>
      <c r="AK95" s="179"/>
      <c r="AL95" s="179"/>
    </row>
    <row r="96" spans="1:38">
      <c r="A96" s="125"/>
      <c r="B96" s="125"/>
      <c r="C96" s="132" t="s">
        <v>143</v>
      </c>
      <c r="D96" s="126">
        <v>487552</v>
      </c>
      <c r="E96" s="180"/>
      <c r="H96" s="180"/>
      <c r="I96" s="180"/>
      <c r="J96" s="180"/>
      <c r="K96" s="180"/>
      <c r="L96" s="180"/>
      <c r="M96" s="180"/>
      <c r="N96" s="180"/>
      <c r="R96" s="180"/>
      <c r="S96" s="180"/>
      <c r="T96" s="180"/>
      <c r="U96" s="126">
        <f>SUM(U89:U95)</f>
        <v>490935.17424278904</v>
      </c>
      <c r="W96" s="180"/>
      <c r="X96" s="180"/>
      <c r="Y96" s="180"/>
      <c r="Z96" s="180"/>
      <c r="AA96" s="180"/>
      <c r="AB96" s="180"/>
      <c r="AC96" s="180"/>
      <c r="AD96" s="180"/>
      <c r="AE96" s="180"/>
      <c r="AF96" s="180"/>
      <c r="AG96" s="180"/>
      <c r="AH96" s="179"/>
      <c r="AI96" s="179"/>
      <c r="AJ96" s="179"/>
      <c r="AK96" s="179"/>
      <c r="AL96" s="179"/>
    </row>
    <row r="97" spans="1:38">
      <c r="A97" s="123" t="s">
        <v>402</v>
      </c>
      <c r="B97" s="123">
        <v>9932000</v>
      </c>
      <c r="C97" s="124" t="s">
        <v>144</v>
      </c>
      <c r="D97" s="192">
        <v>56968</v>
      </c>
      <c r="E97" s="180"/>
      <c r="H97" s="180"/>
      <c r="I97" s="180"/>
      <c r="J97" s="180"/>
      <c r="K97" s="180"/>
      <c r="L97" s="180"/>
      <c r="M97" s="180"/>
      <c r="N97" s="180"/>
      <c r="R97" s="180"/>
      <c r="S97" s="180"/>
      <c r="T97" s="180">
        <f>SUM(E97:S97)</f>
        <v>0</v>
      </c>
      <c r="U97" s="192">
        <f>+D97+T97</f>
        <v>56968</v>
      </c>
      <c r="W97" s="180"/>
      <c r="X97" s="180"/>
      <c r="Y97" s="180"/>
      <c r="Z97" s="180"/>
      <c r="AA97" s="180"/>
      <c r="AB97" s="180"/>
      <c r="AC97" s="180"/>
      <c r="AD97" s="180"/>
      <c r="AE97" s="180"/>
      <c r="AF97" s="180"/>
      <c r="AG97" s="180"/>
      <c r="AH97" s="179"/>
      <c r="AI97" s="179"/>
      <c r="AJ97" s="179"/>
      <c r="AK97" s="179"/>
      <c r="AL97" s="179"/>
    </row>
    <row r="98" spans="1:38">
      <c r="A98" s="125"/>
      <c r="B98" s="125"/>
      <c r="C98" s="124" t="s">
        <v>145</v>
      </c>
      <c r="D98" s="126">
        <v>56968</v>
      </c>
      <c r="E98" s="180"/>
      <c r="H98" s="180"/>
      <c r="I98" s="180"/>
      <c r="J98" s="180"/>
      <c r="K98" s="180"/>
      <c r="L98" s="180"/>
      <c r="M98" s="180"/>
      <c r="N98" s="180"/>
      <c r="R98" s="180"/>
      <c r="S98" s="180"/>
      <c r="T98" s="180"/>
      <c r="U98" s="126">
        <f>+U97</f>
        <v>56968</v>
      </c>
      <c r="W98" s="180"/>
      <c r="X98" s="180"/>
      <c r="Y98" s="180"/>
      <c r="Z98" s="180"/>
      <c r="AA98" s="180"/>
      <c r="AB98" s="180"/>
      <c r="AC98" s="180"/>
      <c r="AD98" s="180"/>
      <c r="AE98" s="180"/>
      <c r="AF98" s="180"/>
      <c r="AG98" s="180"/>
      <c r="AH98" s="179"/>
      <c r="AI98" s="179"/>
      <c r="AJ98" s="179"/>
      <c r="AK98" s="179"/>
      <c r="AL98" s="179"/>
    </row>
    <row r="99" spans="1:38">
      <c r="A99" s="125"/>
      <c r="B99" s="125"/>
      <c r="C99" s="124" t="s">
        <v>146</v>
      </c>
      <c r="D99" s="126">
        <v>526384</v>
      </c>
      <c r="E99" s="180"/>
      <c r="H99" s="180"/>
      <c r="I99" s="180"/>
      <c r="J99" s="180"/>
      <c r="K99" s="180"/>
      <c r="L99" s="180"/>
      <c r="M99" s="180"/>
      <c r="N99" s="180"/>
      <c r="R99" s="180"/>
      <c r="S99" s="180"/>
      <c r="T99" s="180"/>
      <c r="U99" s="126">
        <f>+U98+U96+U88+U86+U78</f>
        <v>531819.22733751102</v>
      </c>
      <c r="V99" s="256">
        <f>+U99+U71-V30</f>
        <v>16007038.599243712</v>
      </c>
      <c r="W99" s="180"/>
      <c r="X99" s="180"/>
      <c r="Y99" s="180"/>
      <c r="Z99" s="180"/>
      <c r="AA99" s="180"/>
      <c r="AB99" s="180"/>
      <c r="AC99" s="180"/>
      <c r="AD99" s="180"/>
      <c r="AE99" s="180"/>
      <c r="AF99" s="180"/>
      <c r="AG99" s="180"/>
      <c r="AH99" s="179"/>
      <c r="AI99" s="179"/>
      <c r="AJ99" s="179"/>
      <c r="AK99" s="179"/>
      <c r="AL99" s="179"/>
    </row>
    <row r="100" spans="1:38">
      <c r="A100" s="123" t="s">
        <v>402</v>
      </c>
      <c r="B100" s="123">
        <v>9403000</v>
      </c>
      <c r="C100" s="124" t="s">
        <v>148</v>
      </c>
      <c r="D100" s="192">
        <v>7916269</v>
      </c>
      <c r="E100" s="180"/>
      <c r="H100" s="180"/>
      <c r="I100" s="180"/>
      <c r="J100" s="180"/>
      <c r="K100" s="180"/>
      <c r="L100" s="180"/>
      <c r="M100" s="12">
        <v>1556983</v>
      </c>
      <c r="N100" s="180"/>
      <c r="R100" s="180"/>
      <c r="S100" s="180"/>
      <c r="T100" s="180">
        <f>SUM(E100:S100)</f>
        <v>1556983</v>
      </c>
      <c r="U100" s="192">
        <f>+D100+T100</f>
        <v>9473252</v>
      </c>
      <c r="W100" s="180"/>
      <c r="X100" s="180"/>
      <c r="Y100" s="180"/>
      <c r="Z100" s="180"/>
      <c r="AA100" s="180"/>
      <c r="AB100" s="180"/>
      <c r="AC100" s="180"/>
      <c r="AD100" s="180"/>
      <c r="AE100" s="180"/>
      <c r="AF100" s="180"/>
      <c r="AG100" s="180"/>
      <c r="AH100" s="179"/>
      <c r="AI100" s="179"/>
      <c r="AJ100" s="179"/>
      <c r="AK100" s="179"/>
      <c r="AL100" s="179"/>
    </row>
    <row r="101" spans="1:38">
      <c r="A101" s="125"/>
      <c r="B101" s="125"/>
      <c r="C101" s="124" t="s">
        <v>150</v>
      </c>
      <c r="D101" s="126">
        <v>7916269</v>
      </c>
      <c r="E101" s="180"/>
      <c r="H101" s="180"/>
      <c r="I101" s="180"/>
      <c r="J101" s="180"/>
      <c r="K101" s="180"/>
      <c r="L101" s="180"/>
      <c r="M101" s="180"/>
      <c r="N101" s="180"/>
      <c r="R101" s="180"/>
      <c r="S101" s="180"/>
      <c r="T101" s="180"/>
      <c r="U101" s="126">
        <f>+U100</f>
        <v>9473252</v>
      </c>
      <c r="W101" s="180"/>
      <c r="X101" s="180"/>
      <c r="Y101" s="180"/>
      <c r="Z101" s="180"/>
      <c r="AA101" s="180"/>
      <c r="AB101" s="180"/>
      <c r="AC101" s="180"/>
      <c r="AD101" s="180"/>
      <c r="AE101" s="180"/>
      <c r="AF101" s="180"/>
      <c r="AG101" s="180"/>
      <c r="AH101" s="179"/>
      <c r="AI101" s="179"/>
      <c r="AJ101" s="179"/>
      <c r="AK101" s="179"/>
      <c r="AL101" s="179"/>
    </row>
    <row r="102" spans="1:38">
      <c r="A102" s="123" t="s">
        <v>402</v>
      </c>
      <c r="B102" s="123">
        <v>9404000</v>
      </c>
      <c r="C102" s="124" t="s">
        <v>151</v>
      </c>
      <c r="D102" s="192">
        <v>413993</v>
      </c>
      <c r="E102" s="180"/>
      <c r="H102" s="180"/>
      <c r="I102" s="180"/>
      <c r="J102" s="180"/>
      <c r="K102" s="180"/>
      <c r="L102" s="180"/>
      <c r="M102" s="180"/>
      <c r="N102" s="180"/>
      <c r="R102" s="180"/>
      <c r="S102" s="180"/>
      <c r="T102" s="180">
        <f>SUM(E102:S102)</f>
        <v>0</v>
      </c>
      <c r="U102" s="192">
        <f>+D102+T102</f>
        <v>413993</v>
      </c>
      <c r="W102" s="180"/>
      <c r="X102" s="180"/>
      <c r="Y102" s="180"/>
      <c r="Z102" s="180"/>
      <c r="AA102" s="180"/>
      <c r="AB102" s="180"/>
      <c r="AC102" s="180"/>
      <c r="AD102" s="180"/>
      <c r="AE102" s="180"/>
      <c r="AF102" s="180"/>
      <c r="AG102" s="180"/>
      <c r="AH102" s="179"/>
      <c r="AI102" s="179"/>
      <c r="AJ102" s="179"/>
      <c r="AK102" s="179"/>
      <c r="AL102" s="179"/>
    </row>
    <row r="103" spans="1:38">
      <c r="A103" s="123">
        <v>1600</v>
      </c>
      <c r="B103" s="123">
        <v>9404200</v>
      </c>
      <c r="C103" s="124" t="s">
        <v>152</v>
      </c>
      <c r="D103" s="192">
        <v>15785</v>
      </c>
      <c r="E103" s="180"/>
      <c r="H103" s="180"/>
      <c r="I103" s="180"/>
      <c r="J103" s="180"/>
      <c r="K103" s="180"/>
      <c r="L103" s="180"/>
      <c r="M103" s="180"/>
      <c r="N103" s="180"/>
      <c r="R103" s="180"/>
      <c r="S103" s="180"/>
      <c r="T103" s="180">
        <f>SUM(E103:S103)</f>
        <v>0</v>
      </c>
      <c r="U103" s="192">
        <f>+D103+T103</f>
        <v>15785</v>
      </c>
      <c r="W103" s="180"/>
      <c r="X103" s="180"/>
      <c r="Y103" s="180"/>
      <c r="Z103" s="180"/>
      <c r="AA103" s="180"/>
      <c r="AB103" s="180"/>
      <c r="AC103" s="180"/>
      <c r="AD103" s="180"/>
      <c r="AE103" s="180"/>
      <c r="AF103" s="180"/>
      <c r="AG103" s="180"/>
      <c r="AH103" s="179"/>
      <c r="AI103" s="179"/>
      <c r="AJ103" s="179"/>
      <c r="AK103" s="179"/>
      <c r="AL103" s="179"/>
    </row>
    <row r="104" spans="1:38">
      <c r="A104" s="125"/>
      <c r="B104" s="125"/>
      <c r="C104" s="124" t="s">
        <v>153</v>
      </c>
      <c r="D104" s="126">
        <v>429778</v>
      </c>
      <c r="E104" s="180"/>
      <c r="H104" s="180"/>
      <c r="I104" s="180"/>
      <c r="J104" s="180"/>
      <c r="K104" s="180"/>
      <c r="L104" s="180"/>
      <c r="M104" s="180"/>
      <c r="N104" s="180"/>
      <c r="R104" s="180"/>
      <c r="S104" s="180"/>
      <c r="T104" s="180"/>
      <c r="U104" s="126">
        <f>SUM(U102:U103)</f>
        <v>429778</v>
      </c>
      <c r="V104" s="256">
        <f>+U104+U101</f>
        <v>9903030</v>
      </c>
      <c r="W104" s="180"/>
      <c r="X104" s="180"/>
      <c r="Y104" s="180"/>
      <c r="Z104" s="180"/>
      <c r="AA104" s="180"/>
      <c r="AB104" s="180"/>
      <c r="AC104" s="180"/>
      <c r="AD104" s="180"/>
      <c r="AE104" s="180"/>
      <c r="AF104" s="180"/>
      <c r="AG104" s="180"/>
      <c r="AH104" s="179"/>
      <c r="AI104" s="179"/>
      <c r="AJ104" s="179"/>
      <c r="AK104" s="179"/>
      <c r="AL104" s="179"/>
    </row>
    <row r="105" spans="1:38">
      <c r="A105" s="123" t="s">
        <v>402</v>
      </c>
      <c r="B105" s="123">
        <v>9408100</v>
      </c>
      <c r="C105" s="124" t="s">
        <v>154</v>
      </c>
      <c r="D105" s="192">
        <v>3521376</v>
      </c>
      <c r="E105" s="180"/>
      <c r="H105" s="180"/>
      <c r="I105" s="180"/>
      <c r="J105" s="180"/>
      <c r="K105" s="180"/>
      <c r="L105" s="180">
        <f>+'Payroll Taxes'!X33</f>
        <v>36663.662867940475</v>
      </c>
      <c r="M105" s="180">
        <f>+'Property Tax'!J37</f>
        <v>335311.59314008243</v>
      </c>
      <c r="N105" s="180"/>
      <c r="R105" s="180"/>
      <c r="S105" s="180"/>
      <c r="T105" s="180">
        <f>SUM(E105:S105)</f>
        <v>371975.25600802293</v>
      </c>
      <c r="U105" s="192">
        <f>+D105+T105</f>
        <v>3893351.2560080229</v>
      </c>
      <c r="W105" s="180"/>
      <c r="X105" s="180"/>
      <c r="Y105" s="180"/>
      <c r="Z105" s="180"/>
      <c r="AA105" s="180"/>
      <c r="AB105" s="180"/>
      <c r="AC105" s="180"/>
      <c r="AD105" s="180"/>
      <c r="AE105" s="180"/>
      <c r="AF105" s="180"/>
      <c r="AG105" s="180"/>
      <c r="AH105" s="179"/>
      <c r="AI105" s="179"/>
      <c r="AJ105" s="179"/>
      <c r="AK105" s="179"/>
      <c r="AL105" s="179"/>
    </row>
    <row r="106" spans="1:38">
      <c r="A106" s="125"/>
      <c r="B106" s="125"/>
      <c r="C106" s="124" t="s">
        <v>156</v>
      </c>
      <c r="D106" s="126">
        <v>3521376</v>
      </c>
      <c r="E106" s="180"/>
      <c r="H106" s="180"/>
      <c r="I106" s="180"/>
      <c r="J106" s="180"/>
      <c r="K106" s="180"/>
      <c r="L106" s="180"/>
      <c r="M106" s="180"/>
      <c r="N106" s="180"/>
      <c r="R106" s="180"/>
      <c r="S106" s="180"/>
      <c r="T106" s="180"/>
      <c r="U106" s="126">
        <f>+U105</f>
        <v>3893351.2560080229</v>
      </c>
      <c r="V106" s="256">
        <f>+U106</f>
        <v>3893351.2560080229</v>
      </c>
      <c r="W106" s="180"/>
      <c r="X106" s="180"/>
      <c r="Y106" s="180"/>
      <c r="Z106" s="180"/>
      <c r="AA106" s="180"/>
      <c r="AB106" s="180"/>
      <c r="AC106" s="180"/>
      <c r="AD106" s="180"/>
      <c r="AE106" s="180"/>
      <c r="AF106" s="180"/>
      <c r="AG106" s="180"/>
      <c r="AH106" s="179"/>
      <c r="AI106" s="179"/>
      <c r="AJ106" s="179"/>
      <c r="AK106" s="179"/>
      <c r="AL106" s="179"/>
    </row>
    <row r="107" spans="1:38">
      <c r="A107" s="123" t="s">
        <v>402</v>
      </c>
      <c r="B107" s="123">
        <v>9409100</v>
      </c>
      <c r="C107" s="124" t="s">
        <v>157</v>
      </c>
      <c r="D107" s="192">
        <v>2230132</v>
      </c>
      <c r="E107" s="180"/>
      <c r="H107" s="180"/>
      <c r="I107" s="180"/>
      <c r="J107" s="180"/>
      <c r="K107" s="180"/>
      <c r="L107" s="180"/>
      <c r="M107" s="180"/>
      <c r="N107" s="180"/>
      <c r="R107" s="180"/>
      <c r="S107" s="180"/>
      <c r="T107" s="180">
        <f>SUM(E107:S107)</f>
        <v>0</v>
      </c>
      <c r="U107" s="192">
        <f>+D107+T107</f>
        <v>2230132</v>
      </c>
      <c r="W107" s="180"/>
      <c r="X107" s="180"/>
      <c r="Y107" s="180"/>
      <c r="Z107" s="180"/>
      <c r="AA107" s="180"/>
      <c r="AB107" s="180"/>
      <c r="AC107" s="180"/>
      <c r="AD107" s="180"/>
      <c r="AE107" s="180"/>
      <c r="AF107" s="180"/>
      <c r="AG107" s="180"/>
      <c r="AH107" s="179"/>
      <c r="AI107" s="179"/>
      <c r="AJ107" s="179"/>
      <c r="AK107" s="179"/>
      <c r="AL107" s="179"/>
    </row>
    <row r="108" spans="1:38">
      <c r="A108" s="125"/>
      <c r="B108" s="125"/>
      <c r="C108" s="124" t="s">
        <v>158</v>
      </c>
      <c r="D108" s="126">
        <v>2230132</v>
      </c>
      <c r="E108" s="180"/>
      <c r="H108" s="180"/>
      <c r="I108" s="180"/>
      <c r="J108" s="180"/>
      <c r="K108" s="180"/>
      <c r="L108" s="180"/>
      <c r="M108" s="180"/>
      <c r="N108" s="180"/>
      <c r="R108" s="180"/>
      <c r="S108" s="180"/>
      <c r="T108" s="180"/>
      <c r="U108" s="126">
        <f>+U107</f>
        <v>2230132</v>
      </c>
      <c r="W108" s="180"/>
      <c r="X108" s="180"/>
      <c r="Y108" s="180"/>
      <c r="Z108" s="180"/>
      <c r="AA108" s="180"/>
      <c r="AB108" s="180"/>
      <c r="AC108" s="180"/>
      <c r="AD108" s="180"/>
      <c r="AE108" s="180"/>
      <c r="AF108" s="180"/>
      <c r="AG108" s="180"/>
      <c r="AH108" s="179"/>
      <c r="AI108" s="179"/>
      <c r="AJ108" s="179"/>
      <c r="AK108" s="179"/>
      <c r="AL108" s="179"/>
    </row>
    <row r="109" spans="1:38">
      <c r="A109" s="123" t="s">
        <v>402</v>
      </c>
      <c r="B109" s="123">
        <v>9410100</v>
      </c>
      <c r="C109" s="124" t="s">
        <v>159</v>
      </c>
      <c r="D109" s="192">
        <v>-687889</v>
      </c>
      <c r="E109" s="180"/>
      <c r="H109" s="180"/>
      <c r="I109" s="180"/>
      <c r="J109" s="180"/>
      <c r="K109" s="180"/>
      <c r="L109" s="180"/>
      <c r="M109" s="180"/>
      <c r="N109" s="180"/>
      <c r="R109" s="180"/>
      <c r="S109" s="180"/>
      <c r="T109" s="180">
        <f>SUM(E109:S109)</f>
        <v>0</v>
      </c>
      <c r="U109" s="192">
        <f>+D109+T109</f>
        <v>-687889</v>
      </c>
      <c r="W109" s="180"/>
      <c r="X109" s="180"/>
      <c r="Y109" s="180"/>
      <c r="Z109" s="180"/>
      <c r="AA109" s="180"/>
      <c r="AB109" s="180"/>
      <c r="AC109" s="180"/>
      <c r="AD109" s="180"/>
      <c r="AE109" s="180"/>
      <c r="AF109" s="180"/>
      <c r="AG109" s="180"/>
      <c r="AH109" s="179"/>
      <c r="AI109" s="179"/>
      <c r="AJ109" s="179"/>
      <c r="AK109" s="179"/>
      <c r="AL109" s="179"/>
    </row>
    <row r="110" spans="1:38">
      <c r="A110" s="125"/>
      <c r="B110" s="125"/>
      <c r="C110" s="124" t="s">
        <v>160</v>
      </c>
      <c r="D110" s="126">
        <v>-687889</v>
      </c>
      <c r="E110" s="180"/>
      <c r="H110" s="180"/>
      <c r="I110" s="180"/>
      <c r="J110" s="180"/>
      <c r="K110" s="180"/>
      <c r="L110" s="180"/>
      <c r="M110" s="180"/>
      <c r="N110" s="180"/>
      <c r="R110" s="180"/>
      <c r="S110" s="180"/>
      <c r="T110" s="180"/>
      <c r="U110" s="126">
        <f>+U109</f>
        <v>-687889</v>
      </c>
      <c r="W110" s="180"/>
      <c r="X110" s="180"/>
      <c r="Y110" s="180"/>
      <c r="Z110" s="180"/>
      <c r="AA110" s="180"/>
      <c r="AB110" s="180"/>
      <c r="AC110" s="180"/>
      <c r="AD110" s="180"/>
      <c r="AE110" s="180"/>
      <c r="AF110" s="180"/>
      <c r="AG110" s="180"/>
      <c r="AH110" s="179"/>
      <c r="AI110" s="179"/>
      <c r="AJ110" s="179"/>
      <c r="AK110" s="179"/>
      <c r="AL110" s="179"/>
    </row>
    <row r="111" spans="1:38">
      <c r="A111" s="125"/>
      <c r="B111" s="125"/>
      <c r="C111" s="124" t="s">
        <v>161</v>
      </c>
      <c r="D111" s="126">
        <v>41196603</v>
      </c>
      <c r="E111" s="180"/>
      <c r="H111" s="180"/>
      <c r="I111" s="180"/>
      <c r="J111" s="180"/>
      <c r="K111" s="180"/>
      <c r="L111" s="180"/>
      <c r="M111" s="180"/>
      <c r="N111" s="180"/>
      <c r="R111" s="180"/>
      <c r="S111" s="180"/>
      <c r="T111" s="180"/>
      <c r="U111" s="126">
        <f>+U110+U108+U106+U104+U101+U71+U99</f>
        <v>47167545.975651734</v>
      </c>
      <c r="W111" s="180"/>
      <c r="X111" s="180"/>
      <c r="Y111" s="180"/>
      <c r="Z111" s="180"/>
      <c r="AA111" s="180"/>
      <c r="AB111" s="180"/>
      <c r="AC111" s="180"/>
      <c r="AD111" s="180"/>
      <c r="AE111" s="180"/>
      <c r="AF111" s="180"/>
      <c r="AG111" s="180"/>
      <c r="AH111" s="179"/>
      <c r="AI111" s="179"/>
      <c r="AJ111" s="179"/>
      <c r="AK111" s="179"/>
      <c r="AL111" s="179"/>
    </row>
    <row r="112" spans="1:38">
      <c r="A112" s="125"/>
      <c r="B112" s="125"/>
      <c r="C112" s="124" t="s">
        <v>162</v>
      </c>
      <c r="D112" s="126">
        <v>-4716160</v>
      </c>
      <c r="E112" s="180"/>
      <c r="H112" s="180"/>
      <c r="I112" s="180"/>
      <c r="J112" s="180"/>
      <c r="K112" s="180"/>
      <c r="L112" s="180"/>
      <c r="M112" s="180"/>
      <c r="N112" s="180"/>
      <c r="R112" s="180"/>
      <c r="S112" s="180"/>
      <c r="T112" s="180"/>
      <c r="U112" s="126">
        <f>+U111+U17</f>
        <v>-2146756.0223763734</v>
      </c>
      <c r="W112" s="180"/>
      <c r="X112" s="180"/>
      <c r="Y112" s="180"/>
      <c r="Z112" s="180"/>
      <c r="AA112" s="180"/>
      <c r="AB112" s="180"/>
      <c r="AC112" s="180"/>
      <c r="AD112" s="180"/>
      <c r="AE112" s="180"/>
      <c r="AF112" s="180"/>
      <c r="AG112" s="180"/>
      <c r="AH112" s="179"/>
      <c r="AI112" s="179"/>
      <c r="AJ112" s="179"/>
      <c r="AK112" s="179"/>
      <c r="AL112" s="179"/>
    </row>
    <row r="113" spans="1:38">
      <c r="A113" s="123"/>
      <c r="B113" s="123"/>
      <c r="C113" s="124" t="s">
        <v>403</v>
      </c>
      <c r="D113" s="192"/>
      <c r="E113" s="180"/>
      <c r="H113" s="180"/>
      <c r="I113" s="180"/>
      <c r="J113" s="180"/>
      <c r="K113" s="180"/>
      <c r="L113" s="180"/>
      <c r="M113" s="180"/>
      <c r="N113" s="180"/>
      <c r="R113" s="180"/>
      <c r="S113" s="180"/>
      <c r="T113" s="180"/>
      <c r="U113" s="192"/>
      <c r="W113" s="180"/>
      <c r="X113" s="180"/>
      <c r="Y113" s="180"/>
      <c r="Z113" s="180"/>
      <c r="AA113" s="180"/>
      <c r="AB113" s="180"/>
      <c r="AC113" s="180"/>
      <c r="AD113" s="180"/>
      <c r="AE113" s="180"/>
      <c r="AF113" s="180"/>
      <c r="AG113" s="180"/>
      <c r="AH113" s="179"/>
      <c r="AI113" s="179"/>
      <c r="AJ113" s="179"/>
      <c r="AK113" s="179"/>
      <c r="AL113" s="179"/>
    </row>
    <row r="114" spans="1:38">
      <c r="A114" s="123"/>
      <c r="B114" s="123"/>
      <c r="C114" s="124" t="s">
        <v>404</v>
      </c>
      <c r="D114" s="192"/>
      <c r="E114" s="180"/>
      <c r="H114" s="180"/>
      <c r="I114" s="180"/>
      <c r="J114" s="180"/>
      <c r="K114" s="180"/>
      <c r="L114" s="180"/>
      <c r="M114" s="180"/>
      <c r="N114" s="180"/>
      <c r="R114" s="180"/>
      <c r="S114" s="180"/>
      <c r="T114" s="180"/>
      <c r="U114" s="192"/>
      <c r="W114" s="180"/>
      <c r="X114" s="180"/>
      <c r="Y114" s="180"/>
      <c r="Z114" s="180"/>
      <c r="AA114" s="180"/>
      <c r="AB114" s="180"/>
      <c r="AC114" s="180"/>
      <c r="AD114" s="180"/>
      <c r="AE114" s="180"/>
      <c r="AF114" s="180"/>
      <c r="AG114" s="180"/>
      <c r="AH114" s="179"/>
      <c r="AI114" s="179"/>
      <c r="AJ114" s="179"/>
      <c r="AK114" s="179"/>
      <c r="AL114" s="179"/>
    </row>
    <row r="115" spans="1:38">
      <c r="A115" s="123" t="s">
        <v>402</v>
      </c>
      <c r="B115" s="123">
        <v>9415000</v>
      </c>
      <c r="C115" s="124" t="s">
        <v>405</v>
      </c>
      <c r="D115" s="192">
        <v>-146137</v>
      </c>
      <c r="E115" s="180"/>
      <c r="H115" s="180"/>
      <c r="I115" s="180"/>
      <c r="J115" s="180"/>
      <c r="K115" s="180"/>
      <c r="L115" s="180"/>
      <c r="M115" s="180"/>
      <c r="N115" s="180"/>
      <c r="R115" s="180"/>
      <c r="S115" s="180"/>
      <c r="T115" s="180">
        <f>SUM(E115:S115)</f>
        <v>0</v>
      </c>
      <c r="U115" s="192">
        <f>+D115+T115</f>
        <v>-146137</v>
      </c>
      <c r="W115" s="180"/>
      <c r="X115" s="180"/>
      <c r="Y115" s="180"/>
      <c r="Z115" s="180"/>
      <c r="AA115" s="180"/>
      <c r="AB115" s="180"/>
      <c r="AC115" s="180"/>
      <c r="AD115" s="180"/>
      <c r="AE115" s="180"/>
      <c r="AF115" s="180"/>
      <c r="AG115" s="180"/>
      <c r="AH115" s="179"/>
      <c r="AI115" s="179"/>
      <c r="AJ115" s="179"/>
      <c r="AK115" s="179"/>
      <c r="AL115" s="179"/>
    </row>
    <row r="116" spans="1:38">
      <c r="A116" s="125"/>
      <c r="B116" s="125"/>
      <c r="C116" s="124" t="s">
        <v>406</v>
      </c>
      <c r="D116" s="126">
        <v>-146137</v>
      </c>
      <c r="E116" s="180"/>
      <c r="H116" s="180"/>
      <c r="I116" s="180"/>
      <c r="J116" s="180"/>
      <c r="K116" s="180"/>
      <c r="L116" s="180"/>
      <c r="M116" s="180"/>
      <c r="N116" s="180"/>
      <c r="R116" s="180"/>
      <c r="S116" s="180"/>
      <c r="T116" s="180"/>
      <c r="U116" s="126">
        <f>+U115</f>
        <v>-146137</v>
      </c>
      <c r="W116" s="180"/>
      <c r="X116" s="180"/>
      <c r="Y116" s="180"/>
      <c r="Z116" s="180"/>
      <c r="AA116" s="180"/>
      <c r="AB116" s="180"/>
      <c r="AC116" s="180"/>
      <c r="AD116" s="180"/>
      <c r="AE116" s="180"/>
      <c r="AF116" s="180"/>
      <c r="AG116" s="180"/>
      <c r="AH116" s="179"/>
      <c r="AI116" s="179"/>
      <c r="AJ116" s="179"/>
      <c r="AK116" s="179"/>
      <c r="AL116" s="179"/>
    </row>
    <row r="117" spans="1:38">
      <c r="A117" s="123">
        <v>1600</v>
      </c>
      <c r="B117" s="123">
        <v>9416000</v>
      </c>
      <c r="C117" s="124" t="s">
        <v>407</v>
      </c>
      <c r="D117" s="192">
        <v>8034</v>
      </c>
      <c r="E117" s="180"/>
      <c r="H117" s="180"/>
      <c r="I117" s="180"/>
      <c r="J117" s="180"/>
      <c r="K117" s="180"/>
      <c r="L117" s="180"/>
      <c r="M117" s="180"/>
      <c r="N117" s="180"/>
      <c r="R117" s="180"/>
      <c r="S117" s="180"/>
      <c r="T117" s="180">
        <f>SUM(E117:S117)</f>
        <v>0</v>
      </c>
      <c r="U117" s="192">
        <f>+D117+T117</f>
        <v>8034</v>
      </c>
      <c r="W117" s="180"/>
      <c r="X117" s="180"/>
      <c r="Y117" s="180"/>
      <c r="Z117" s="180"/>
      <c r="AA117" s="180"/>
      <c r="AB117" s="180"/>
      <c r="AC117" s="180"/>
      <c r="AD117" s="180"/>
      <c r="AE117" s="180"/>
      <c r="AF117" s="180"/>
      <c r="AG117" s="180"/>
      <c r="AH117" s="179"/>
      <c r="AI117" s="179"/>
      <c r="AJ117" s="179"/>
      <c r="AK117" s="179"/>
      <c r="AL117" s="179"/>
    </row>
    <row r="118" spans="1:38">
      <c r="A118" s="125"/>
      <c r="B118" s="125"/>
      <c r="C118" s="124" t="s">
        <v>408</v>
      </c>
      <c r="D118" s="126">
        <v>8034</v>
      </c>
      <c r="E118" s="180"/>
      <c r="H118" s="180"/>
      <c r="I118" s="180"/>
      <c r="J118" s="180"/>
      <c r="K118" s="180"/>
      <c r="L118" s="180"/>
      <c r="M118" s="180"/>
      <c r="N118" s="180"/>
      <c r="R118" s="180"/>
      <c r="S118" s="180"/>
      <c r="T118" s="180"/>
      <c r="U118" s="126">
        <f>+U117</f>
        <v>8034</v>
      </c>
      <c r="W118" s="180"/>
      <c r="X118" s="180"/>
      <c r="Y118" s="180"/>
      <c r="Z118" s="180"/>
      <c r="AA118" s="180"/>
      <c r="AB118" s="180"/>
      <c r="AC118" s="180"/>
      <c r="AD118" s="180"/>
      <c r="AE118" s="180"/>
      <c r="AF118" s="180"/>
      <c r="AG118" s="180"/>
      <c r="AH118" s="179"/>
      <c r="AI118" s="179"/>
      <c r="AJ118" s="179"/>
      <c r="AK118" s="179"/>
      <c r="AL118" s="179"/>
    </row>
    <row r="119" spans="1:38">
      <c r="A119" s="123">
        <v>1600</v>
      </c>
      <c r="B119" s="123">
        <v>9419000</v>
      </c>
      <c r="C119" s="124" t="s">
        <v>409</v>
      </c>
      <c r="D119" s="192">
        <v>-323556</v>
      </c>
      <c r="E119" s="180"/>
      <c r="H119" s="180"/>
      <c r="I119" s="180"/>
      <c r="J119" s="180"/>
      <c r="K119" s="180"/>
      <c r="L119" s="180"/>
      <c r="M119" s="180"/>
      <c r="N119" s="180"/>
      <c r="R119" s="180"/>
      <c r="S119" s="180"/>
      <c r="T119" s="180">
        <f>SUM(E119:S119)</f>
        <v>0</v>
      </c>
      <c r="U119" s="192">
        <f>+D119+T119</f>
        <v>-323556</v>
      </c>
      <c r="W119" s="180"/>
      <c r="X119" s="180"/>
      <c r="Y119" s="180"/>
      <c r="Z119" s="180"/>
      <c r="AA119" s="180"/>
      <c r="AB119" s="180"/>
      <c r="AC119" s="180"/>
      <c r="AD119" s="180"/>
      <c r="AE119" s="180"/>
      <c r="AF119" s="180"/>
      <c r="AG119" s="180"/>
      <c r="AH119" s="179"/>
      <c r="AI119" s="179"/>
      <c r="AJ119" s="179"/>
      <c r="AK119" s="179"/>
      <c r="AL119" s="179"/>
    </row>
    <row r="120" spans="1:38">
      <c r="A120" s="125"/>
      <c r="B120" s="125"/>
      <c r="C120" s="124" t="s">
        <v>410</v>
      </c>
      <c r="D120" s="126">
        <v>-323556</v>
      </c>
      <c r="E120" s="180"/>
      <c r="H120" s="180"/>
      <c r="I120" s="180"/>
      <c r="J120" s="180"/>
      <c r="K120" s="180"/>
      <c r="L120" s="180"/>
      <c r="M120" s="180"/>
      <c r="N120" s="180"/>
      <c r="R120" s="180"/>
      <c r="S120" s="180"/>
      <c r="T120" s="180"/>
      <c r="U120" s="126">
        <f>+U119</f>
        <v>-323556</v>
      </c>
      <c r="W120" s="180"/>
      <c r="X120" s="180"/>
      <c r="Y120" s="180"/>
      <c r="Z120" s="180"/>
      <c r="AA120" s="180"/>
      <c r="AB120" s="180"/>
      <c r="AC120" s="180"/>
      <c r="AD120" s="180"/>
      <c r="AE120" s="180"/>
      <c r="AF120" s="180"/>
      <c r="AG120" s="180"/>
      <c r="AH120" s="179"/>
      <c r="AI120" s="179"/>
      <c r="AJ120" s="179"/>
      <c r="AK120" s="179"/>
      <c r="AL120" s="179"/>
    </row>
    <row r="121" spans="1:38">
      <c r="A121" s="123">
        <v>1600</v>
      </c>
      <c r="B121" s="123">
        <v>9421000</v>
      </c>
      <c r="C121" s="124" t="s">
        <v>411</v>
      </c>
      <c r="D121" s="192">
        <v>-216136</v>
      </c>
      <c r="E121" s="180"/>
      <c r="F121" s="180">
        <f>+'Prime Group Revenue Calc'!J22</f>
        <v>-197645</v>
      </c>
      <c r="H121" s="180"/>
      <c r="I121" s="180">
        <f>-I65</f>
        <v>-108915</v>
      </c>
      <c r="J121" s="180">
        <f>+Pensions!G101</f>
        <v>-490295.35</v>
      </c>
      <c r="K121" s="180"/>
      <c r="L121" s="180"/>
      <c r="M121" s="180"/>
      <c r="N121" s="180"/>
      <c r="R121" s="180"/>
      <c r="S121" s="180"/>
      <c r="T121" s="180">
        <f>SUM(E121:S121)</f>
        <v>-796855.35</v>
      </c>
      <c r="U121" s="192">
        <f>+D121+T121</f>
        <v>-1012991.35</v>
      </c>
      <c r="W121" s="180"/>
      <c r="X121" s="180"/>
      <c r="Y121" s="180"/>
      <c r="Z121" s="180"/>
      <c r="AA121" s="180"/>
      <c r="AB121" s="180"/>
      <c r="AC121" s="180"/>
      <c r="AD121" s="180"/>
      <c r="AE121" s="180"/>
      <c r="AF121" s="180"/>
      <c r="AG121" s="180"/>
      <c r="AH121" s="179"/>
      <c r="AI121" s="179"/>
      <c r="AJ121" s="179"/>
      <c r="AK121" s="179"/>
      <c r="AL121" s="179"/>
    </row>
    <row r="122" spans="1:38">
      <c r="A122" s="125"/>
      <c r="B122" s="125"/>
      <c r="C122" s="124" t="s">
        <v>412</v>
      </c>
      <c r="D122" s="126">
        <v>-216136</v>
      </c>
      <c r="E122" s="180"/>
      <c r="H122" s="180"/>
      <c r="I122" s="180"/>
      <c r="J122" s="180"/>
      <c r="K122" s="180"/>
      <c r="L122" s="180"/>
      <c r="M122" s="180"/>
      <c r="N122" s="180"/>
      <c r="R122" s="180"/>
      <c r="S122" s="180"/>
      <c r="T122" s="180"/>
      <c r="U122" s="126">
        <f>+U121</f>
        <v>-1012991.35</v>
      </c>
      <c r="W122" s="180"/>
      <c r="X122" s="180"/>
      <c r="Y122" s="180"/>
      <c r="Z122" s="180"/>
      <c r="AA122" s="180"/>
      <c r="AB122" s="180"/>
      <c r="AC122" s="180"/>
      <c r="AD122" s="180"/>
      <c r="AE122" s="180"/>
      <c r="AF122" s="180"/>
      <c r="AG122" s="180"/>
      <c r="AH122" s="179"/>
      <c r="AI122" s="179"/>
      <c r="AJ122" s="179"/>
      <c r="AK122" s="179"/>
      <c r="AL122" s="179"/>
    </row>
    <row r="123" spans="1:38">
      <c r="A123" s="125"/>
      <c r="B123" s="125"/>
      <c r="C123" s="124" t="s">
        <v>413</v>
      </c>
      <c r="D123" s="126">
        <v>-677795</v>
      </c>
      <c r="E123" s="180"/>
      <c r="H123" s="180"/>
      <c r="I123" s="180"/>
      <c r="J123" s="180"/>
      <c r="K123" s="180"/>
      <c r="L123" s="180"/>
      <c r="M123" s="180"/>
      <c r="N123" s="180"/>
      <c r="R123" s="180"/>
      <c r="S123" s="180"/>
      <c r="T123" s="180"/>
      <c r="U123" s="126">
        <f>+U122+U120+U118+U116</f>
        <v>-1474650.35</v>
      </c>
      <c r="W123" s="180"/>
      <c r="X123" s="180"/>
      <c r="Y123" s="180"/>
      <c r="Z123" s="180"/>
      <c r="AA123" s="180"/>
      <c r="AB123" s="180"/>
      <c r="AC123" s="180"/>
      <c r="AD123" s="180"/>
      <c r="AE123" s="180"/>
      <c r="AF123" s="180"/>
      <c r="AG123" s="180"/>
      <c r="AH123" s="179"/>
      <c r="AI123" s="179"/>
      <c r="AJ123" s="179"/>
      <c r="AK123" s="179"/>
      <c r="AL123" s="179"/>
    </row>
    <row r="124" spans="1:38">
      <c r="A124" s="123"/>
      <c r="B124" s="123"/>
      <c r="C124" s="124" t="s">
        <v>414</v>
      </c>
      <c r="D124" s="192"/>
      <c r="E124" s="180"/>
      <c r="H124" s="180"/>
      <c r="I124" s="180"/>
      <c r="J124" s="180"/>
      <c r="K124" s="180"/>
      <c r="L124" s="180"/>
      <c r="M124" s="180"/>
      <c r="N124" s="180"/>
      <c r="R124" s="180"/>
      <c r="S124" s="180"/>
      <c r="T124" s="180"/>
      <c r="U124" s="192"/>
      <c r="W124" s="180"/>
      <c r="X124" s="180"/>
      <c r="Y124" s="180"/>
      <c r="Z124" s="180"/>
      <c r="AA124" s="180"/>
      <c r="AB124" s="180"/>
      <c r="AC124" s="180"/>
      <c r="AD124" s="180"/>
      <c r="AE124" s="180"/>
      <c r="AF124" s="180"/>
      <c r="AG124" s="180"/>
      <c r="AH124" s="179"/>
      <c r="AI124" s="179"/>
      <c r="AJ124" s="179"/>
      <c r="AK124" s="179"/>
      <c r="AL124" s="179"/>
    </row>
    <row r="125" spans="1:38">
      <c r="A125" s="123">
        <v>1600</v>
      </c>
      <c r="B125" s="123">
        <v>9421200</v>
      </c>
      <c r="C125" s="124" t="s">
        <v>415</v>
      </c>
      <c r="D125" s="192">
        <v>364</v>
      </c>
      <c r="E125" s="180"/>
      <c r="H125" s="180"/>
      <c r="I125" s="180"/>
      <c r="J125" s="180"/>
      <c r="K125" s="180"/>
      <c r="L125" s="180"/>
      <c r="M125" s="180"/>
      <c r="N125" s="180"/>
      <c r="R125" s="180"/>
      <c r="S125" s="180"/>
      <c r="T125" s="180">
        <f>SUM(E125:S125)</f>
        <v>0</v>
      </c>
      <c r="U125" s="192">
        <f>+D125+T125</f>
        <v>364</v>
      </c>
      <c r="W125" s="180"/>
      <c r="X125" s="180"/>
      <c r="Y125" s="180"/>
      <c r="Z125" s="180"/>
      <c r="AA125" s="180"/>
      <c r="AB125" s="180"/>
      <c r="AC125" s="180"/>
      <c r="AD125" s="180"/>
      <c r="AE125" s="180"/>
      <c r="AF125" s="180"/>
      <c r="AG125" s="180"/>
      <c r="AH125" s="179"/>
      <c r="AI125" s="179"/>
      <c r="AJ125" s="179"/>
      <c r="AK125" s="179"/>
      <c r="AL125" s="179"/>
    </row>
    <row r="126" spans="1:38">
      <c r="A126" s="125"/>
      <c r="B126" s="125"/>
      <c r="C126" s="124" t="s">
        <v>416</v>
      </c>
      <c r="D126" s="126">
        <v>364</v>
      </c>
      <c r="E126" s="180"/>
      <c r="H126" s="180"/>
      <c r="I126" s="180"/>
      <c r="J126" s="180"/>
      <c r="K126" s="180"/>
      <c r="L126" s="180"/>
      <c r="M126" s="180"/>
      <c r="N126" s="180"/>
      <c r="R126" s="180"/>
      <c r="S126" s="180"/>
      <c r="T126" s="180"/>
      <c r="U126" s="126">
        <f>+U125</f>
        <v>364</v>
      </c>
      <c r="W126" s="180"/>
      <c r="X126" s="180"/>
      <c r="Y126" s="180"/>
      <c r="Z126" s="180"/>
      <c r="AA126" s="180"/>
      <c r="AB126" s="180"/>
      <c r="AC126" s="180"/>
      <c r="AD126" s="180"/>
      <c r="AE126" s="180"/>
      <c r="AF126" s="180"/>
      <c r="AG126" s="180"/>
      <c r="AH126" s="179"/>
      <c r="AI126" s="179"/>
      <c r="AJ126" s="179"/>
      <c r="AK126" s="179"/>
      <c r="AL126" s="179"/>
    </row>
    <row r="127" spans="1:38">
      <c r="A127" s="123">
        <v>1600</v>
      </c>
      <c r="B127" s="123">
        <v>9426100</v>
      </c>
      <c r="C127" s="124" t="s">
        <v>417</v>
      </c>
      <c r="D127" s="192">
        <v>71558</v>
      </c>
      <c r="E127" s="180"/>
      <c r="H127" s="180"/>
      <c r="I127" s="180"/>
      <c r="J127" s="180"/>
      <c r="K127" s="180"/>
      <c r="L127" s="180"/>
      <c r="M127" s="180"/>
      <c r="N127" s="180"/>
      <c r="R127" s="180"/>
      <c r="S127" s="180"/>
      <c r="T127" s="180">
        <f>SUM(E127:S127)</f>
        <v>0</v>
      </c>
      <c r="U127" s="192">
        <f>+D127+T127</f>
        <v>71558</v>
      </c>
      <c r="W127" s="180"/>
      <c r="X127" s="180"/>
      <c r="Y127" s="180"/>
      <c r="Z127" s="180"/>
      <c r="AA127" s="180"/>
      <c r="AB127" s="180"/>
      <c r="AC127" s="180"/>
      <c r="AD127" s="180"/>
      <c r="AE127" s="180"/>
      <c r="AF127" s="180"/>
      <c r="AG127" s="180"/>
      <c r="AH127" s="179"/>
      <c r="AI127" s="179"/>
      <c r="AJ127" s="179"/>
      <c r="AK127" s="179"/>
      <c r="AL127" s="179"/>
    </row>
    <row r="128" spans="1:38">
      <c r="A128" s="125"/>
      <c r="B128" s="125"/>
      <c r="C128" s="124" t="s">
        <v>418</v>
      </c>
      <c r="D128" s="126">
        <v>71558</v>
      </c>
      <c r="E128" s="180"/>
      <c r="H128" s="180"/>
      <c r="I128" s="180"/>
      <c r="J128" s="180"/>
      <c r="K128" s="180"/>
      <c r="L128" s="180"/>
      <c r="M128" s="180"/>
      <c r="N128" s="180"/>
      <c r="R128" s="180"/>
      <c r="S128" s="180"/>
      <c r="T128" s="180"/>
      <c r="U128" s="126">
        <f>+U127</f>
        <v>71558</v>
      </c>
      <c r="W128" s="180"/>
      <c r="X128" s="180"/>
      <c r="Y128" s="180"/>
      <c r="Z128" s="180"/>
      <c r="AA128" s="180"/>
      <c r="AB128" s="180"/>
      <c r="AC128" s="180"/>
      <c r="AD128" s="180"/>
      <c r="AE128" s="180"/>
      <c r="AF128" s="180"/>
      <c r="AG128" s="180"/>
      <c r="AH128" s="179"/>
      <c r="AI128" s="179"/>
      <c r="AJ128" s="179"/>
      <c r="AK128" s="179"/>
      <c r="AL128" s="179"/>
    </row>
    <row r="129" spans="1:38">
      <c r="A129" s="123" t="s">
        <v>402</v>
      </c>
      <c r="B129" s="123">
        <v>9426300</v>
      </c>
      <c r="C129" s="124" t="s">
        <v>419</v>
      </c>
      <c r="D129" s="192">
        <v>67124</v>
      </c>
      <c r="E129" s="180"/>
      <c r="H129" s="180"/>
      <c r="I129" s="180"/>
      <c r="J129" s="180"/>
      <c r="K129" s="180"/>
      <c r="L129" s="180"/>
      <c r="M129" s="180"/>
      <c r="N129" s="180"/>
      <c r="R129" s="180"/>
      <c r="S129" s="180"/>
      <c r="T129" s="180">
        <f>SUM(E129:S129)</f>
        <v>0</v>
      </c>
      <c r="U129" s="192">
        <f>+D129+T129</f>
        <v>67124</v>
      </c>
      <c r="W129" s="180"/>
      <c r="X129" s="180"/>
      <c r="Y129" s="180"/>
      <c r="Z129" s="180"/>
      <c r="AA129" s="180"/>
      <c r="AB129" s="180"/>
      <c r="AC129" s="180"/>
      <c r="AD129" s="180"/>
      <c r="AE129" s="180"/>
      <c r="AF129" s="180"/>
      <c r="AG129" s="180"/>
      <c r="AH129" s="179"/>
      <c r="AI129" s="179"/>
      <c r="AJ129" s="179"/>
      <c r="AK129" s="179"/>
      <c r="AL129" s="179"/>
    </row>
    <row r="130" spans="1:38">
      <c r="A130" s="125"/>
      <c r="B130" s="125"/>
      <c r="C130" s="124" t="s">
        <v>420</v>
      </c>
      <c r="D130" s="126">
        <v>67124</v>
      </c>
      <c r="E130" s="180"/>
      <c r="H130" s="180"/>
      <c r="I130" s="180"/>
      <c r="J130" s="180"/>
      <c r="K130" s="180"/>
      <c r="L130" s="180"/>
      <c r="M130" s="180"/>
      <c r="N130" s="180"/>
      <c r="R130" s="180"/>
      <c r="S130" s="180"/>
      <c r="T130" s="180"/>
      <c r="U130" s="126">
        <f>+U129</f>
        <v>67124</v>
      </c>
      <c r="W130" s="180"/>
      <c r="X130" s="180"/>
      <c r="Y130" s="180"/>
      <c r="Z130" s="180"/>
      <c r="AA130" s="180"/>
      <c r="AB130" s="180"/>
      <c r="AC130" s="180"/>
      <c r="AD130" s="180"/>
      <c r="AE130" s="180"/>
      <c r="AF130" s="180"/>
      <c r="AG130" s="180"/>
      <c r="AH130" s="179"/>
      <c r="AI130" s="179"/>
      <c r="AJ130" s="179"/>
      <c r="AK130" s="179"/>
      <c r="AL130" s="179"/>
    </row>
    <row r="131" spans="1:38">
      <c r="A131" s="123" t="s">
        <v>402</v>
      </c>
      <c r="B131" s="123">
        <v>9426400</v>
      </c>
      <c r="C131" s="124" t="s">
        <v>421</v>
      </c>
      <c r="D131" s="192">
        <v>2987</v>
      </c>
      <c r="E131" s="180"/>
      <c r="H131" s="180"/>
      <c r="I131" s="180"/>
      <c r="J131" s="180"/>
      <c r="K131" s="180"/>
      <c r="L131" s="180"/>
      <c r="M131" s="180"/>
      <c r="N131" s="180"/>
      <c r="R131" s="180"/>
      <c r="S131" s="180"/>
      <c r="T131" s="180">
        <f>SUM(E131:S131)</f>
        <v>0</v>
      </c>
      <c r="U131" s="192">
        <f>+D131+T131</f>
        <v>2987</v>
      </c>
      <c r="W131" s="180"/>
      <c r="X131" s="180"/>
      <c r="Y131" s="180"/>
      <c r="Z131" s="180"/>
      <c r="AA131" s="180"/>
      <c r="AB131" s="180"/>
      <c r="AC131" s="180"/>
      <c r="AD131" s="180"/>
      <c r="AE131" s="180"/>
      <c r="AF131" s="180"/>
      <c r="AG131" s="180"/>
      <c r="AH131" s="179"/>
      <c r="AI131" s="179"/>
      <c r="AJ131" s="179"/>
      <c r="AK131" s="179"/>
      <c r="AL131" s="179"/>
    </row>
    <row r="132" spans="1:38">
      <c r="A132" s="125"/>
      <c r="B132" s="125"/>
      <c r="C132" s="124" t="s">
        <v>422</v>
      </c>
      <c r="D132" s="126">
        <v>2987</v>
      </c>
      <c r="E132" s="180"/>
      <c r="H132" s="180"/>
      <c r="I132" s="180"/>
      <c r="J132" s="180"/>
      <c r="K132" s="180"/>
      <c r="L132" s="180"/>
      <c r="M132" s="180"/>
      <c r="N132" s="180"/>
      <c r="R132" s="180"/>
      <c r="S132" s="180"/>
      <c r="T132" s="180"/>
      <c r="U132" s="126">
        <f>+U131</f>
        <v>2987</v>
      </c>
      <c r="W132" s="180"/>
      <c r="X132" s="180"/>
      <c r="Y132" s="180"/>
      <c r="Z132" s="180"/>
      <c r="AA132" s="180"/>
      <c r="AB132" s="180"/>
      <c r="AC132" s="180"/>
      <c r="AD132" s="180"/>
      <c r="AE132" s="180"/>
      <c r="AF132" s="180"/>
      <c r="AG132" s="180"/>
      <c r="AH132" s="179"/>
      <c r="AI132" s="179"/>
      <c r="AJ132" s="179"/>
      <c r="AK132" s="179"/>
      <c r="AL132" s="179"/>
    </row>
    <row r="133" spans="1:38">
      <c r="A133" s="125"/>
      <c r="B133" s="125"/>
      <c r="C133" s="124" t="s">
        <v>423</v>
      </c>
      <c r="D133" s="126">
        <v>142032</v>
      </c>
      <c r="E133" s="180"/>
      <c r="H133" s="180"/>
      <c r="I133" s="180"/>
      <c r="J133" s="180"/>
      <c r="K133" s="180"/>
      <c r="L133" s="180"/>
      <c r="M133" s="180"/>
      <c r="N133" s="180"/>
      <c r="R133" s="180"/>
      <c r="S133" s="180"/>
      <c r="T133" s="180"/>
      <c r="U133" s="126">
        <f>+U132+U130+U128+U126</f>
        <v>142033</v>
      </c>
      <c r="W133" s="180"/>
      <c r="X133" s="180"/>
      <c r="Y133" s="180"/>
      <c r="Z133" s="180"/>
      <c r="AA133" s="180"/>
      <c r="AB133" s="180"/>
      <c r="AC133" s="180"/>
      <c r="AD133" s="180"/>
      <c r="AE133" s="180"/>
      <c r="AF133" s="180"/>
      <c r="AG133" s="180"/>
      <c r="AH133" s="179"/>
      <c r="AI133" s="179"/>
      <c r="AJ133" s="179"/>
      <c r="AK133" s="179"/>
      <c r="AL133" s="179"/>
    </row>
    <row r="134" spans="1:38">
      <c r="A134" s="125"/>
      <c r="B134" s="125"/>
      <c r="C134" s="124" t="s">
        <v>424</v>
      </c>
      <c r="D134" s="126">
        <v>-535763</v>
      </c>
      <c r="E134" s="180"/>
      <c r="H134" s="180"/>
      <c r="I134" s="180"/>
      <c r="J134" s="180"/>
      <c r="K134" s="180"/>
      <c r="L134" s="180"/>
      <c r="M134" s="180"/>
      <c r="N134" s="180"/>
      <c r="R134" s="180"/>
      <c r="S134" s="180"/>
      <c r="T134" s="180"/>
      <c r="U134" s="126">
        <f>+U133+U123</f>
        <v>-1332617.3500000001</v>
      </c>
      <c r="V134" s="256">
        <f>+U134</f>
        <v>-1332617.3500000001</v>
      </c>
      <c r="W134" s="180"/>
      <c r="X134" s="180"/>
      <c r="Y134" s="180"/>
      <c r="Z134" s="180"/>
      <c r="AA134" s="180"/>
      <c r="AB134" s="180"/>
      <c r="AC134" s="180"/>
      <c r="AD134" s="180"/>
      <c r="AE134" s="180"/>
      <c r="AF134" s="180"/>
      <c r="AG134" s="180"/>
      <c r="AH134" s="179"/>
      <c r="AI134" s="179"/>
      <c r="AJ134" s="179"/>
      <c r="AK134" s="179"/>
      <c r="AL134" s="179"/>
    </row>
    <row r="135" spans="1:38">
      <c r="A135" s="123"/>
      <c r="B135" s="123"/>
      <c r="C135" s="124" t="s">
        <v>425</v>
      </c>
      <c r="D135" s="192"/>
      <c r="E135" s="180"/>
      <c r="H135" s="180"/>
      <c r="I135" s="180"/>
      <c r="J135" s="180"/>
      <c r="K135" s="180"/>
      <c r="L135" s="180"/>
      <c r="M135" s="180"/>
      <c r="N135" s="180"/>
      <c r="R135" s="180"/>
      <c r="S135" s="180"/>
      <c r="T135" s="180"/>
      <c r="U135" s="192"/>
      <c r="W135" s="180"/>
      <c r="X135" s="180"/>
      <c r="Y135" s="180"/>
      <c r="Z135" s="180"/>
      <c r="AA135" s="180"/>
      <c r="AB135" s="180"/>
      <c r="AC135" s="180"/>
      <c r="AD135" s="180"/>
      <c r="AE135" s="180"/>
      <c r="AF135" s="180"/>
      <c r="AG135" s="180"/>
      <c r="AH135" s="179"/>
      <c r="AI135" s="179"/>
      <c r="AJ135" s="179"/>
      <c r="AK135" s="179"/>
      <c r="AL135" s="179"/>
    </row>
    <row r="136" spans="1:38">
      <c r="A136" s="123" t="s">
        <v>402</v>
      </c>
      <c r="B136" s="123">
        <v>9428000</v>
      </c>
      <c r="C136" s="124" t="s">
        <v>426</v>
      </c>
      <c r="D136" s="192">
        <v>199147</v>
      </c>
      <c r="E136" s="180"/>
      <c r="H136" s="180"/>
      <c r="I136" s="180"/>
      <c r="J136" s="180"/>
      <c r="K136" s="180"/>
      <c r="L136" s="180"/>
      <c r="M136" s="180"/>
      <c r="N136" s="180"/>
      <c r="R136" s="180"/>
      <c r="S136" s="180"/>
      <c r="T136" s="180">
        <f>SUM(E136:S136)</f>
        <v>0</v>
      </c>
      <c r="U136" s="192">
        <f>+D136+T136</f>
        <v>199147</v>
      </c>
      <c r="W136" s="180"/>
      <c r="X136" s="180"/>
      <c r="Y136" s="180"/>
      <c r="Z136" s="180"/>
      <c r="AA136" s="180"/>
      <c r="AB136" s="180"/>
      <c r="AC136" s="180"/>
      <c r="AD136" s="180"/>
      <c r="AE136" s="180"/>
      <c r="AF136" s="180"/>
      <c r="AG136" s="180"/>
      <c r="AH136" s="179"/>
      <c r="AI136" s="179"/>
      <c r="AJ136" s="179"/>
      <c r="AK136" s="179"/>
      <c r="AL136" s="179"/>
    </row>
    <row r="137" spans="1:38">
      <c r="A137" s="125"/>
      <c r="B137" s="125"/>
      <c r="C137" s="124" t="s">
        <v>427</v>
      </c>
      <c r="D137" s="126">
        <v>199147</v>
      </c>
      <c r="E137" s="180"/>
      <c r="H137" s="180"/>
      <c r="I137" s="180"/>
      <c r="J137" s="180"/>
      <c r="K137" s="180"/>
      <c r="L137" s="180"/>
      <c r="M137" s="180"/>
      <c r="N137" s="180"/>
      <c r="R137" s="180"/>
      <c r="S137" s="180"/>
      <c r="T137" s="180"/>
      <c r="U137" s="126">
        <f>+U136</f>
        <v>199147</v>
      </c>
      <c r="W137" s="180"/>
      <c r="X137" s="180"/>
      <c r="Y137" s="180"/>
      <c r="Z137" s="180"/>
      <c r="AA137" s="180"/>
      <c r="AB137" s="180"/>
      <c r="AC137" s="180"/>
      <c r="AD137" s="180"/>
      <c r="AE137" s="180"/>
      <c r="AF137" s="180"/>
      <c r="AG137" s="180"/>
      <c r="AH137" s="179"/>
      <c r="AI137" s="179"/>
      <c r="AJ137" s="179"/>
      <c r="AK137" s="179"/>
      <c r="AL137" s="179"/>
    </row>
    <row r="138" spans="1:38">
      <c r="A138" s="123" t="s">
        <v>402</v>
      </c>
      <c r="B138" s="123">
        <v>9430000</v>
      </c>
      <c r="C138" s="124" t="s">
        <v>428</v>
      </c>
      <c r="D138" s="192">
        <v>1213280</v>
      </c>
      <c r="E138" s="180"/>
      <c r="H138" s="180"/>
      <c r="I138" s="180"/>
      <c r="J138" s="180"/>
      <c r="K138" s="180"/>
      <c r="L138" s="180"/>
      <c r="M138" s="180"/>
      <c r="N138" s="12">
        <f>+'D-2.8'!H43</f>
        <v>370137.21791944932</v>
      </c>
      <c r="O138" s="12"/>
      <c r="P138" s="12"/>
      <c r="Q138" s="12"/>
      <c r="R138" s="180"/>
      <c r="S138" s="180"/>
      <c r="T138" s="180">
        <f>SUM(E138:S138)</f>
        <v>370137.21791944932</v>
      </c>
      <c r="U138" s="192">
        <f>+D138+T138</f>
        <v>1583417.2179194493</v>
      </c>
      <c r="W138" s="180"/>
      <c r="X138" s="180"/>
      <c r="Y138" s="180"/>
      <c r="Z138" s="180"/>
      <c r="AA138" s="180"/>
      <c r="AB138" s="180"/>
      <c r="AC138" s="180"/>
      <c r="AD138" s="180"/>
      <c r="AE138" s="180"/>
      <c r="AF138" s="180"/>
      <c r="AG138" s="180"/>
      <c r="AH138" s="179"/>
      <c r="AI138" s="179"/>
      <c r="AJ138" s="179"/>
      <c r="AK138" s="179"/>
      <c r="AL138" s="179"/>
    </row>
    <row r="139" spans="1:38">
      <c r="A139" s="125"/>
      <c r="B139" s="125"/>
      <c r="C139" s="124" t="s">
        <v>429</v>
      </c>
      <c r="D139" s="126">
        <v>1213280</v>
      </c>
      <c r="E139" s="180"/>
      <c r="H139" s="180"/>
      <c r="I139" s="180"/>
      <c r="J139" s="180"/>
      <c r="K139" s="180"/>
      <c r="L139" s="180"/>
      <c r="M139" s="180"/>
      <c r="N139" s="180"/>
      <c r="R139" s="180"/>
      <c r="S139" s="180"/>
      <c r="T139" s="180"/>
      <c r="U139" s="126">
        <f>+U138</f>
        <v>1583417.2179194493</v>
      </c>
      <c r="W139" s="180"/>
      <c r="X139" s="180"/>
      <c r="Y139" s="180"/>
      <c r="Z139" s="180"/>
      <c r="AA139" s="180"/>
      <c r="AB139" s="180"/>
      <c r="AC139" s="180"/>
      <c r="AD139" s="180"/>
      <c r="AE139" s="180"/>
      <c r="AF139" s="180"/>
      <c r="AG139" s="180"/>
      <c r="AH139" s="179"/>
      <c r="AI139" s="179"/>
      <c r="AJ139" s="179"/>
      <c r="AK139" s="179"/>
      <c r="AL139" s="179"/>
    </row>
    <row r="140" spans="1:38">
      <c r="A140" s="123" t="s">
        <v>402</v>
      </c>
      <c r="B140" s="123">
        <v>9431000</v>
      </c>
      <c r="C140" s="124" t="s">
        <v>430</v>
      </c>
      <c r="D140" s="192">
        <v>972137</v>
      </c>
      <c r="E140" s="180"/>
      <c r="H140" s="180"/>
      <c r="I140" s="180"/>
      <c r="J140" s="180"/>
      <c r="K140" s="180"/>
      <c r="L140" s="180"/>
      <c r="M140" s="180"/>
      <c r="N140" s="180"/>
      <c r="R140" s="180"/>
      <c r="S140" s="180"/>
      <c r="T140" s="180">
        <f>SUM(E140:S140)</f>
        <v>0</v>
      </c>
      <c r="U140" s="192">
        <f>+D140+T140</f>
        <v>972137</v>
      </c>
      <c r="W140" s="180"/>
      <c r="X140" s="180"/>
      <c r="Y140" s="180"/>
      <c r="Z140" s="180"/>
      <c r="AA140" s="180"/>
      <c r="AB140" s="180"/>
      <c r="AC140" s="180"/>
      <c r="AD140" s="180"/>
      <c r="AE140" s="180"/>
      <c r="AF140" s="180"/>
      <c r="AG140" s="180"/>
      <c r="AH140" s="179"/>
      <c r="AI140" s="179"/>
      <c r="AJ140" s="179"/>
      <c r="AK140" s="179"/>
      <c r="AL140" s="179"/>
    </row>
    <row r="141" spans="1:38">
      <c r="A141" s="125"/>
      <c r="B141" s="125"/>
      <c r="C141" s="124" t="s">
        <v>431</v>
      </c>
      <c r="D141" s="126">
        <v>972137</v>
      </c>
      <c r="E141" s="180"/>
      <c r="H141" s="180"/>
      <c r="I141" s="180"/>
      <c r="J141" s="180"/>
      <c r="K141" s="180"/>
      <c r="L141" s="180"/>
      <c r="M141" s="180"/>
      <c r="N141" s="180"/>
      <c r="R141" s="180"/>
      <c r="S141" s="180"/>
      <c r="T141" s="180"/>
      <c r="U141" s="126">
        <f>+U140</f>
        <v>972137</v>
      </c>
      <c r="W141" s="180"/>
      <c r="X141" s="180"/>
      <c r="Y141" s="180"/>
      <c r="Z141" s="180"/>
      <c r="AA141" s="180"/>
      <c r="AB141" s="180"/>
      <c r="AC141" s="180"/>
      <c r="AD141" s="180"/>
      <c r="AE141" s="180"/>
      <c r="AF141" s="180"/>
      <c r="AG141" s="180"/>
      <c r="AH141" s="179"/>
      <c r="AI141" s="179"/>
      <c r="AJ141" s="179"/>
      <c r="AK141" s="179"/>
      <c r="AL141" s="179"/>
    </row>
    <row r="142" spans="1:38">
      <c r="A142" s="123">
        <v>1300</v>
      </c>
      <c r="B142" s="123">
        <v>9432000</v>
      </c>
      <c r="C142" s="124" t="s">
        <v>432</v>
      </c>
      <c r="D142" s="192">
        <v>-969</v>
      </c>
      <c r="E142" s="180"/>
      <c r="H142" s="180"/>
      <c r="I142" s="180"/>
      <c r="J142" s="180"/>
      <c r="K142" s="180"/>
      <c r="L142" s="180"/>
      <c r="M142" s="180"/>
      <c r="N142" s="180"/>
      <c r="R142" s="180"/>
      <c r="S142" s="180"/>
      <c r="T142" s="180">
        <f>SUM(E142:S142)</f>
        <v>0</v>
      </c>
      <c r="U142" s="192">
        <f>+D142+T142</f>
        <v>-969</v>
      </c>
      <c r="W142" s="180"/>
      <c r="X142" s="180"/>
      <c r="Y142" s="180"/>
      <c r="Z142" s="180"/>
      <c r="AA142" s="180"/>
      <c r="AB142" s="180"/>
      <c r="AC142" s="180"/>
      <c r="AD142" s="180"/>
      <c r="AE142" s="180"/>
      <c r="AF142" s="180"/>
      <c r="AG142" s="180"/>
      <c r="AH142" s="179"/>
      <c r="AI142" s="179"/>
      <c r="AJ142" s="179"/>
      <c r="AK142" s="179"/>
      <c r="AL142" s="179"/>
    </row>
    <row r="143" spans="1:38">
      <c r="A143" s="125"/>
      <c r="B143" s="125"/>
      <c r="C143" s="124" t="s">
        <v>433</v>
      </c>
      <c r="D143" s="126">
        <v>-969</v>
      </c>
      <c r="E143" s="180"/>
      <c r="H143" s="180"/>
      <c r="I143" s="180"/>
      <c r="J143" s="180"/>
      <c r="K143" s="180"/>
      <c r="L143" s="180"/>
      <c r="M143" s="180"/>
      <c r="N143" s="180"/>
      <c r="R143" s="180"/>
      <c r="S143" s="180"/>
      <c r="T143" s="180"/>
      <c r="U143" s="126">
        <f>+U142</f>
        <v>-969</v>
      </c>
      <c r="W143" s="180"/>
      <c r="X143" s="180"/>
      <c r="Y143" s="180"/>
      <c r="Z143" s="180"/>
      <c r="AA143" s="180"/>
      <c r="AB143" s="180"/>
      <c r="AC143" s="180"/>
      <c r="AD143" s="180"/>
      <c r="AE143" s="180"/>
      <c r="AF143" s="180"/>
      <c r="AG143" s="180"/>
      <c r="AH143" s="179"/>
      <c r="AI143" s="179"/>
      <c r="AJ143" s="179"/>
      <c r="AK143" s="179"/>
      <c r="AL143" s="179"/>
    </row>
    <row r="144" spans="1:38">
      <c r="A144" s="125"/>
      <c r="B144" s="125"/>
      <c r="C144" s="124" t="s">
        <v>434</v>
      </c>
      <c r="D144" s="126">
        <v>2383594</v>
      </c>
      <c r="E144" s="180"/>
      <c r="H144" s="180"/>
      <c r="I144" s="180"/>
      <c r="J144" s="180"/>
      <c r="K144" s="180"/>
      <c r="L144" s="180"/>
      <c r="M144" s="180"/>
      <c r="N144" s="180"/>
      <c r="R144" s="180"/>
      <c r="S144" s="180"/>
      <c r="T144" s="180"/>
      <c r="U144" s="126">
        <f>+U143+U141+U139+U137</f>
        <v>2753732.2179194493</v>
      </c>
      <c r="V144" s="256">
        <f>+U144</f>
        <v>2753732.2179194493</v>
      </c>
      <c r="W144" s="180"/>
      <c r="X144" s="180"/>
      <c r="Y144" s="180"/>
      <c r="Z144" s="180"/>
      <c r="AA144" s="180"/>
      <c r="AB144" s="180"/>
      <c r="AC144" s="180"/>
      <c r="AD144" s="180"/>
      <c r="AE144" s="180"/>
      <c r="AF144" s="180"/>
      <c r="AG144" s="180"/>
      <c r="AH144" s="179"/>
      <c r="AI144" s="179"/>
      <c r="AJ144" s="179"/>
      <c r="AK144" s="179"/>
      <c r="AL144" s="179"/>
    </row>
    <row r="145" spans="1:38" ht="17.25">
      <c r="A145" s="125"/>
      <c r="B145" s="125"/>
      <c r="C145" s="124" t="s">
        <v>435</v>
      </c>
      <c r="D145" s="126">
        <v>-2868329</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126">
        <f>+U144+U112+U134</f>
        <v>-725641.15445692418</v>
      </c>
      <c r="W145" s="180"/>
      <c r="X145" s="180"/>
      <c r="Y145" s="180"/>
      <c r="Z145" s="180"/>
      <c r="AA145" s="180"/>
      <c r="AB145" s="180"/>
      <c r="AC145" s="180"/>
      <c r="AD145" s="180"/>
      <c r="AE145" s="180"/>
      <c r="AF145" s="180"/>
      <c r="AG145" s="180"/>
      <c r="AH145" s="179"/>
      <c r="AI145" s="179"/>
      <c r="AJ145" s="179"/>
      <c r="AK145" s="179"/>
      <c r="AL145" s="179"/>
    </row>
    <row r="146" spans="1:38">
      <c r="A146" s="125"/>
      <c r="B146" s="125"/>
      <c r="C146" s="124" t="s">
        <v>436</v>
      </c>
      <c r="D146" s="126">
        <v>-2868329</v>
      </c>
      <c r="E146" s="180">
        <f>SUM(E2:E145)</f>
        <v>181164</v>
      </c>
      <c r="F146" s="180">
        <f t="shared" ref="F146:G146" si="8">SUM(F2:F145)</f>
        <v>-468576.3549554341</v>
      </c>
      <c r="G146" s="180">
        <f t="shared" si="8"/>
        <v>0</v>
      </c>
      <c r="H146" s="180">
        <f t="shared" ref="H146:T146" si="9">SUM(H2:H145)</f>
        <v>-29150</v>
      </c>
      <c r="I146" s="180">
        <f t="shared" ref="I146:J146" si="10">SUM(I2:I145)</f>
        <v>0</v>
      </c>
      <c r="J146" s="180">
        <f t="shared" si="10"/>
        <v>-1298734</v>
      </c>
      <c r="K146" s="180">
        <f t="shared" si="9"/>
        <v>333465.21457103913</v>
      </c>
      <c r="L146" s="180">
        <f t="shared" ref="L146:M146" si="11">SUM(L2:L145)</f>
        <v>36663.662867940475</v>
      </c>
      <c r="M146" s="180">
        <f t="shared" si="11"/>
        <v>1892294.5931400824</v>
      </c>
      <c r="N146" s="180">
        <f t="shared" si="9"/>
        <v>370137.21791944932</v>
      </c>
      <c r="O146" s="180">
        <f t="shared" ref="O146:Q146" si="12">SUM(O2:O145)</f>
        <v>523277.22799999989</v>
      </c>
      <c r="P146" s="180">
        <f t="shared" si="12"/>
        <v>81948.794000000024</v>
      </c>
      <c r="Q146" s="180">
        <f t="shared" si="12"/>
        <v>310198.49000000022</v>
      </c>
      <c r="R146" s="180">
        <f t="shared" si="9"/>
        <v>210000</v>
      </c>
      <c r="S146" s="180">
        <f t="shared" si="9"/>
        <v>0</v>
      </c>
      <c r="T146" s="180">
        <f t="shared" si="9"/>
        <v>2142688.8455430777</v>
      </c>
      <c r="U146" s="126">
        <f>+U145</f>
        <v>-725641.15445692418</v>
      </c>
      <c r="W146" s="180"/>
      <c r="X146" s="180"/>
      <c r="Y146" s="180"/>
      <c r="Z146" s="180"/>
      <c r="AA146" s="180"/>
      <c r="AB146" s="180"/>
      <c r="AC146" s="180"/>
      <c r="AD146" s="180"/>
      <c r="AE146" s="180"/>
      <c r="AF146" s="180"/>
      <c r="AG146" s="180"/>
      <c r="AH146" s="179"/>
      <c r="AI146" s="179"/>
      <c r="AJ146" s="179"/>
      <c r="AK146" s="179"/>
      <c r="AL146" s="179"/>
    </row>
    <row r="147" spans="1:38">
      <c r="A147" s="537"/>
      <c r="B147" s="537"/>
      <c r="C147" s="193"/>
      <c r="D147" s="192"/>
      <c r="E147" s="180"/>
      <c r="H147" s="180"/>
      <c r="I147" s="180"/>
      <c r="J147" s="180"/>
      <c r="K147" s="180"/>
      <c r="L147" s="180"/>
      <c r="M147" s="180"/>
      <c r="N147" s="180"/>
      <c r="R147" s="180"/>
      <c r="S147" s="180"/>
      <c r="T147" s="180"/>
      <c r="U147" s="192"/>
      <c r="W147" s="180"/>
      <c r="X147" s="180"/>
      <c r="Y147" s="180"/>
      <c r="Z147" s="180"/>
      <c r="AA147" s="180"/>
      <c r="AB147" s="180"/>
      <c r="AC147" s="180"/>
      <c r="AD147" s="180"/>
      <c r="AE147" s="180"/>
      <c r="AF147" s="180"/>
      <c r="AG147" s="180"/>
      <c r="AH147" s="179"/>
      <c r="AI147" s="179"/>
      <c r="AJ147" s="179"/>
      <c r="AK147" s="179"/>
      <c r="AL147" s="179"/>
    </row>
    <row r="148" spans="1:38">
      <c r="A148" s="536" t="s">
        <v>437</v>
      </c>
      <c r="B148" s="536"/>
      <c r="C148" s="193"/>
      <c r="D148" s="180">
        <f>+D108+D110</f>
        <v>1542243</v>
      </c>
      <c r="E148" s="180">
        <f t="shared" ref="E148:S148" si="13">+E108+E110</f>
        <v>0</v>
      </c>
      <c r="F148" s="180">
        <f t="shared" ref="F148:G148" si="14">+F108+F110</f>
        <v>0</v>
      </c>
      <c r="G148" s="180">
        <f t="shared" si="14"/>
        <v>0</v>
      </c>
      <c r="H148" s="180">
        <f t="shared" si="13"/>
        <v>0</v>
      </c>
      <c r="I148" s="180">
        <f t="shared" ref="I148:J148" si="15">+I108+I110</f>
        <v>0</v>
      </c>
      <c r="J148" s="180">
        <f t="shared" si="15"/>
        <v>0</v>
      </c>
      <c r="K148" s="180">
        <f t="shared" si="13"/>
        <v>0</v>
      </c>
      <c r="L148" s="180"/>
      <c r="M148" s="180">
        <f t="shared" si="13"/>
        <v>0</v>
      </c>
      <c r="N148" s="180">
        <f t="shared" si="13"/>
        <v>0</v>
      </c>
      <c r="R148" s="180">
        <f t="shared" si="13"/>
        <v>0</v>
      </c>
      <c r="S148" s="180">
        <f t="shared" si="13"/>
        <v>0</v>
      </c>
      <c r="T148" s="180">
        <f>+T146*0.2495</f>
        <v>534600.86696299782</v>
      </c>
      <c r="U148" s="180">
        <f>+U108+U110</f>
        <v>1542243</v>
      </c>
      <c r="W148" s="180"/>
      <c r="X148" s="180"/>
      <c r="Y148" s="180"/>
      <c r="Z148" s="180"/>
      <c r="AA148" s="180"/>
      <c r="AB148" s="180"/>
      <c r="AC148" s="180"/>
      <c r="AD148" s="180"/>
      <c r="AE148" s="180"/>
      <c r="AF148" s="180"/>
      <c r="AG148" s="180"/>
      <c r="AH148" s="179"/>
      <c r="AI148" s="179"/>
      <c r="AJ148" s="179"/>
      <c r="AK148" s="179"/>
      <c r="AL148" s="179"/>
    </row>
    <row r="149" spans="1:38">
      <c r="A149" s="536" t="s">
        <v>438</v>
      </c>
      <c r="B149" s="536"/>
      <c r="C149" s="193"/>
      <c r="D149" s="180">
        <f>+D146-D148</f>
        <v>-4410572</v>
      </c>
      <c r="E149" s="180">
        <f t="shared" ref="E149:T149" si="16">+E146-E148</f>
        <v>181164</v>
      </c>
      <c r="F149" s="180">
        <f t="shared" ref="F149:G149" si="17">+F146-F148</f>
        <v>-468576.3549554341</v>
      </c>
      <c r="G149" s="180">
        <f t="shared" si="17"/>
        <v>0</v>
      </c>
      <c r="H149" s="180">
        <f t="shared" si="16"/>
        <v>-29150</v>
      </c>
      <c r="I149" s="180">
        <f t="shared" ref="I149:J149" si="18">+I146-I148</f>
        <v>0</v>
      </c>
      <c r="J149" s="180">
        <f t="shared" si="18"/>
        <v>-1298734</v>
      </c>
      <c r="K149" s="180">
        <f t="shared" si="16"/>
        <v>333465.21457103913</v>
      </c>
      <c r="L149" s="180">
        <f t="shared" si="16"/>
        <v>36663.662867940475</v>
      </c>
      <c r="M149" s="180">
        <f t="shared" si="16"/>
        <v>1892294.5931400824</v>
      </c>
      <c r="N149" s="180">
        <f t="shared" si="16"/>
        <v>370137.21791944932</v>
      </c>
      <c r="R149" s="180">
        <f t="shared" si="16"/>
        <v>210000</v>
      </c>
      <c r="S149" s="180">
        <f t="shared" si="16"/>
        <v>0</v>
      </c>
      <c r="T149" s="180">
        <f t="shared" si="16"/>
        <v>1608087.97858008</v>
      </c>
      <c r="U149" s="180">
        <f>+U146-U148</f>
        <v>-2267884.1544569242</v>
      </c>
      <c r="V149" s="256">
        <f>SUM(V2:V148)</f>
        <v>-2267884.1544569228</v>
      </c>
      <c r="W149" s="180"/>
      <c r="X149" s="180"/>
      <c r="Y149" s="180"/>
      <c r="Z149" s="180"/>
      <c r="AA149" s="180"/>
      <c r="AB149" s="180"/>
      <c r="AC149" s="180"/>
      <c r="AD149" s="180"/>
      <c r="AE149" s="180"/>
      <c r="AF149" s="180"/>
      <c r="AG149" s="180"/>
      <c r="AH149" s="179"/>
      <c r="AI149" s="179"/>
      <c r="AJ149" s="179"/>
      <c r="AK149" s="179"/>
      <c r="AL149" s="179"/>
    </row>
    <row r="150" spans="1:38">
      <c r="A150" s="536"/>
      <c r="B150" s="536"/>
      <c r="C150" s="193"/>
      <c r="D150" s="192"/>
      <c r="E150" s="180"/>
      <c r="H150" s="180"/>
      <c r="I150" s="180"/>
      <c r="J150" s="180"/>
      <c r="K150" s="180"/>
      <c r="L150" s="180"/>
      <c r="M150" s="180"/>
      <c r="N150" s="180"/>
      <c r="R150" s="180"/>
      <c r="S150" s="180"/>
      <c r="T150" s="180"/>
      <c r="U150" s="192"/>
      <c r="W150" s="180"/>
      <c r="X150" s="180"/>
      <c r="Y150" s="180"/>
      <c r="Z150" s="180"/>
      <c r="AA150" s="180"/>
      <c r="AB150" s="180"/>
      <c r="AC150" s="180"/>
      <c r="AD150" s="180"/>
      <c r="AE150" s="180"/>
      <c r="AF150" s="180"/>
      <c r="AG150" s="180"/>
      <c r="AH150" s="179"/>
      <c r="AI150" s="179"/>
      <c r="AJ150" s="179"/>
      <c r="AK150" s="179"/>
      <c r="AL150" s="179"/>
    </row>
    <row r="151" spans="1:38">
      <c r="A151" s="505" t="s">
        <v>439</v>
      </c>
      <c r="B151" s="505"/>
      <c r="C151" s="193"/>
      <c r="D151" s="192">
        <f>+'Income Statement Summary'!F20</f>
        <v>-4410573</v>
      </c>
      <c r="E151" s="180"/>
      <c r="H151" s="180"/>
      <c r="I151" s="180"/>
      <c r="J151" s="180"/>
      <c r="K151" s="180"/>
      <c r="L151" s="180"/>
      <c r="M151" s="180"/>
      <c r="N151" s="180"/>
      <c r="R151" s="180"/>
      <c r="S151" s="180"/>
      <c r="T151" s="180"/>
      <c r="U151" s="192"/>
      <c r="W151" s="180"/>
      <c r="X151" s="180"/>
      <c r="Y151" s="180"/>
      <c r="Z151" s="180"/>
      <c r="AA151" s="180"/>
      <c r="AB151" s="180"/>
      <c r="AC151" s="180"/>
      <c r="AD151" s="180"/>
      <c r="AE151" s="180"/>
      <c r="AF151" s="180"/>
      <c r="AG151" s="180"/>
      <c r="AH151" s="179"/>
      <c r="AI151" s="179"/>
      <c r="AJ151" s="179"/>
      <c r="AK151" s="179"/>
      <c r="AL151" s="179"/>
    </row>
    <row r="152" spans="1:38">
      <c r="A152" s="179"/>
      <c r="B152" s="179" t="s">
        <v>12</v>
      </c>
      <c r="C152" s="179"/>
      <c r="D152" s="180">
        <f>+D149-D151</f>
        <v>1</v>
      </c>
      <c r="E152" s="180"/>
      <c r="H152" s="180"/>
      <c r="I152" s="180"/>
      <c r="J152" s="180"/>
      <c r="K152" s="180"/>
      <c r="L152" s="180"/>
      <c r="M152" s="180"/>
      <c r="N152" s="180"/>
      <c r="R152" s="180"/>
      <c r="S152" s="180"/>
      <c r="T152" s="180"/>
      <c r="U152" s="180"/>
      <c r="W152" s="180"/>
      <c r="X152" s="180"/>
      <c r="Y152" s="180"/>
      <c r="Z152" s="180"/>
      <c r="AA152" s="180"/>
      <c r="AB152" s="180"/>
      <c r="AC152" s="180"/>
      <c r="AD152" s="180"/>
      <c r="AE152" s="180"/>
      <c r="AF152" s="180"/>
      <c r="AG152" s="180"/>
      <c r="AH152" s="179"/>
      <c r="AI152" s="179"/>
      <c r="AJ152" s="179"/>
      <c r="AK152" s="179"/>
      <c r="AL152" s="179"/>
    </row>
    <row r="154" spans="1:38">
      <c r="A154" s="179" t="s">
        <v>440</v>
      </c>
      <c r="B154" s="179"/>
      <c r="C154" s="179" t="s">
        <v>441</v>
      </c>
      <c r="D154" s="180">
        <f>+'PreTax Net Income'!Y231</f>
        <v>-4410578</v>
      </c>
      <c r="E154" s="180"/>
      <c r="H154" s="180"/>
      <c r="I154" s="180"/>
      <c r="J154" s="180"/>
      <c r="K154" s="180"/>
      <c r="L154" s="180"/>
      <c r="M154" s="180"/>
      <c r="N154" s="180"/>
      <c r="R154" s="180"/>
      <c r="S154" s="180"/>
      <c r="T154" s="180"/>
      <c r="U154" s="180"/>
      <c r="W154" s="180"/>
      <c r="X154" s="180"/>
      <c r="Y154" s="180"/>
      <c r="Z154" s="180"/>
      <c r="AA154" s="180"/>
      <c r="AB154" s="180"/>
      <c r="AC154" s="180"/>
      <c r="AD154" s="180"/>
      <c r="AE154" s="180"/>
      <c r="AF154" s="180"/>
      <c r="AG154" s="180"/>
      <c r="AH154" s="179"/>
      <c r="AI154" s="179"/>
      <c r="AJ154" s="179"/>
      <c r="AK154" s="179"/>
      <c r="AL154" s="179"/>
    </row>
    <row r="155" spans="1:38">
      <c r="A155" s="179"/>
      <c r="B155" s="179" t="s">
        <v>12</v>
      </c>
      <c r="C155" s="179"/>
      <c r="D155" s="180">
        <f>+D149-D154</f>
        <v>6</v>
      </c>
      <c r="E155" s="180"/>
      <c r="H155" s="180"/>
      <c r="I155" s="180"/>
      <c r="J155" s="180"/>
      <c r="K155" s="180"/>
      <c r="L155" s="180"/>
      <c r="M155" s="180"/>
      <c r="N155" s="180"/>
      <c r="R155" s="180"/>
      <c r="S155" s="180"/>
      <c r="T155" s="180"/>
      <c r="U155" s="180"/>
      <c r="W155" s="180"/>
      <c r="X155" s="180"/>
      <c r="Y155" s="180"/>
      <c r="Z155" s="180"/>
      <c r="AA155" s="180"/>
      <c r="AB155" s="180"/>
      <c r="AC155" s="180"/>
      <c r="AD155" s="180"/>
      <c r="AE155" s="180"/>
      <c r="AF155" s="180"/>
      <c r="AG155" s="180"/>
      <c r="AH155" s="179"/>
      <c r="AI155" s="179"/>
      <c r="AJ155" s="179"/>
      <c r="AK155" s="179"/>
      <c r="AL155" s="179"/>
    </row>
  </sheetData>
  <mergeCells count="5">
    <mergeCell ref="A148:B148"/>
    <mergeCell ref="A149:B149"/>
    <mergeCell ref="A150:B150"/>
    <mergeCell ref="A147:B147"/>
    <mergeCell ref="A2:C2"/>
  </mergeCells>
  <printOptions gridLines="1"/>
  <pageMargins left="0.7" right="0.7" top="0.75" bottom="0.75" header="0.3" footer="0.3"/>
  <pageSetup paperSize="5" scale="5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39"/>
  <sheetViews>
    <sheetView topLeftCell="X54" workbookViewId="0">
      <selection activeCell="Y55" sqref="Y55"/>
    </sheetView>
  </sheetViews>
  <sheetFormatPr defaultRowHeight="15"/>
  <cols>
    <col min="5" max="17" width="0" hidden="1" customWidth="1"/>
    <col min="18" max="18" width="10.7109375" style="1" bestFit="1" customWidth="1"/>
    <col min="19" max="23" width="0" style="1" hidden="1" customWidth="1"/>
    <col min="24" max="25" width="10.7109375" style="1" bestFit="1" customWidth="1"/>
    <col min="27" max="27" width="12.28515625" style="39" bestFit="1" customWidth="1"/>
    <col min="28" max="28" width="10.7109375" style="39" customWidth="1"/>
    <col min="29" max="34" width="9.140625" style="1"/>
  </cols>
  <sheetData>
    <row r="1" spans="1:34">
      <c r="A1" s="543"/>
      <c r="B1" s="543"/>
      <c r="C1" s="506"/>
      <c r="D1" s="14"/>
      <c r="E1" s="506"/>
      <c r="F1" s="506"/>
      <c r="G1" s="506"/>
      <c r="H1" s="506"/>
      <c r="I1" s="506"/>
      <c r="J1" s="506"/>
      <c r="K1" s="506"/>
      <c r="L1" s="506"/>
      <c r="M1" s="506"/>
      <c r="N1" s="506"/>
      <c r="O1" s="506"/>
      <c r="P1" s="506"/>
      <c r="Q1" s="506"/>
      <c r="R1" s="43"/>
      <c r="S1" s="43"/>
      <c r="T1" s="43"/>
      <c r="U1" s="43"/>
      <c r="V1" s="43"/>
      <c r="W1" s="43"/>
      <c r="X1" s="43"/>
      <c r="Y1" s="43"/>
      <c r="Z1" s="179"/>
      <c r="AC1" s="180"/>
      <c r="AD1" s="180"/>
      <c r="AE1" s="180"/>
      <c r="AF1" s="180"/>
      <c r="AG1" s="180"/>
      <c r="AH1" s="180"/>
    </row>
    <row r="2" spans="1:34">
      <c r="A2" s="544" t="s">
        <v>442</v>
      </c>
      <c r="B2" s="544"/>
      <c r="C2" s="507"/>
      <c r="D2" s="14"/>
      <c r="E2" s="506"/>
      <c r="F2" s="506"/>
      <c r="G2" s="506"/>
      <c r="H2" s="506"/>
      <c r="I2" s="506"/>
      <c r="J2" s="506"/>
      <c r="K2" s="506"/>
      <c r="L2" s="506"/>
      <c r="M2" s="506"/>
      <c r="N2" s="506"/>
      <c r="O2" s="506"/>
      <c r="P2" s="506"/>
      <c r="Q2" s="506"/>
      <c r="R2" s="43"/>
      <c r="S2" s="43"/>
      <c r="T2" s="43"/>
      <c r="U2" s="43"/>
      <c r="V2" s="43"/>
      <c r="W2" s="43"/>
      <c r="X2" s="43"/>
      <c r="Y2" s="43"/>
      <c r="Z2" s="179"/>
      <c r="AC2" s="180"/>
      <c r="AD2" s="180"/>
      <c r="AE2" s="180"/>
      <c r="AF2" s="180"/>
      <c r="AG2" s="180"/>
      <c r="AH2" s="180"/>
    </row>
    <row r="3" spans="1:34" s="38" customFormat="1" ht="45">
      <c r="A3" s="545"/>
      <c r="B3" s="545"/>
      <c r="C3" s="508"/>
      <c r="D3" s="508"/>
      <c r="E3" s="508"/>
      <c r="F3" s="508"/>
      <c r="G3" s="508"/>
      <c r="H3" s="508"/>
      <c r="I3" s="508"/>
      <c r="J3" s="508"/>
      <c r="K3" s="508"/>
      <c r="L3" s="508"/>
      <c r="M3" s="508"/>
      <c r="N3" s="508"/>
      <c r="O3" s="508"/>
      <c r="P3" s="508"/>
      <c r="Q3" s="508"/>
      <c r="R3" s="53" t="s">
        <v>443</v>
      </c>
      <c r="S3" s="44"/>
      <c r="T3" s="44"/>
      <c r="U3" s="44"/>
      <c r="V3" s="44"/>
      <c r="W3" s="44"/>
      <c r="X3" s="44"/>
      <c r="Y3" s="44"/>
      <c r="AA3" s="40" t="s">
        <v>444</v>
      </c>
      <c r="AB3" s="40" t="s">
        <v>2</v>
      </c>
      <c r="AC3" s="41"/>
      <c r="AD3" s="41"/>
      <c r="AE3" s="41"/>
      <c r="AF3" s="41"/>
      <c r="AG3" s="41"/>
      <c r="AH3" s="41"/>
    </row>
    <row r="4" spans="1:34" ht="25.5">
      <c r="A4" s="543"/>
      <c r="B4" s="543"/>
      <c r="C4" s="15"/>
      <c r="D4" s="16"/>
      <c r="E4" s="17">
        <v>43922</v>
      </c>
      <c r="F4" s="17">
        <v>43952</v>
      </c>
      <c r="G4" s="17">
        <v>43983</v>
      </c>
      <c r="H4" s="17">
        <v>44013</v>
      </c>
      <c r="I4" s="17">
        <v>44044</v>
      </c>
      <c r="J4" s="17">
        <v>44075</v>
      </c>
      <c r="K4" s="17">
        <v>44105</v>
      </c>
      <c r="L4" s="17">
        <v>44136</v>
      </c>
      <c r="M4" s="17">
        <v>44166</v>
      </c>
      <c r="N4" s="17">
        <v>44197</v>
      </c>
      <c r="O4" s="17">
        <v>44228</v>
      </c>
      <c r="P4" s="17">
        <v>44256</v>
      </c>
      <c r="Q4" s="18" t="s">
        <v>445</v>
      </c>
      <c r="R4" s="45" t="s">
        <v>446</v>
      </c>
      <c r="S4" s="46">
        <v>44287</v>
      </c>
      <c r="T4" s="46">
        <v>44317</v>
      </c>
      <c r="U4" s="46">
        <v>44348</v>
      </c>
      <c r="V4" s="46">
        <v>44378</v>
      </c>
      <c r="W4" s="46">
        <v>44409</v>
      </c>
      <c r="X4" s="45" t="s">
        <v>447</v>
      </c>
      <c r="Y4" s="45" t="s">
        <v>448</v>
      </c>
      <c r="Z4" s="179"/>
      <c r="AC4" s="180"/>
      <c r="AD4" s="180"/>
      <c r="AE4" s="180"/>
      <c r="AF4" s="180"/>
      <c r="AG4" s="180"/>
      <c r="AH4" s="180"/>
    </row>
    <row r="5" spans="1:34" ht="38.25">
      <c r="A5" s="506"/>
      <c r="B5" s="540" t="s">
        <v>449</v>
      </c>
      <c r="C5" s="19">
        <v>4111010</v>
      </c>
      <c r="D5" s="20" t="s">
        <v>450</v>
      </c>
      <c r="E5" s="21">
        <v>-2379256</v>
      </c>
      <c r="F5" s="21">
        <v>-1951701</v>
      </c>
      <c r="G5" s="21">
        <v>-1625111</v>
      </c>
      <c r="H5" s="21">
        <v>-1048650</v>
      </c>
      <c r="I5" s="21">
        <v>-1010802</v>
      </c>
      <c r="J5" s="21">
        <v>-983704</v>
      </c>
      <c r="K5" s="21">
        <v>-1034459</v>
      </c>
      <c r="L5" s="21">
        <v>-1368688</v>
      </c>
      <c r="M5" s="21">
        <v>-2107840</v>
      </c>
      <c r="N5" s="21">
        <v>-3739923</v>
      </c>
      <c r="O5" s="21">
        <v>-3587298</v>
      </c>
      <c r="P5" s="21">
        <v>-4970949</v>
      </c>
      <c r="Q5" s="21">
        <v>-25808381</v>
      </c>
      <c r="R5" s="43">
        <v>-17792861</v>
      </c>
      <c r="S5" s="43">
        <v>-1754316</v>
      </c>
      <c r="T5" s="43">
        <v>-1036875</v>
      </c>
      <c r="U5" s="43">
        <v>-1035473</v>
      </c>
      <c r="V5" s="43">
        <v>-970692</v>
      </c>
      <c r="W5" s="43">
        <v>-959168</v>
      </c>
      <c r="X5" s="43">
        <v>-5756524</v>
      </c>
      <c r="Y5" s="43">
        <v>-23549385</v>
      </c>
      <c r="Z5" s="179"/>
      <c r="AC5" s="180"/>
      <c r="AD5" s="180"/>
      <c r="AE5" s="180"/>
      <c r="AF5" s="180"/>
      <c r="AG5" s="180"/>
      <c r="AH5" s="180"/>
    </row>
    <row r="6" spans="1:34" ht="38.25">
      <c r="A6" s="506"/>
      <c r="B6" s="541"/>
      <c r="C6" s="19">
        <v>4111020</v>
      </c>
      <c r="D6" s="20" t="s">
        <v>198</v>
      </c>
      <c r="E6" s="21">
        <v>429861</v>
      </c>
      <c r="F6" s="21">
        <v>180799</v>
      </c>
      <c r="G6" s="21">
        <v>827625</v>
      </c>
      <c r="H6" s="21">
        <v>45073</v>
      </c>
      <c r="I6" s="21">
        <v>-6477</v>
      </c>
      <c r="J6" s="21">
        <v>-53282</v>
      </c>
      <c r="K6" s="21">
        <v>-350343</v>
      </c>
      <c r="L6" s="21">
        <v>-644741</v>
      </c>
      <c r="M6" s="21">
        <v>-1827836</v>
      </c>
      <c r="N6" s="21">
        <v>337738</v>
      </c>
      <c r="O6" s="21">
        <v>-142839</v>
      </c>
      <c r="P6" s="21">
        <v>2348794</v>
      </c>
      <c r="Q6" s="21">
        <v>1144373</v>
      </c>
      <c r="R6" s="43">
        <v>-332509</v>
      </c>
      <c r="S6" s="43" t="s">
        <v>223</v>
      </c>
      <c r="T6" s="43" t="s">
        <v>223</v>
      </c>
      <c r="U6" s="43" t="s">
        <v>223</v>
      </c>
      <c r="V6" s="43" t="s">
        <v>223</v>
      </c>
      <c r="W6" s="43" t="s">
        <v>223</v>
      </c>
      <c r="X6" s="43" t="s">
        <v>223</v>
      </c>
      <c r="Y6" s="43">
        <v>-332509</v>
      </c>
      <c r="Z6" s="179"/>
      <c r="AA6" s="39">
        <f>-Y6</f>
        <v>332509</v>
      </c>
      <c r="AC6" s="180"/>
      <c r="AD6" s="180"/>
      <c r="AE6" s="180"/>
      <c r="AF6" s="180"/>
      <c r="AG6" s="180"/>
      <c r="AH6" s="180"/>
    </row>
    <row r="7" spans="1:34" ht="38.25">
      <c r="A7" s="506"/>
      <c r="B7" s="541"/>
      <c r="C7" s="19">
        <v>4112010</v>
      </c>
      <c r="D7" s="20" t="s">
        <v>218</v>
      </c>
      <c r="E7" s="21">
        <v>-683502</v>
      </c>
      <c r="F7" s="21">
        <v>-474197</v>
      </c>
      <c r="G7" s="21">
        <v>-392450</v>
      </c>
      <c r="H7" s="21">
        <v>-258526</v>
      </c>
      <c r="I7" s="21">
        <v>-258048</v>
      </c>
      <c r="J7" s="21">
        <v>-246748</v>
      </c>
      <c r="K7" s="21">
        <v>-258069</v>
      </c>
      <c r="L7" s="21">
        <v>-325746</v>
      </c>
      <c r="M7" s="21">
        <v>-522142</v>
      </c>
      <c r="N7" s="21">
        <v>-1119889</v>
      </c>
      <c r="O7" s="21">
        <v>-2217799</v>
      </c>
      <c r="P7" s="21">
        <v>-3306189</v>
      </c>
      <c r="Q7" s="21">
        <v>-10063306</v>
      </c>
      <c r="R7" s="43">
        <v>-7996583</v>
      </c>
      <c r="S7" s="43">
        <v>-463200</v>
      </c>
      <c r="T7" s="43">
        <v>-258000</v>
      </c>
      <c r="U7" s="43">
        <v>-270100</v>
      </c>
      <c r="V7" s="43">
        <v>-259100</v>
      </c>
      <c r="W7" s="43">
        <v>-253400</v>
      </c>
      <c r="X7" s="43">
        <v>-1503800</v>
      </c>
      <c r="Y7" s="43">
        <v>-9500383</v>
      </c>
      <c r="Z7" s="179"/>
      <c r="AC7" s="180"/>
      <c r="AD7" s="180"/>
      <c r="AE7" s="180"/>
      <c r="AF7" s="180"/>
      <c r="AG7" s="180"/>
      <c r="AH7" s="180"/>
    </row>
    <row r="8" spans="1:34" ht="38.25">
      <c r="A8" s="506"/>
      <c r="B8" s="541"/>
      <c r="C8" s="19">
        <v>4112020</v>
      </c>
      <c r="D8" s="20" t="s">
        <v>199</v>
      </c>
      <c r="E8" s="21">
        <v>222175</v>
      </c>
      <c r="F8" s="21">
        <v>127582</v>
      </c>
      <c r="G8" s="21">
        <v>122999</v>
      </c>
      <c r="H8" s="21">
        <v>10081</v>
      </c>
      <c r="I8" s="21">
        <v>-3734</v>
      </c>
      <c r="J8" s="21">
        <v>-13869</v>
      </c>
      <c r="K8" s="21">
        <v>-66997</v>
      </c>
      <c r="L8" s="21">
        <v>-191910</v>
      </c>
      <c r="M8" s="21">
        <v>-688103</v>
      </c>
      <c r="N8" s="21">
        <v>-308714</v>
      </c>
      <c r="O8" s="21">
        <v>-929002</v>
      </c>
      <c r="P8" s="21">
        <v>1756290</v>
      </c>
      <c r="Q8" s="21">
        <v>36797</v>
      </c>
      <c r="R8" s="43">
        <v>-442306</v>
      </c>
      <c r="S8" s="43" t="s">
        <v>223</v>
      </c>
      <c r="T8" s="43" t="s">
        <v>223</v>
      </c>
      <c r="U8" s="43" t="s">
        <v>223</v>
      </c>
      <c r="V8" s="43" t="s">
        <v>223</v>
      </c>
      <c r="W8" s="43" t="s">
        <v>223</v>
      </c>
      <c r="X8" s="43" t="s">
        <v>223</v>
      </c>
      <c r="Y8" s="43">
        <v>-442306</v>
      </c>
      <c r="Z8" s="179"/>
      <c r="AA8" s="39">
        <f>-Y8</f>
        <v>442306</v>
      </c>
      <c r="AC8" s="180"/>
      <c r="AD8" s="180"/>
      <c r="AE8" s="180"/>
      <c r="AF8" s="180"/>
      <c r="AG8" s="180"/>
      <c r="AH8" s="180"/>
    </row>
    <row r="9" spans="1:34" ht="25.5">
      <c r="A9" s="506"/>
      <c r="B9" s="541"/>
      <c r="C9" s="19">
        <v>4113010</v>
      </c>
      <c r="D9" s="20" t="s">
        <v>219</v>
      </c>
      <c r="E9" s="21">
        <v>-834585</v>
      </c>
      <c r="F9" s="21">
        <v>-642338</v>
      </c>
      <c r="G9" s="21">
        <v>-572701</v>
      </c>
      <c r="H9" s="21">
        <v>-392498</v>
      </c>
      <c r="I9" s="21">
        <v>-364943</v>
      </c>
      <c r="J9" s="21">
        <v>-342740</v>
      </c>
      <c r="K9" s="21">
        <v>-368853</v>
      </c>
      <c r="L9" s="21">
        <v>-475798</v>
      </c>
      <c r="M9" s="21">
        <v>-679112</v>
      </c>
      <c r="N9" s="21">
        <v>-1340634</v>
      </c>
      <c r="O9" s="21">
        <v>-125448</v>
      </c>
      <c r="P9" s="21">
        <v>-159586</v>
      </c>
      <c r="Q9" s="21">
        <v>-6299236</v>
      </c>
      <c r="R9" s="43">
        <v>-3492170</v>
      </c>
      <c r="S9" s="43">
        <v>-741900</v>
      </c>
      <c r="T9" s="43">
        <v>-406800</v>
      </c>
      <c r="U9" s="43">
        <v>-429500</v>
      </c>
      <c r="V9" s="43">
        <v>-419000</v>
      </c>
      <c r="W9" s="43">
        <v>-397300</v>
      </c>
      <c r="X9" s="43">
        <v>-2394500</v>
      </c>
      <c r="Y9" s="43">
        <v>-5886670</v>
      </c>
      <c r="Z9" s="179"/>
      <c r="AC9" s="180"/>
      <c r="AD9" s="180"/>
      <c r="AE9" s="180"/>
      <c r="AF9" s="180"/>
      <c r="AG9" s="180"/>
      <c r="AH9" s="180"/>
    </row>
    <row r="10" spans="1:34" ht="38.25">
      <c r="A10" s="506"/>
      <c r="B10" s="541"/>
      <c r="C10" s="19">
        <v>4113020</v>
      </c>
      <c r="D10" s="20" t="s">
        <v>200</v>
      </c>
      <c r="E10" s="21">
        <v>206097</v>
      </c>
      <c r="F10" s="21">
        <v>103953</v>
      </c>
      <c r="G10" s="21">
        <v>198944</v>
      </c>
      <c r="H10" s="21">
        <v>40889</v>
      </c>
      <c r="I10" s="21">
        <v>7552</v>
      </c>
      <c r="J10" s="21">
        <v>-32267</v>
      </c>
      <c r="K10" s="21">
        <v>-124667</v>
      </c>
      <c r="L10" s="21">
        <v>-176020</v>
      </c>
      <c r="M10" s="21">
        <v>-798574</v>
      </c>
      <c r="N10" s="21">
        <v>607911</v>
      </c>
      <c r="O10" s="21">
        <v>719640</v>
      </c>
      <c r="P10" s="21">
        <v>81504</v>
      </c>
      <c r="Q10" s="21">
        <v>834962</v>
      </c>
      <c r="R10" s="43">
        <v>277527</v>
      </c>
      <c r="S10" s="43" t="s">
        <v>223</v>
      </c>
      <c r="T10" s="43" t="s">
        <v>223</v>
      </c>
      <c r="U10" s="43" t="s">
        <v>223</v>
      </c>
      <c r="V10" s="43" t="s">
        <v>223</v>
      </c>
      <c r="W10" s="43" t="s">
        <v>223</v>
      </c>
      <c r="X10" s="43" t="s">
        <v>223</v>
      </c>
      <c r="Y10" s="43">
        <v>277527</v>
      </c>
      <c r="Z10" s="179"/>
      <c r="AA10" s="39">
        <f>-Y10</f>
        <v>-277527</v>
      </c>
      <c r="AC10" s="180"/>
      <c r="AD10" s="180"/>
      <c r="AE10" s="180"/>
      <c r="AF10" s="180"/>
      <c r="AG10" s="180"/>
      <c r="AH10" s="180"/>
    </row>
    <row r="11" spans="1:34" ht="38.25">
      <c r="A11" s="506"/>
      <c r="B11" s="541"/>
      <c r="C11" s="19">
        <v>4115010</v>
      </c>
      <c r="D11" s="20" t="s">
        <v>252</v>
      </c>
      <c r="E11" s="506" t="s">
        <v>223</v>
      </c>
      <c r="F11" s="506" t="s">
        <v>223</v>
      </c>
      <c r="G11" s="506" t="s">
        <v>223</v>
      </c>
      <c r="H11" s="506">
        <v>-6</v>
      </c>
      <c r="I11" s="506">
        <v>-11</v>
      </c>
      <c r="J11" s="506">
        <v>-15</v>
      </c>
      <c r="K11" s="506">
        <v>-20</v>
      </c>
      <c r="L11" s="506" t="s">
        <v>223</v>
      </c>
      <c r="M11" s="506" t="s">
        <v>223</v>
      </c>
      <c r="N11" s="506">
        <v>-3</v>
      </c>
      <c r="O11" s="506" t="s">
        <v>223</v>
      </c>
      <c r="P11" s="21">
        <v>-1205</v>
      </c>
      <c r="Q11" s="21">
        <v>-1260</v>
      </c>
      <c r="R11" s="43">
        <v>-1243</v>
      </c>
      <c r="S11" s="43">
        <v>-1</v>
      </c>
      <c r="T11" s="43" t="s">
        <v>223</v>
      </c>
      <c r="U11" s="43" t="s">
        <v>223</v>
      </c>
      <c r="V11" s="43" t="s">
        <v>223</v>
      </c>
      <c r="W11" s="43" t="s">
        <v>223</v>
      </c>
      <c r="X11" s="43">
        <v>-1</v>
      </c>
      <c r="Y11" s="43">
        <v>-1244</v>
      </c>
      <c r="Z11" s="179"/>
      <c r="AB11" s="39">
        <f>-Y11</f>
        <v>1244</v>
      </c>
      <c r="AC11" s="180"/>
      <c r="AD11" s="180"/>
      <c r="AE11" s="180"/>
      <c r="AF11" s="180"/>
      <c r="AG11" s="180"/>
      <c r="AH11" s="180"/>
    </row>
    <row r="12" spans="1:34" ht="38.25">
      <c r="A12" s="506"/>
      <c r="B12" s="541"/>
      <c r="C12" s="19">
        <v>4115040</v>
      </c>
      <c r="D12" s="20" t="s">
        <v>451</v>
      </c>
      <c r="E12" s="21">
        <v>-6765</v>
      </c>
      <c r="F12" s="506">
        <v>-820</v>
      </c>
      <c r="G12" s="506">
        <v>-880</v>
      </c>
      <c r="H12" s="506">
        <v>-680</v>
      </c>
      <c r="I12" s="506">
        <v>-780</v>
      </c>
      <c r="J12" s="21">
        <v>-1940</v>
      </c>
      <c r="K12" s="21">
        <v>-6028</v>
      </c>
      <c r="L12" s="21">
        <v>-25801</v>
      </c>
      <c r="M12" s="21">
        <v>-22870</v>
      </c>
      <c r="N12" s="21">
        <v>-18638</v>
      </c>
      <c r="O12" s="21">
        <v>-2190</v>
      </c>
      <c r="P12" s="21">
        <v>-2453</v>
      </c>
      <c r="Q12" s="21">
        <v>-89846</v>
      </c>
      <c r="R12" s="43">
        <v>-79920</v>
      </c>
      <c r="S12" s="43">
        <v>-500</v>
      </c>
      <c r="T12" s="43">
        <v>-500</v>
      </c>
      <c r="U12" s="43">
        <v>-500</v>
      </c>
      <c r="V12" s="43">
        <v>-500</v>
      </c>
      <c r="W12" s="43">
        <v>-500</v>
      </c>
      <c r="X12" s="43">
        <v>-2500</v>
      </c>
      <c r="Y12" s="43">
        <v>-82420</v>
      </c>
      <c r="Z12" s="179"/>
      <c r="AB12" s="39">
        <v>0</v>
      </c>
      <c r="AC12" s="180"/>
      <c r="AD12" s="180"/>
      <c r="AE12" s="180"/>
      <c r="AF12" s="180"/>
      <c r="AG12" s="180"/>
      <c r="AH12" s="180"/>
    </row>
    <row r="13" spans="1:34" ht="51">
      <c r="A13" s="506"/>
      <c r="B13" s="541"/>
      <c r="C13" s="19">
        <v>4116240</v>
      </c>
      <c r="D13" s="20" t="s">
        <v>452</v>
      </c>
      <c r="E13" s="21">
        <v>-8465</v>
      </c>
      <c r="F13" s="21">
        <v>-6199</v>
      </c>
      <c r="G13" s="21">
        <v>-3975</v>
      </c>
      <c r="H13" s="21">
        <v>-3929</v>
      </c>
      <c r="I13" s="21">
        <v>-3931</v>
      </c>
      <c r="J13" s="21">
        <v>-4073</v>
      </c>
      <c r="K13" s="21">
        <v>-5832</v>
      </c>
      <c r="L13" s="21">
        <v>-9822</v>
      </c>
      <c r="M13" s="21">
        <v>-17721</v>
      </c>
      <c r="N13" s="21">
        <v>-20201</v>
      </c>
      <c r="O13" s="21">
        <v>-19828</v>
      </c>
      <c r="P13" s="21">
        <v>-11900</v>
      </c>
      <c r="Q13" s="21">
        <v>-115876</v>
      </c>
      <c r="R13" s="43">
        <v>-89377</v>
      </c>
      <c r="S13" s="43">
        <v>-6365</v>
      </c>
      <c r="T13" s="43">
        <v>-4448</v>
      </c>
      <c r="U13" s="43">
        <v>-4674</v>
      </c>
      <c r="V13" s="43">
        <v>-4634</v>
      </c>
      <c r="W13" s="43">
        <v>-4600</v>
      </c>
      <c r="X13" s="43">
        <v>-24721</v>
      </c>
      <c r="Y13" s="43">
        <v>-114098</v>
      </c>
      <c r="Z13" s="179"/>
      <c r="AC13" s="180"/>
      <c r="AD13" s="180"/>
      <c r="AE13" s="180"/>
      <c r="AF13" s="180"/>
      <c r="AG13" s="180"/>
      <c r="AH13" s="180"/>
    </row>
    <row r="14" spans="1:34" ht="51">
      <c r="A14" s="506"/>
      <c r="B14" s="541"/>
      <c r="C14" s="19">
        <v>4116260</v>
      </c>
      <c r="D14" s="20" t="s">
        <v>453</v>
      </c>
      <c r="E14" s="21">
        <v>-286414</v>
      </c>
      <c r="F14" s="21">
        <v>-280758</v>
      </c>
      <c r="G14" s="21">
        <v>-272427</v>
      </c>
      <c r="H14" s="21">
        <v>-251116</v>
      </c>
      <c r="I14" s="21">
        <v>-279275</v>
      </c>
      <c r="J14" s="21">
        <v>-286685</v>
      </c>
      <c r="K14" s="21">
        <v>-335342</v>
      </c>
      <c r="L14" s="21">
        <v>-387244</v>
      </c>
      <c r="M14" s="21">
        <v>-411085</v>
      </c>
      <c r="N14" s="21">
        <v>-435468</v>
      </c>
      <c r="O14" s="21">
        <v>-416365</v>
      </c>
      <c r="P14" s="21">
        <v>-372195</v>
      </c>
      <c r="Q14" s="21">
        <v>-4014374</v>
      </c>
      <c r="R14" s="43">
        <v>-2644384</v>
      </c>
      <c r="S14" s="43">
        <v>-336980</v>
      </c>
      <c r="T14" s="43">
        <v>-328838</v>
      </c>
      <c r="U14" s="43">
        <v>-335609</v>
      </c>
      <c r="V14" s="43">
        <v>-289251</v>
      </c>
      <c r="W14" s="43">
        <v>-308086</v>
      </c>
      <c r="X14" s="43">
        <v>-1598764</v>
      </c>
      <c r="Y14" s="43">
        <v>-4243148</v>
      </c>
      <c r="Z14" s="179"/>
      <c r="AC14" s="180"/>
      <c r="AD14" s="180"/>
      <c r="AE14" s="180"/>
      <c r="AF14" s="180"/>
      <c r="AG14" s="180"/>
      <c r="AH14" s="180"/>
    </row>
    <row r="15" spans="1:34" ht="51">
      <c r="A15" s="506"/>
      <c r="B15" s="541"/>
      <c r="C15" s="19">
        <v>4116270</v>
      </c>
      <c r="D15" s="20" t="s">
        <v>454</v>
      </c>
      <c r="E15" s="21">
        <v>-118719</v>
      </c>
      <c r="F15" s="21">
        <v>-81598</v>
      </c>
      <c r="G15" s="21">
        <v>-56386</v>
      </c>
      <c r="H15" s="21">
        <v>-58236</v>
      </c>
      <c r="I15" s="21">
        <v>-73915</v>
      </c>
      <c r="J15" s="21">
        <v>-85089</v>
      </c>
      <c r="K15" s="21">
        <v>-80070</v>
      </c>
      <c r="L15" s="21">
        <v>-68821</v>
      </c>
      <c r="M15" s="21">
        <v>-49616</v>
      </c>
      <c r="N15" s="21">
        <v>-60485</v>
      </c>
      <c r="O15" s="21">
        <v>-50753</v>
      </c>
      <c r="P15" s="21">
        <v>-117577</v>
      </c>
      <c r="Q15" s="21">
        <v>-901265</v>
      </c>
      <c r="R15" s="43">
        <v>-512411</v>
      </c>
      <c r="S15" s="43">
        <v>-74400</v>
      </c>
      <c r="T15" s="43">
        <v>-109300</v>
      </c>
      <c r="U15" s="43">
        <v>-104700</v>
      </c>
      <c r="V15" s="43">
        <v>-94300</v>
      </c>
      <c r="W15" s="43">
        <v>-126800</v>
      </c>
      <c r="X15" s="43">
        <v>-509500</v>
      </c>
      <c r="Y15" s="43">
        <v>-1021911</v>
      </c>
      <c r="Z15" s="179"/>
      <c r="AC15" s="180"/>
      <c r="AD15" s="180"/>
      <c r="AE15" s="180"/>
      <c r="AF15" s="180"/>
      <c r="AG15" s="180"/>
      <c r="AH15" s="180"/>
    </row>
    <row r="16" spans="1:34" ht="51">
      <c r="A16" s="506"/>
      <c r="B16" s="541"/>
      <c r="C16" s="19">
        <v>4116278</v>
      </c>
      <c r="D16" s="20" t="s">
        <v>455</v>
      </c>
      <c r="E16" s="21">
        <v>-124345</v>
      </c>
      <c r="F16" s="21">
        <v>-128188</v>
      </c>
      <c r="G16" s="21">
        <v>-123978</v>
      </c>
      <c r="H16" s="21">
        <v>-128059</v>
      </c>
      <c r="I16" s="21">
        <v>-128058</v>
      </c>
      <c r="J16" s="21">
        <v>-123961</v>
      </c>
      <c r="K16" s="21">
        <v>-128229</v>
      </c>
      <c r="L16" s="21">
        <v>-124681</v>
      </c>
      <c r="M16" s="21">
        <v>-235107</v>
      </c>
      <c r="N16" s="21">
        <v>-342849</v>
      </c>
      <c r="O16" s="21">
        <v>-299519</v>
      </c>
      <c r="P16" s="21">
        <v>-214442</v>
      </c>
      <c r="Q16" s="21">
        <v>-2101414</v>
      </c>
      <c r="R16" s="43">
        <v>-1468787</v>
      </c>
      <c r="S16" s="43">
        <v>-170300</v>
      </c>
      <c r="T16" s="43">
        <v>-175500</v>
      </c>
      <c r="U16" s="43">
        <v>-169800</v>
      </c>
      <c r="V16" s="43">
        <v>-175500</v>
      </c>
      <c r="W16" s="43">
        <v>-175500</v>
      </c>
      <c r="X16" s="43">
        <v>-866600</v>
      </c>
      <c r="Y16" s="43">
        <v>-2335387</v>
      </c>
      <c r="Z16" s="179"/>
      <c r="AC16" s="180"/>
      <c r="AD16" s="180"/>
      <c r="AE16" s="180"/>
      <c r="AF16" s="180"/>
      <c r="AG16" s="180"/>
      <c r="AH16" s="180"/>
    </row>
    <row r="17" spans="1:29" ht="51">
      <c r="A17" s="506"/>
      <c r="B17" s="541"/>
      <c r="C17" s="19">
        <v>4116280</v>
      </c>
      <c r="D17" s="20" t="s">
        <v>456</v>
      </c>
      <c r="E17" s="506">
        <v>-108</v>
      </c>
      <c r="F17" s="506">
        <v>-115</v>
      </c>
      <c r="G17" s="506">
        <v>-106</v>
      </c>
      <c r="H17" s="506">
        <v>-106</v>
      </c>
      <c r="I17" s="506">
        <v>-106</v>
      </c>
      <c r="J17" s="506">
        <v>-106</v>
      </c>
      <c r="K17" s="506">
        <v>-107</v>
      </c>
      <c r="L17" s="506">
        <v>-141</v>
      </c>
      <c r="M17" s="506">
        <v>-221</v>
      </c>
      <c r="N17" s="506">
        <v>-174</v>
      </c>
      <c r="O17" s="506">
        <v>-162</v>
      </c>
      <c r="P17" s="506">
        <v>-149</v>
      </c>
      <c r="Q17" s="21">
        <v>-1601</v>
      </c>
      <c r="R17" s="43">
        <v>-1059</v>
      </c>
      <c r="S17" s="43">
        <v>-156</v>
      </c>
      <c r="T17" s="43">
        <v>-114</v>
      </c>
      <c r="U17" s="43">
        <v>-117</v>
      </c>
      <c r="V17" s="43">
        <v>-115</v>
      </c>
      <c r="W17" s="43">
        <v>-115</v>
      </c>
      <c r="X17" s="43">
        <v>-617</v>
      </c>
      <c r="Y17" s="43">
        <v>-1676</v>
      </c>
      <c r="Z17" s="179"/>
      <c r="AC17" s="180"/>
    </row>
    <row r="18" spans="1:29" ht="51">
      <c r="A18" s="506"/>
      <c r="B18" s="541"/>
      <c r="C18" s="19">
        <v>4116297</v>
      </c>
      <c r="D18" s="20" t="s">
        <v>457</v>
      </c>
      <c r="E18" s="21">
        <v>-89864</v>
      </c>
      <c r="F18" s="21">
        <v>-74596</v>
      </c>
      <c r="G18" s="21">
        <v>-67125</v>
      </c>
      <c r="H18" s="21">
        <v>-65507</v>
      </c>
      <c r="I18" s="21">
        <v>-71082</v>
      </c>
      <c r="J18" s="21">
        <v>-71670</v>
      </c>
      <c r="K18" s="21">
        <v>-90237</v>
      </c>
      <c r="L18" s="21">
        <v>-127206</v>
      </c>
      <c r="M18" s="21">
        <v>-164756</v>
      </c>
      <c r="N18" s="21">
        <v>-192868</v>
      </c>
      <c r="O18" s="21">
        <v>-205184</v>
      </c>
      <c r="P18" s="21">
        <v>-145153</v>
      </c>
      <c r="Q18" s="21">
        <v>-1365246</v>
      </c>
      <c r="R18" s="43">
        <v>-997073</v>
      </c>
      <c r="S18" s="43">
        <v>-90600</v>
      </c>
      <c r="T18" s="43">
        <v>-76500</v>
      </c>
      <c r="U18" s="43">
        <v>-73300</v>
      </c>
      <c r="V18" s="43">
        <v>-69200</v>
      </c>
      <c r="W18" s="43">
        <v>-71900</v>
      </c>
      <c r="X18" s="43">
        <v>-381500</v>
      </c>
      <c r="Y18" s="43">
        <v>-1378573</v>
      </c>
      <c r="Z18" s="179"/>
      <c r="AC18" s="180"/>
    </row>
    <row r="19" spans="1:29" ht="25.5">
      <c r="A19" s="506"/>
      <c r="B19" s="541"/>
      <c r="C19" s="19">
        <v>4118500</v>
      </c>
      <c r="D19" s="20" t="s">
        <v>458</v>
      </c>
      <c r="E19" s="21">
        <v>221218</v>
      </c>
      <c r="F19" s="21">
        <v>220671</v>
      </c>
      <c r="G19" s="21">
        <v>216037</v>
      </c>
      <c r="H19" s="21">
        <v>213501</v>
      </c>
      <c r="I19" s="21">
        <v>211785</v>
      </c>
      <c r="J19" s="21">
        <v>211392</v>
      </c>
      <c r="K19" s="21">
        <v>212084</v>
      </c>
      <c r="L19" s="21">
        <v>215785</v>
      </c>
      <c r="M19" s="21">
        <v>220492</v>
      </c>
      <c r="N19" s="21">
        <v>223122</v>
      </c>
      <c r="O19" s="21">
        <v>223747</v>
      </c>
      <c r="P19" s="21">
        <v>340298</v>
      </c>
      <c r="Q19" s="21">
        <v>2730132</v>
      </c>
      <c r="R19" s="43">
        <v>1646920</v>
      </c>
      <c r="S19" s="43">
        <v>218200</v>
      </c>
      <c r="T19" s="43">
        <v>214800</v>
      </c>
      <c r="U19" s="43">
        <v>209700</v>
      </c>
      <c r="V19" s="43">
        <v>205500</v>
      </c>
      <c r="W19" s="43">
        <v>204300</v>
      </c>
      <c r="X19" s="43">
        <v>1052500</v>
      </c>
      <c r="Y19" s="43">
        <v>2699420</v>
      </c>
      <c r="Z19" s="179"/>
      <c r="AC19" s="180"/>
    </row>
    <row r="20" spans="1:29" ht="51">
      <c r="A20" s="506"/>
      <c r="B20" s="542"/>
      <c r="C20" s="19">
        <v>4305035</v>
      </c>
      <c r="D20" s="20" t="s">
        <v>459</v>
      </c>
      <c r="E20" s="506">
        <v>-670</v>
      </c>
      <c r="F20" s="21">
        <v>-1430</v>
      </c>
      <c r="G20" s="21">
        <v>-3804</v>
      </c>
      <c r="H20" s="21">
        <v>-2055</v>
      </c>
      <c r="I20" s="21">
        <v>-1975</v>
      </c>
      <c r="J20" s="21">
        <v>-4040</v>
      </c>
      <c r="K20" s="21">
        <v>-2671</v>
      </c>
      <c r="L20" s="21">
        <v>-4482</v>
      </c>
      <c r="M20" s="21">
        <v>-8194</v>
      </c>
      <c r="N20" s="21">
        <v>-4435</v>
      </c>
      <c r="O20" s="21">
        <v>-2750</v>
      </c>
      <c r="P20" s="21">
        <v>-1035</v>
      </c>
      <c r="Q20" s="21">
        <v>-37538</v>
      </c>
      <c r="R20" s="43">
        <v>-27605</v>
      </c>
      <c r="S20" s="43">
        <v>-30669</v>
      </c>
      <c r="T20" s="43">
        <v>-29300</v>
      </c>
      <c r="U20" s="43">
        <v>-31379</v>
      </c>
      <c r="V20" s="43">
        <v>-15700</v>
      </c>
      <c r="W20" s="43">
        <v>-11484</v>
      </c>
      <c r="X20" s="43">
        <v>-118532</v>
      </c>
      <c r="Y20" s="43">
        <v>-146137</v>
      </c>
      <c r="Z20" s="179"/>
      <c r="AC20" s="180" t="s">
        <v>460</v>
      </c>
    </row>
    <row r="21" spans="1:29" ht="38.25">
      <c r="A21" s="506"/>
      <c r="B21" s="22" t="s">
        <v>461</v>
      </c>
      <c r="C21" s="19"/>
      <c r="D21" s="20"/>
      <c r="E21" s="21">
        <v>-3453340</v>
      </c>
      <c r="F21" s="21">
        <v>-3008935</v>
      </c>
      <c r="G21" s="21">
        <v>-1753338</v>
      </c>
      <c r="H21" s="21">
        <v>-1899824</v>
      </c>
      <c r="I21" s="21">
        <v>-1983800</v>
      </c>
      <c r="J21" s="21">
        <v>-2038796</v>
      </c>
      <c r="K21" s="21">
        <v>-2639839</v>
      </c>
      <c r="L21" s="21">
        <v>-3715315</v>
      </c>
      <c r="M21" s="21">
        <v>-7312684</v>
      </c>
      <c r="N21" s="21">
        <v>-6415509</v>
      </c>
      <c r="O21" s="21">
        <v>-7055750</v>
      </c>
      <c r="P21" s="21">
        <v>-4775947</v>
      </c>
      <c r="Q21" s="21">
        <v>-46053079</v>
      </c>
      <c r="R21" s="43">
        <v>-33953841</v>
      </c>
      <c r="S21" s="43">
        <v>-3451187</v>
      </c>
      <c r="T21" s="43">
        <v>-2211375</v>
      </c>
      <c r="U21" s="43">
        <v>-2245452</v>
      </c>
      <c r="V21" s="43">
        <v>-2092492</v>
      </c>
      <c r="W21" s="43">
        <v>-2104553</v>
      </c>
      <c r="X21" s="43">
        <v>-12105059</v>
      </c>
      <c r="Y21" s="43">
        <v>-46058900</v>
      </c>
      <c r="Z21" s="179"/>
      <c r="AC21" s="180"/>
    </row>
    <row r="22" spans="1:29" ht="63.75">
      <c r="A22" s="506"/>
      <c r="B22" s="540" t="s">
        <v>462</v>
      </c>
      <c r="C22" s="19">
        <v>5205215</v>
      </c>
      <c r="D22" s="20" t="s">
        <v>463</v>
      </c>
      <c r="E22" s="21">
        <v>1277504</v>
      </c>
      <c r="F22" s="21">
        <v>1015104</v>
      </c>
      <c r="G22" s="21">
        <v>757781</v>
      </c>
      <c r="H22" s="21">
        <v>292757</v>
      </c>
      <c r="I22" s="21">
        <v>255115</v>
      </c>
      <c r="J22" s="21">
        <v>225407</v>
      </c>
      <c r="K22" s="21">
        <v>266176</v>
      </c>
      <c r="L22" s="21">
        <v>487341</v>
      </c>
      <c r="M22" s="21">
        <v>962034</v>
      </c>
      <c r="N22" s="21">
        <v>2452882</v>
      </c>
      <c r="O22" s="21">
        <v>2204149</v>
      </c>
      <c r="P22" s="21">
        <v>3216726</v>
      </c>
      <c r="Q22" s="21">
        <v>13412978</v>
      </c>
      <c r="R22" s="43">
        <v>9814716</v>
      </c>
      <c r="S22" s="43">
        <v>953283</v>
      </c>
      <c r="T22" s="43">
        <v>290012</v>
      </c>
      <c r="U22" s="43">
        <v>327335</v>
      </c>
      <c r="V22" s="43">
        <v>294029</v>
      </c>
      <c r="W22" s="43">
        <v>276607</v>
      </c>
      <c r="X22" s="43">
        <v>2141266</v>
      </c>
      <c r="Y22" s="43">
        <v>11955982</v>
      </c>
      <c r="Z22" s="179"/>
      <c r="AC22" s="180"/>
    </row>
    <row r="23" spans="1:29" ht="63.75">
      <c r="A23" s="506"/>
      <c r="B23" s="541"/>
      <c r="C23" s="19">
        <v>5205430</v>
      </c>
      <c r="D23" s="20" t="s">
        <v>201</v>
      </c>
      <c r="E23" s="21">
        <v>-273496</v>
      </c>
      <c r="F23" s="21">
        <v>-221661</v>
      </c>
      <c r="G23" s="21">
        <v>-595513</v>
      </c>
      <c r="H23" s="21">
        <v>-53014</v>
      </c>
      <c r="I23" s="21">
        <v>-11378</v>
      </c>
      <c r="J23" s="21">
        <v>50393</v>
      </c>
      <c r="K23" s="21">
        <v>206647</v>
      </c>
      <c r="L23" s="21">
        <v>459176</v>
      </c>
      <c r="M23" s="21">
        <v>1663118</v>
      </c>
      <c r="N23" s="21">
        <v>-490969</v>
      </c>
      <c r="O23" s="21">
        <v>236809</v>
      </c>
      <c r="P23" s="21">
        <v>-1809049</v>
      </c>
      <c r="Q23" s="21">
        <v>-838937</v>
      </c>
      <c r="R23" s="43">
        <v>316125</v>
      </c>
      <c r="S23" s="43">
        <v>-1</v>
      </c>
      <c r="T23" s="43" t="s">
        <v>223</v>
      </c>
      <c r="U23" s="43" t="s">
        <v>223</v>
      </c>
      <c r="V23" s="43" t="s">
        <v>223</v>
      </c>
      <c r="W23" s="43" t="s">
        <v>223</v>
      </c>
      <c r="X23" s="43">
        <v>-1</v>
      </c>
      <c r="Y23" s="43">
        <v>316124</v>
      </c>
      <c r="Z23" s="179"/>
      <c r="AA23" s="39">
        <f>-Y23</f>
        <v>-316124</v>
      </c>
      <c r="AC23" s="180"/>
    </row>
    <row r="24" spans="1:29" ht="51">
      <c r="A24" s="506"/>
      <c r="B24" s="541"/>
      <c r="C24" s="19">
        <v>5205450</v>
      </c>
      <c r="D24" s="20" t="s">
        <v>464</v>
      </c>
      <c r="E24" s="23">
        <v>2353</v>
      </c>
      <c r="F24" s="23">
        <v>-24485</v>
      </c>
      <c r="G24" s="23">
        <v>-14843</v>
      </c>
      <c r="H24" s="23">
        <v>-4160</v>
      </c>
      <c r="I24" s="23">
        <v>-3613</v>
      </c>
      <c r="J24" s="23">
        <v>-2291</v>
      </c>
      <c r="K24" s="23">
        <v>6491</v>
      </c>
      <c r="L24" s="23">
        <v>26631</v>
      </c>
      <c r="M24" s="23">
        <v>53625</v>
      </c>
      <c r="N24" s="23">
        <v>14879</v>
      </c>
      <c r="O24" s="23">
        <v>-51517</v>
      </c>
      <c r="P24" s="23">
        <v>-86502</v>
      </c>
      <c r="Q24" s="21">
        <v>-83432</v>
      </c>
      <c r="R24" s="43">
        <v>-38683</v>
      </c>
      <c r="S24" s="47"/>
      <c r="T24" s="47"/>
      <c r="U24" s="47"/>
      <c r="V24" s="47"/>
      <c r="W24" s="47"/>
      <c r="X24" s="43" t="s">
        <v>223</v>
      </c>
      <c r="Y24" s="43">
        <v>-38683</v>
      </c>
      <c r="Z24" s="179"/>
      <c r="AC24" s="180"/>
    </row>
    <row r="25" spans="1:29" ht="51">
      <c r="A25" s="506"/>
      <c r="B25" s="542"/>
      <c r="C25" s="19">
        <v>5340100</v>
      </c>
      <c r="D25" s="20" t="s">
        <v>465</v>
      </c>
      <c r="E25" s="23">
        <v>18669</v>
      </c>
      <c r="F25" s="23">
        <v>19239</v>
      </c>
      <c r="G25" s="23">
        <v>10355</v>
      </c>
      <c r="H25" s="23">
        <v>5793</v>
      </c>
      <c r="I25" s="23">
        <v>3936</v>
      </c>
      <c r="J25" s="23">
        <v>3683</v>
      </c>
      <c r="K25" s="23">
        <v>5236</v>
      </c>
      <c r="L25" s="23">
        <v>12780</v>
      </c>
      <c r="M25" s="23">
        <v>27047</v>
      </c>
      <c r="N25" s="23">
        <v>53600</v>
      </c>
      <c r="O25" s="23">
        <v>50628</v>
      </c>
      <c r="P25" s="23">
        <v>47736</v>
      </c>
      <c r="Q25" s="21">
        <v>258702</v>
      </c>
      <c r="R25" s="43">
        <v>200709</v>
      </c>
      <c r="S25" s="47"/>
      <c r="T25" s="47"/>
      <c r="U25" s="47"/>
      <c r="V25" s="47"/>
      <c r="W25" s="47"/>
      <c r="X25" s="43" t="s">
        <v>223</v>
      </c>
      <c r="Y25" s="43">
        <v>200709</v>
      </c>
      <c r="Z25" s="179"/>
      <c r="AC25" s="180"/>
    </row>
    <row r="26" spans="1:29" ht="25.5">
      <c r="A26" s="506"/>
      <c r="B26" s="22" t="s">
        <v>466</v>
      </c>
      <c r="C26" s="19"/>
      <c r="D26" s="20"/>
      <c r="E26" s="23">
        <v>1025031</v>
      </c>
      <c r="F26" s="23">
        <v>788197</v>
      </c>
      <c r="G26" s="23">
        <v>157780</v>
      </c>
      <c r="H26" s="23">
        <v>241376</v>
      </c>
      <c r="I26" s="23">
        <v>244060</v>
      </c>
      <c r="J26" s="23">
        <v>277192</v>
      </c>
      <c r="K26" s="23">
        <v>484550</v>
      </c>
      <c r="L26" s="23">
        <v>985928</v>
      </c>
      <c r="M26" s="23">
        <v>2705824</v>
      </c>
      <c r="N26" s="23">
        <v>2030391</v>
      </c>
      <c r="O26" s="23">
        <v>2440069</v>
      </c>
      <c r="P26" s="23">
        <v>1368911</v>
      </c>
      <c r="Q26" s="21">
        <v>12749311</v>
      </c>
      <c r="R26" s="43">
        <v>10292866</v>
      </c>
      <c r="S26" s="47">
        <v>953282</v>
      </c>
      <c r="T26" s="47">
        <v>290012</v>
      </c>
      <c r="U26" s="47">
        <v>327335</v>
      </c>
      <c r="V26" s="47">
        <v>294029</v>
      </c>
      <c r="W26" s="47">
        <v>276607</v>
      </c>
      <c r="X26" s="43">
        <v>2141265</v>
      </c>
      <c r="Y26" s="43">
        <v>12434131</v>
      </c>
      <c r="Z26" s="179"/>
      <c r="AC26" s="180"/>
    </row>
    <row r="27" spans="1:29" ht="38.25">
      <c r="A27" s="506"/>
      <c r="B27" s="540" t="s">
        <v>467</v>
      </c>
      <c r="C27" s="19">
        <v>5300110</v>
      </c>
      <c r="D27" s="20" t="s">
        <v>468</v>
      </c>
      <c r="E27" s="23">
        <v>750438</v>
      </c>
      <c r="F27" s="23">
        <v>710466</v>
      </c>
      <c r="G27" s="23">
        <v>742041</v>
      </c>
      <c r="H27" s="23">
        <v>771714</v>
      </c>
      <c r="I27" s="23">
        <v>719527</v>
      </c>
      <c r="J27" s="23">
        <v>746356</v>
      </c>
      <c r="K27" s="23">
        <v>761963</v>
      </c>
      <c r="L27" s="23">
        <v>713787</v>
      </c>
      <c r="M27" s="23">
        <v>766531</v>
      </c>
      <c r="N27" s="23">
        <v>681194</v>
      </c>
      <c r="O27" s="23">
        <v>642045</v>
      </c>
      <c r="P27" s="23">
        <v>726967</v>
      </c>
      <c r="Q27" s="21">
        <v>8733030</v>
      </c>
      <c r="R27" s="43">
        <v>5038844</v>
      </c>
      <c r="S27" s="47">
        <v>779413</v>
      </c>
      <c r="T27" s="47">
        <v>743984</v>
      </c>
      <c r="U27" s="47">
        <v>779413</v>
      </c>
      <c r="V27" s="47">
        <v>779413</v>
      </c>
      <c r="W27" s="47">
        <v>779413</v>
      </c>
      <c r="X27" s="43">
        <v>3861636</v>
      </c>
      <c r="Y27" s="43">
        <v>8900480</v>
      </c>
      <c r="Z27" s="179"/>
      <c r="AC27" s="180"/>
    </row>
    <row r="28" spans="1:29" ht="38.25">
      <c r="A28" s="506"/>
      <c r="B28" s="541"/>
      <c r="C28" s="19">
        <v>5300111</v>
      </c>
      <c r="D28" s="20" t="s">
        <v>469</v>
      </c>
      <c r="E28" s="23">
        <v>35920</v>
      </c>
      <c r="F28" s="23">
        <v>31948</v>
      </c>
      <c r="G28" s="23">
        <v>49113</v>
      </c>
      <c r="H28" s="23">
        <v>47778</v>
      </c>
      <c r="I28" s="23">
        <v>44040</v>
      </c>
      <c r="J28" s="23">
        <v>35405</v>
      </c>
      <c r="K28" s="23">
        <v>28710</v>
      </c>
      <c r="L28" s="23">
        <v>24081</v>
      </c>
      <c r="M28" s="23">
        <v>29041</v>
      </c>
      <c r="N28" s="23">
        <v>42768</v>
      </c>
      <c r="O28" s="23">
        <v>40644</v>
      </c>
      <c r="P28" s="23">
        <v>34788</v>
      </c>
      <c r="Q28" s="21">
        <v>444237</v>
      </c>
      <c r="R28" s="43">
        <v>235438</v>
      </c>
      <c r="S28" s="47">
        <v>39805</v>
      </c>
      <c r="T28" s="47">
        <v>38029</v>
      </c>
      <c r="U28" s="47">
        <v>39945</v>
      </c>
      <c r="V28" s="47">
        <v>39959</v>
      </c>
      <c r="W28" s="47">
        <v>39884</v>
      </c>
      <c r="X28" s="43">
        <v>197622</v>
      </c>
      <c r="Y28" s="43">
        <v>433060</v>
      </c>
      <c r="Z28" s="179"/>
      <c r="AC28" s="180"/>
    </row>
    <row r="29" spans="1:29" ht="38.25">
      <c r="A29" s="506"/>
      <c r="B29" s="541"/>
      <c r="C29" s="19">
        <v>5300120</v>
      </c>
      <c r="D29" s="20" t="s">
        <v>470</v>
      </c>
      <c r="E29" s="23">
        <v>18477</v>
      </c>
      <c r="F29" s="23">
        <v>13865</v>
      </c>
      <c r="G29" s="23">
        <v>22649</v>
      </c>
      <c r="H29" s="23">
        <v>19400</v>
      </c>
      <c r="I29" s="23">
        <v>21497</v>
      </c>
      <c r="J29" s="23">
        <v>36581</v>
      </c>
      <c r="K29" s="23">
        <v>27898</v>
      </c>
      <c r="L29" s="23">
        <v>15509</v>
      </c>
      <c r="M29" s="23">
        <v>30255</v>
      </c>
      <c r="N29" s="23">
        <v>21980</v>
      </c>
      <c r="O29" s="23">
        <v>37728</v>
      </c>
      <c r="P29" s="23">
        <v>22697</v>
      </c>
      <c r="Q29" s="21">
        <v>288537</v>
      </c>
      <c r="R29" s="43">
        <v>192647</v>
      </c>
      <c r="S29" s="47">
        <v>22752</v>
      </c>
      <c r="T29" s="47">
        <v>22129</v>
      </c>
      <c r="U29" s="47">
        <v>15834</v>
      </c>
      <c r="V29" s="47">
        <v>20089</v>
      </c>
      <c r="W29" s="47">
        <v>33733</v>
      </c>
      <c r="X29" s="43">
        <v>114537</v>
      </c>
      <c r="Y29" s="43">
        <v>307184</v>
      </c>
      <c r="Z29" s="179"/>
      <c r="AC29" s="180"/>
    </row>
    <row r="30" spans="1:29" ht="38.25">
      <c r="A30" s="506"/>
      <c r="B30" s="541"/>
      <c r="C30" s="19">
        <v>5300121</v>
      </c>
      <c r="D30" s="20" t="s">
        <v>471</v>
      </c>
      <c r="E30" s="24">
        <v>79</v>
      </c>
      <c r="F30" s="24">
        <v>14</v>
      </c>
      <c r="G30" s="24">
        <v>95</v>
      </c>
      <c r="H30" s="24">
        <v>131</v>
      </c>
      <c r="I30" s="24">
        <v>104</v>
      </c>
      <c r="J30" s="24">
        <v>156</v>
      </c>
      <c r="K30" s="24">
        <v>56</v>
      </c>
      <c r="L30" s="24">
        <v>168</v>
      </c>
      <c r="M30" s="24">
        <v>202</v>
      </c>
      <c r="N30" s="24">
        <v>216</v>
      </c>
      <c r="O30" s="24">
        <v>72</v>
      </c>
      <c r="P30" s="24">
        <v>67</v>
      </c>
      <c r="Q30" s="21">
        <v>1359</v>
      </c>
      <c r="R30" s="43">
        <v>937</v>
      </c>
      <c r="S30" s="47">
        <v>53</v>
      </c>
      <c r="T30" s="47">
        <v>47</v>
      </c>
      <c r="U30" s="47">
        <v>30</v>
      </c>
      <c r="V30" s="47">
        <v>89</v>
      </c>
      <c r="W30" s="47">
        <v>55</v>
      </c>
      <c r="X30" s="43">
        <v>274</v>
      </c>
      <c r="Y30" s="43">
        <v>1211</v>
      </c>
      <c r="Z30" s="179"/>
      <c r="AC30" s="180"/>
    </row>
    <row r="31" spans="1:29" ht="38.25">
      <c r="A31" s="506"/>
      <c r="B31" s="541"/>
      <c r="C31" s="19">
        <v>5300130</v>
      </c>
      <c r="D31" s="20" t="s">
        <v>472</v>
      </c>
      <c r="E31" s="24" t="s">
        <v>223</v>
      </c>
      <c r="F31" s="24" t="s">
        <v>223</v>
      </c>
      <c r="G31" s="24" t="s">
        <v>223</v>
      </c>
      <c r="H31" s="24" t="s">
        <v>223</v>
      </c>
      <c r="I31" s="24" t="s">
        <v>223</v>
      </c>
      <c r="J31" s="24" t="s">
        <v>223</v>
      </c>
      <c r="K31" s="24" t="s">
        <v>223</v>
      </c>
      <c r="L31" s="24" t="s">
        <v>223</v>
      </c>
      <c r="M31" s="24" t="s">
        <v>223</v>
      </c>
      <c r="N31" s="23">
        <v>1250</v>
      </c>
      <c r="O31" s="24" t="s">
        <v>223</v>
      </c>
      <c r="P31" s="24" t="s">
        <v>223</v>
      </c>
      <c r="Q31" s="21">
        <v>1250</v>
      </c>
      <c r="R31" s="43">
        <v>1250</v>
      </c>
      <c r="S31" s="47"/>
      <c r="T31" s="47"/>
      <c r="U31" s="47"/>
      <c r="V31" s="47"/>
      <c r="W31" s="47"/>
      <c r="X31" s="43" t="s">
        <v>223</v>
      </c>
      <c r="Y31" s="43">
        <v>1250</v>
      </c>
      <c r="Z31" s="179"/>
      <c r="AC31" s="180"/>
    </row>
    <row r="32" spans="1:29" ht="38.25">
      <c r="A32" s="506"/>
      <c r="B32" s="541"/>
      <c r="C32" s="19">
        <v>5300150</v>
      </c>
      <c r="D32" s="20" t="s">
        <v>473</v>
      </c>
      <c r="E32" s="24" t="s">
        <v>223</v>
      </c>
      <c r="F32" s="24" t="s">
        <v>223</v>
      </c>
      <c r="G32" s="24" t="s">
        <v>223</v>
      </c>
      <c r="H32" s="24" t="s">
        <v>223</v>
      </c>
      <c r="I32" s="23">
        <v>-101403</v>
      </c>
      <c r="J32" s="23">
        <v>-31410</v>
      </c>
      <c r="K32" s="24" t="s">
        <v>223</v>
      </c>
      <c r="L32" s="24" t="s">
        <v>223</v>
      </c>
      <c r="M32" s="23">
        <v>-54382</v>
      </c>
      <c r="N32" s="24" t="s">
        <v>223</v>
      </c>
      <c r="O32" s="24" t="s">
        <v>223</v>
      </c>
      <c r="P32" s="23">
        <v>-408850</v>
      </c>
      <c r="Q32" s="21">
        <v>-596046</v>
      </c>
      <c r="R32" s="43">
        <v>-494642</v>
      </c>
      <c r="S32" s="47" t="s">
        <v>223</v>
      </c>
      <c r="T32" s="47" t="s">
        <v>223</v>
      </c>
      <c r="U32" s="47" t="s">
        <v>223</v>
      </c>
      <c r="V32" s="47" t="s">
        <v>223</v>
      </c>
      <c r="W32" s="47" t="s">
        <v>223</v>
      </c>
      <c r="X32" s="43" t="s">
        <v>223</v>
      </c>
      <c r="Y32" s="43">
        <v>-494642</v>
      </c>
      <c r="Z32" s="179"/>
      <c r="AC32" s="180"/>
    </row>
    <row r="33" spans="1:25" ht="38.25">
      <c r="A33" s="506"/>
      <c r="B33" s="541"/>
      <c r="C33" s="19">
        <v>5300151</v>
      </c>
      <c r="D33" s="20" t="s">
        <v>474</v>
      </c>
      <c r="E33" s="24" t="s">
        <v>223</v>
      </c>
      <c r="F33" s="24" t="s">
        <v>223</v>
      </c>
      <c r="G33" s="24" t="s">
        <v>223</v>
      </c>
      <c r="H33" s="24" t="s">
        <v>223</v>
      </c>
      <c r="I33" s="23">
        <v>-4574</v>
      </c>
      <c r="J33" s="23">
        <v>-3497</v>
      </c>
      <c r="K33" s="24" t="s">
        <v>223</v>
      </c>
      <c r="L33" s="24" t="s">
        <v>223</v>
      </c>
      <c r="M33" s="23">
        <v>-4037</v>
      </c>
      <c r="N33" s="24" t="s">
        <v>223</v>
      </c>
      <c r="O33" s="24" t="s">
        <v>223</v>
      </c>
      <c r="P33" s="23">
        <v>-3015</v>
      </c>
      <c r="Q33" s="21">
        <v>-15123</v>
      </c>
      <c r="R33" s="43">
        <v>-10549</v>
      </c>
      <c r="S33" s="47"/>
      <c r="T33" s="47"/>
      <c r="U33" s="47"/>
      <c r="V33" s="47"/>
      <c r="W33" s="47"/>
      <c r="X33" s="43" t="s">
        <v>223</v>
      </c>
      <c r="Y33" s="43">
        <v>-10549</v>
      </c>
    </row>
    <row r="34" spans="1:25" ht="38.25">
      <c r="A34" s="506"/>
      <c r="B34" s="541"/>
      <c r="C34" s="19">
        <v>5300162</v>
      </c>
      <c r="D34" s="20" t="s">
        <v>475</v>
      </c>
      <c r="E34" s="24" t="s">
        <v>223</v>
      </c>
      <c r="F34" s="24" t="s">
        <v>223</v>
      </c>
      <c r="G34" s="24" t="s">
        <v>223</v>
      </c>
      <c r="H34" s="24" t="s">
        <v>223</v>
      </c>
      <c r="I34" s="24" t="s">
        <v>223</v>
      </c>
      <c r="J34" s="24">
        <v>660</v>
      </c>
      <c r="K34" s="24" t="s">
        <v>223</v>
      </c>
      <c r="L34" s="24" t="s">
        <v>223</v>
      </c>
      <c r="M34" s="24" t="s">
        <v>223</v>
      </c>
      <c r="N34" s="24"/>
      <c r="O34" s="24"/>
      <c r="P34" s="24"/>
      <c r="Q34" s="506">
        <v>660</v>
      </c>
      <c r="R34" s="43">
        <v>660</v>
      </c>
      <c r="S34" s="48"/>
      <c r="T34" s="48"/>
      <c r="U34" s="48"/>
      <c r="V34" s="48"/>
      <c r="W34" s="48"/>
      <c r="X34" s="43" t="s">
        <v>223</v>
      </c>
      <c r="Y34" s="43">
        <v>660</v>
      </c>
    </row>
    <row r="35" spans="1:25" ht="38.25">
      <c r="A35" s="506"/>
      <c r="B35" s="541"/>
      <c r="C35" s="19">
        <v>5300170</v>
      </c>
      <c r="D35" s="20" t="s">
        <v>476</v>
      </c>
      <c r="E35" s="24" t="s">
        <v>223</v>
      </c>
      <c r="F35" s="24" t="s">
        <v>223</v>
      </c>
      <c r="G35" s="24" t="s">
        <v>223</v>
      </c>
      <c r="H35" s="24" t="s">
        <v>223</v>
      </c>
      <c r="I35" s="24" t="s">
        <v>223</v>
      </c>
      <c r="J35" s="24" t="s">
        <v>223</v>
      </c>
      <c r="K35" s="24" t="s">
        <v>223</v>
      </c>
      <c r="L35" s="24" t="s">
        <v>223</v>
      </c>
      <c r="M35" s="23">
        <v>1922</v>
      </c>
      <c r="N35" s="24" t="s">
        <v>223</v>
      </c>
      <c r="O35" s="24">
        <v>300</v>
      </c>
      <c r="P35" s="24">
        <v>25</v>
      </c>
      <c r="Q35" s="21">
        <v>2247</v>
      </c>
      <c r="R35" s="43">
        <v>2247</v>
      </c>
      <c r="S35" s="47"/>
      <c r="T35" s="47"/>
      <c r="U35" s="47"/>
      <c r="V35" s="47"/>
      <c r="W35" s="47"/>
      <c r="X35" s="43" t="s">
        <v>223</v>
      </c>
      <c r="Y35" s="43">
        <v>2247</v>
      </c>
    </row>
    <row r="36" spans="1:25" ht="51">
      <c r="A36" s="506"/>
      <c r="B36" s="541"/>
      <c r="C36" s="19">
        <v>5300171</v>
      </c>
      <c r="D36" s="20" t="s">
        <v>477</v>
      </c>
      <c r="E36" s="24">
        <v>420</v>
      </c>
      <c r="F36" s="24">
        <v>390</v>
      </c>
      <c r="G36" s="24" t="s">
        <v>223</v>
      </c>
      <c r="H36" s="24">
        <v>-490</v>
      </c>
      <c r="I36" s="24">
        <v>415</v>
      </c>
      <c r="J36" s="23">
        <v>1348</v>
      </c>
      <c r="K36" s="24">
        <v>429</v>
      </c>
      <c r="L36" s="24">
        <v>407</v>
      </c>
      <c r="M36" s="24">
        <v>947</v>
      </c>
      <c r="N36" s="24">
        <v>783</v>
      </c>
      <c r="O36" s="24">
        <v>743</v>
      </c>
      <c r="P36" s="23">
        <v>1032</v>
      </c>
      <c r="Q36" s="21">
        <v>6422</v>
      </c>
      <c r="R36" s="43">
        <v>5689</v>
      </c>
      <c r="S36" s="47">
        <v>924</v>
      </c>
      <c r="T36" s="47">
        <v>924</v>
      </c>
      <c r="U36" s="47">
        <v>924</v>
      </c>
      <c r="V36" s="47">
        <v>924</v>
      </c>
      <c r="W36" s="47">
        <v>924</v>
      </c>
      <c r="X36" s="43">
        <v>4620</v>
      </c>
      <c r="Y36" s="43">
        <v>10309</v>
      </c>
    </row>
    <row r="37" spans="1:25" ht="38.25">
      <c r="A37" s="506"/>
      <c r="B37" s="541"/>
      <c r="C37" s="19">
        <v>5300180</v>
      </c>
      <c r="D37" s="20" t="s">
        <v>478</v>
      </c>
      <c r="E37" s="23">
        <v>57852</v>
      </c>
      <c r="F37" s="23">
        <v>57904</v>
      </c>
      <c r="G37" s="23">
        <v>57833</v>
      </c>
      <c r="H37" s="23">
        <v>57833</v>
      </c>
      <c r="I37" s="23">
        <v>246658</v>
      </c>
      <c r="J37" s="23">
        <v>74093</v>
      </c>
      <c r="K37" s="23">
        <v>74162</v>
      </c>
      <c r="L37" s="23">
        <v>74185</v>
      </c>
      <c r="M37" s="23">
        <v>145195</v>
      </c>
      <c r="N37" s="23">
        <v>72094</v>
      </c>
      <c r="O37" s="23">
        <v>72094</v>
      </c>
      <c r="P37" s="23">
        <v>71304</v>
      </c>
      <c r="Q37" s="21">
        <v>1061209</v>
      </c>
      <c r="R37" s="43">
        <v>583128</v>
      </c>
      <c r="S37" s="47">
        <v>74361</v>
      </c>
      <c r="T37" s="47">
        <v>74360</v>
      </c>
      <c r="U37" s="47">
        <v>74361</v>
      </c>
      <c r="V37" s="47">
        <v>74360</v>
      </c>
      <c r="W37" s="47">
        <v>74361</v>
      </c>
      <c r="X37" s="43">
        <v>371803</v>
      </c>
      <c r="Y37" s="43">
        <v>954931</v>
      </c>
    </row>
    <row r="38" spans="1:25" ht="51">
      <c r="A38" s="506"/>
      <c r="B38" s="541"/>
      <c r="C38" s="19">
        <v>5300181</v>
      </c>
      <c r="D38" s="20" t="s">
        <v>479</v>
      </c>
      <c r="E38" s="23">
        <v>5742</v>
      </c>
      <c r="F38" s="23">
        <v>5370</v>
      </c>
      <c r="G38" s="23">
        <v>7461</v>
      </c>
      <c r="H38" s="23">
        <v>6948</v>
      </c>
      <c r="I38" s="23">
        <v>7307</v>
      </c>
      <c r="J38" s="23">
        <v>5122</v>
      </c>
      <c r="K38" s="23">
        <v>4489</v>
      </c>
      <c r="L38" s="23">
        <v>3941</v>
      </c>
      <c r="M38" s="23">
        <v>10437</v>
      </c>
      <c r="N38" s="23">
        <v>4802</v>
      </c>
      <c r="O38" s="23">
        <v>4769</v>
      </c>
      <c r="P38" s="23">
        <v>3796</v>
      </c>
      <c r="Q38" s="21">
        <v>70184</v>
      </c>
      <c r="R38" s="43">
        <v>37356</v>
      </c>
      <c r="S38" s="47">
        <v>6160</v>
      </c>
      <c r="T38" s="47">
        <v>6160</v>
      </c>
      <c r="U38" s="47">
        <v>6160</v>
      </c>
      <c r="V38" s="47">
        <v>6160</v>
      </c>
      <c r="W38" s="47">
        <v>6160</v>
      </c>
      <c r="X38" s="43">
        <v>30800</v>
      </c>
      <c r="Y38" s="43">
        <v>68156</v>
      </c>
    </row>
    <row r="39" spans="1:25" ht="38.25">
      <c r="A39" s="506"/>
      <c r="B39" s="541"/>
      <c r="C39" s="19">
        <v>5300186</v>
      </c>
      <c r="D39" s="20" t="s">
        <v>480</v>
      </c>
      <c r="E39" s="24"/>
      <c r="F39" s="24"/>
      <c r="G39" s="24"/>
      <c r="H39" s="24"/>
      <c r="I39" s="24"/>
      <c r="J39" s="24"/>
      <c r="K39" s="24"/>
      <c r="L39" s="24"/>
      <c r="M39" s="24"/>
      <c r="N39" s="24" t="s">
        <v>223</v>
      </c>
      <c r="O39" s="24" t="s">
        <v>223</v>
      </c>
      <c r="P39" s="23">
        <v>1174</v>
      </c>
      <c r="Q39" s="21">
        <v>1174</v>
      </c>
      <c r="R39" s="43">
        <v>1174</v>
      </c>
      <c r="S39" s="47"/>
      <c r="T39" s="47"/>
      <c r="U39" s="47"/>
      <c r="V39" s="47"/>
      <c r="W39" s="47"/>
      <c r="X39" s="43" t="s">
        <v>223</v>
      </c>
      <c r="Y39" s="43">
        <v>1174</v>
      </c>
    </row>
    <row r="40" spans="1:25" ht="38.25">
      <c r="A40" s="506"/>
      <c r="B40" s="541"/>
      <c r="C40" s="19">
        <v>5300187</v>
      </c>
      <c r="D40" s="20" t="s">
        <v>481</v>
      </c>
      <c r="E40" s="24"/>
      <c r="F40" s="24"/>
      <c r="G40" s="24"/>
      <c r="H40" s="24"/>
      <c r="I40" s="24"/>
      <c r="J40" s="24"/>
      <c r="K40" s="24"/>
      <c r="L40" s="24"/>
      <c r="M40" s="24"/>
      <c r="N40" s="24" t="s">
        <v>223</v>
      </c>
      <c r="O40" s="24" t="s">
        <v>223</v>
      </c>
      <c r="P40" s="24">
        <v>684</v>
      </c>
      <c r="Q40" s="506">
        <v>684</v>
      </c>
      <c r="R40" s="43">
        <v>684</v>
      </c>
      <c r="S40" s="47"/>
      <c r="T40" s="47"/>
      <c r="U40" s="47"/>
      <c r="V40" s="47"/>
      <c r="W40" s="47"/>
      <c r="X40" s="43" t="s">
        <v>223</v>
      </c>
      <c r="Y40" s="43">
        <v>684</v>
      </c>
    </row>
    <row r="41" spans="1:25" ht="38.25">
      <c r="A41" s="506"/>
      <c r="B41" s="541"/>
      <c r="C41" s="19">
        <v>5300211</v>
      </c>
      <c r="D41" s="20" t="s">
        <v>482</v>
      </c>
      <c r="E41" s="23">
        <v>1673</v>
      </c>
      <c r="F41" s="23">
        <v>1575</v>
      </c>
      <c r="G41" s="23">
        <v>1685</v>
      </c>
      <c r="H41" s="23">
        <v>1671</v>
      </c>
      <c r="I41" s="23">
        <v>1564</v>
      </c>
      <c r="J41" s="23">
        <v>1549</v>
      </c>
      <c r="K41" s="23">
        <v>1560</v>
      </c>
      <c r="L41" s="23">
        <v>1437</v>
      </c>
      <c r="M41" s="23">
        <v>1677</v>
      </c>
      <c r="N41" s="23">
        <v>7639</v>
      </c>
      <c r="O41" s="23">
        <v>9429</v>
      </c>
      <c r="P41" s="23">
        <v>6255</v>
      </c>
      <c r="Q41" s="21">
        <v>37714</v>
      </c>
      <c r="R41" s="43">
        <v>29547</v>
      </c>
      <c r="S41" s="47">
        <v>1869</v>
      </c>
      <c r="T41" s="47">
        <v>1787</v>
      </c>
      <c r="U41" s="47">
        <v>1869</v>
      </c>
      <c r="V41" s="47">
        <v>1869</v>
      </c>
      <c r="W41" s="47">
        <v>1870</v>
      </c>
      <c r="X41" s="43">
        <v>9264</v>
      </c>
      <c r="Y41" s="43">
        <v>38811</v>
      </c>
    </row>
    <row r="42" spans="1:25" ht="38.25">
      <c r="A42" s="506"/>
      <c r="B42" s="541"/>
      <c r="C42" s="19">
        <v>5300221</v>
      </c>
      <c r="D42" s="20" t="s">
        <v>483</v>
      </c>
      <c r="E42" s="24">
        <v>5</v>
      </c>
      <c r="F42" s="24">
        <v>4</v>
      </c>
      <c r="G42" s="24">
        <v>10</v>
      </c>
      <c r="H42" s="24">
        <v>11</v>
      </c>
      <c r="I42" s="24">
        <v>8</v>
      </c>
      <c r="J42" s="24">
        <v>11</v>
      </c>
      <c r="K42" s="24">
        <v>9</v>
      </c>
      <c r="L42" s="24">
        <v>131</v>
      </c>
      <c r="M42" s="24">
        <v>22</v>
      </c>
      <c r="N42" s="24">
        <v>-50</v>
      </c>
      <c r="O42" s="24">
        <v>8</v>
      </c>
      <c r="P42" s="24">
        <v>11</v>
      </c>
      <c r="Q42" s="506">
        <v>180</v>
      </c>
      <c r="R42" s="43">
        <v>143</v>
      </c>
      <c r="S42" s="47">
        <v>114</v>
      </c>
      <c r="T42" s="47">
        <v>96</v>
      </c>
      <c r="U42" s="47">
        <v>93</v>
      </c>
      <c r="V42" s="47">
        <v>59</v>
      </c>
      <c r="W42" s="47">
        <v>73</v>
      </c>
      <c r="X42" s="43">
        <v>435</v>
      </c>
      <c r="Y42" s="43">
        <v>578</v>
      </c>
    </row>
    <row r="43" spans="1:25" ht="51">
      <c r="A43" s="506"/>
      <c r="B43" s="541"/>
      <c r="C43" s="19">
        <v>5300271</v>
      </c>
      <c r="D43" s="20" t="s">
        <v>484</v>
      </c>
      <c r="E43" s="24">
        <v>48</v>
      </c>
      <c r="F43" s="24" t="s">
        <v>223</v>
      </c>
      <c r="G43" s="24">
        <v>17</v>
      </c>
      <c r="H43" s="24">
        <v>31</v>
      </c>
      <c r="I43" s="24" t="s">
        <v>223</v>
      </c>
      <c r="J43" s="24" t="s">
        <v>223</v>
      </c>
      <c r="K43" s="24">
        <v>49</v>
      </c>
      <c r="L43" s="24" t="s">
        <v>223</v>
      </c>
      <c r="M43" s="24" t="s">
        <v>223</v>
      </c>
      <c r="N43" s="24">
        <v>144</v>
      </c>
      <c r="O43" s="24">
        <v>50</v>
      </c>
      <c r="P43" s="24" t="s">
        <v>223</v>
      </c>
      <c r="Q43" s="506">
        <v>338</v>
      </c>
      <c r="R43" s="43">
        <v>242</v>
      </c>
      <c r="S43" s="47"/>
      <c r="T43" s="47"/>
      <c r="U43" s="47"/>
      <c r="V43" s="47"/>
      <c r="W43" s="47"/>
      <c r="X43" s="43" t="s">
        <v>223</v>
      </c>
      <c r="Y43" s="43">
        <v>242</v>
      </c>
    </row>
    <row r="44" spans="1:25" ht="51">
      <c r="A44" s="506"/>
      <c r="B44" s="541"/>
      <c r="C44" s="19">
        <v>5300281</v>
      </c>
      <c r="D44" s="20" t="s">
        <v>485</v>
      </c>
      <c r="E44" s="24">
        <v>107</v>
      </c>
      <c r="F44" s="24">
        <v>113</v>
      </c>
      <c r="G44" s="24">
        <v>108</v>
      </c>
      <c r="H44" s="24">
        <v>116</v>
      </c>
      <c r="I44" s="24">
        <v>122</v>
      </c>
      <c r="J44" s="24">
        <v>121</v>
      </c>
      <c r="K44" s="24">
        <v>127</v>
      </c>
      <c r="L44" s="24">
        <v>134</v>
      </c>
      <c r="M44" s="24">
        <v>254</v>
      </c>
      <c r="N44" s="24">
        <v>637</v>
      </c>
      <c r="O44" s="24">
        <v>831</v>
      </c>
      <c r="P44" s="24">
        <v>465</v>
      </c>
      <c r="Q44" s="21">
        <v>3135</v>
      </c>
      <c r="R44" s="43">
        <v>2568</v>
      </c>
      <c r="S44" s="47">
        <v>162</v>
      </c>
      <c r="T44" s="47">
        <v>162</v>
      </c>
      <c r="U44" s="47">
        <v>162</v>
      </c>
      <c r="V44" s="47">
        <v>162</v>
      </c>
      <c r="W44" s="47">
        <v>162</v>
      </c>
      <c r="X44" s="43">
        <v>810</v>
      </c>
      <c r="Y44" s="43">
        <v>3378</v>
      </c>
    </row>
    <row r="45" spans="1:25" ht="76.5">
      <c r="A45" s="506"/>
      <c r="B45" s="541"/>
      <c r="C45" s="19">
        <v>5300999</v>
      </c>
      <c r="D45" s="20" t="s">
        <v>486</v>
      </c>
      <c r="E45" s="23">
        <v>-182550</v>
      </c>
      <c r="F45" s="23">
        <v>-172560</v>
      </c>
      <c r="G45" s="23">
        <v>-227319</v>
      </c>
      <c r="H45" s="23">
        <v>-219995</v>
      </c>
      <c r="I45" s="23">
        <v>-209835</v>
      </c>
      <c r="J45" s="23">
        <v>-241386</v>
      </c>
      <c r="K45" s="23">
        <v>-206200</v>
      </c>
      <c r="L45" s="23">
        <v>-166398</v>
      </c>
      <c r="M45" s="23">
        <v>-158205</v>
      </c>
      <c r="N45" s="23">
        <v>-154844</v>
      </c>
      <c r="O45" s="23">
        <v>-103006</v>
      </c>
      <c r="P45" s="23">
        <v>-130655</v>
      </c>
      <c r="Q45" s="21">
        <v>-2172954</v>
      </c>
      <c r="R45" s="43">
        <v>-1160695</v>
      </c>
      <c r="S45" s="47"/>
      <c r="T45" s="47"/>
      <c r="U45" s="47"/>
      <c r="V45" s="47"/>
      <c r="W45" s="47"/>
      <c r="X45" s="43" t="s">
        <v>223</v>
      </c>
      <c r="Y45" s="43">
        <v>-1160695</v>
      </c>
    </row>
    <row r="46" spans="1:25" ht="38.25">
      <c r="A46" s="506"/>
      <c r="B46" s="541"/>
      <c r="C46" s="19">
        <v>5301010</v>
      </c>
      <c r="D46" s="20" t="s">
        <v>487</v>
      </c>
      <c r="E46" s="23">
        <v>114986</v>
      </c>
      <c r="F46" s="23">
        <v>104410</v>
      </c>
      <c r="G46" s="23">
        <v>92070</v>
      </c>
      <c r="H46" s="23">
        <v>85504</v>
      </c>
      <c r="I46" s="23">
        <v>87176</v>
      </c>
      <c r="J46" s="23">
        <v>136151</v>
      </c>
      <c r="K46" s="23">
        <v>100773</v>
      </c>
      <c r="L46" s="23">
        <v>98288</v>
      </c>
      <c r="M46" s="23">
        <v>114761</v>
      </c>
      <c r="N46" s="23">
        <v>171972</v>
      </c>
      <c r="O46" s="23">
        <v>208418</v>
      </c>
      <c r="P46" s="23">
        <v>118989</v>
      </c>
      <c r="Q46" s="21">
        <v>1433497</v>
      </c>
      <c r="R46" s="43">
        <v>949351</v>
      </c>
      <c r="S46" s="47">
        <v>126005</v>
      </c>
      <c r="T46" s="47">
        <v>120741</v>
      </c>
      <c r="U46" s="47">
        <v>126005</v>
      </c>
      <c r="V46" s="47">
        <v>126005</v>
      </c>
      <c r="W46" s="47">
        <v>126005</v>
      </c>
      <c r="X46" s="43">
        <v>624761</v>
      </c>
      <c r="Y46" s="43">
        <v>1574112</v>
      </c>
    </row>
    <row r="47" spans="1:25" ht="51">
      <c r="A47" s="506"/>
      <c r="B47" s="541"/>
      <c r="C47" s="19">
        <v>5301011</v>
      </c>
      <c r="D47" s="20" t="s">
        <v>488</v>
      </c>
      <c r="E47" s="23">
        <v>1125</v>
      </c>
      <c r="F47" s="23">
        <v>1125</v>
      </c>
      <c r="G47" s="23">
        <v>1125</v>
      </c>
      <c r="H47" s="23">
        <v>1125</v>
      </c>
      <c r="I47" s="23">
        <v>1125</v>
      </c>
      <c r="J47" s="23">
        <v>1125</v>
      </c>
      <c r="K47" s="23">
        <v>1125</v>
      </c>
      <c r="L47" s="23">
        <v>1125</v>
      </c>
      <c r="M47" s="23">
        <v>1125</v>
      </c>
      <c r="N47" s="23">
        <v>1125</v>
      </c>
      <c r="O47" s="23">
        <v>1125</v>
      </c>
      <c r="P47" s="23">
        <v>1125</v>
      </c>
      <c r="Q47" s="21">
        <v>13500</v>
      </c>
      <c r="R47" s="43">
        <v>7875</v>
      </c>
      <c r="S47" s="47">
        <v>1229</v>
      </c>
      <c r="T47" s="47">
        <v>1229</v>
      </c>
      <c r="U47" s="47">
        <v>1229</v>
      </c>
      <c r="V47" s="47">
        <v>1229</v>
      </c>
      <c r="W47" s="47">
        <v>1229</v>
      </c>
      <c r="X47" s="43">
        <v>6145</v>
      </c>
      <c r="Y47" s="43">
        <v>14020</v>
      </c>
    </row>
    <row r="48" spans="1:25" ht="51">
      <c r="A48" s="506"/>
      <c r="B48" s="541"/>
      <c r="C48" s="19">
        <v>5301020</v>
      </c>
      <c r="D48" s="20" t="s">
        <v>489</v>
      </c>
      <c r="E48" s="23">
        <v>3257</v>
      </c>
      <c r="F48" s="24">
        <v>662</v>
      </c>
      <c r="G48" s="23">
        <v>2376</v>
      </c>
      <c r="H48" s="23">
        <v>3484</v>
      </c>
      <c r="I48" s="23">
        <v>6510</v>
      </c>
      <c r="J48" s="23">
        <v>2819</v>
      </c>
      <c r="K48" s="23">
        <v>5435</v>
      </c>
      <c r="L48" s="23">
        <v>2822</v>
      </c>
      <c r="M48" s="23">
        <v>1229</v>
      </c>
      <c r="N48" s="23">
        <v>12949</v>
      </c>
      <c r="O48" s="23">
        <v>8450</v>
      </c>
      <c r="P48" s="23">
        <v>9270</v>
      </c>
      <c r="Q48" s="21">
        <v>59264</v>
      </c>
      <c r="R48" s="43">
        <v>42975</v>
      </c>
      <c r="S48" s="47">
        <v>4200</v>
      </c>
      <c r="T48" s="47">
        <v>4031</v>
      </c>
      <c r="U48" s="47">
        <v>4200</v>
      </c>
      <c r="V48" s="47">
        <v>4200</v>
      </c>
      <c r="W48" s="47">
        <v>4200</v>
      </c>
      <c r="X48" s="43">
        <v>20831</v>
      </c>
      <c r="Y48" s="43">
        <v>63806</v>
      </c>
    </row>
    <row r="49" spans="1:25" ht="38.25">
      <c r="A49" s="506"/>
      <c r="B49" s="541"/>
      <c r="C49" s="19">
        <v>5301030</v>
      </c>
      <c r="D49" s="20" t="s">
        <v>490</v>
      </c>
      <c r="E49" s="23">
        <v>2336</v>
      </c>
      <c r="F49" s="24">
        <v>-173</v>
      </c>
      <c r="G49" s="23">
        <v>2649</v>
      </c>
      <c r="H49" s="24">
        <v>369</v>
      </c>
      <c r="I49" s="23">
        <v>1151</v>
      </c>
      <c r="J49" s="24">
        <v>-992</v>
      </c>
      <c r="K49" s="23">
        <v>3417</v>
      </c>
      <c r="L49" s="24">
        <v>-987</v>
      </c>
      <c r="M49" s="23">
        <v>2451</v>
      </c>
      <c r="N49" s="24">
        <v>444</v>
      </c>
      <c r="O49" s="24">
        <v>-847</v>
      </c>
      <c r="P49" s="23">
        <v>-1376</v>
      </c>
      <c r="Q49" s="21">
        <v>8441</v>
      </c>
      <c r="R49" s="43">
        <v>2110</v>
      </c>
      <c r="S49" s="47">
        <v>1526</v>
      </c>
      <c r="T49" s="47">
        <v>1457</v>
      </c>
      <c r="U49" s="47">
        <v>1526</v>
      </c>
      <c r="V49" s="47">
        <v>1526</v>
      </c>
      <c r="W49" s="47">
        <v>1526</v>
      </c>
      <c r="X49" s="43">
        <v>7561</v>
      </c>
      <c r="Y49" s="43">
        <v>9671</v>
      </c>
    </row>
    <row r="50" spans="1:25" ht="38.25">
      <c r="A50" s="506"/>
      <c r="B50" s="541"/>
      <c r="C50" s="19">
        <v>5301040</v>
      </c>
      <c r="D50" s="20" t="s">
        <v>491</v>
      </c>
      <c r="E50" s="23">
        <v>10081</v>
      </c>
      <c r="F50" s="24">
        <v>209</v>
      </c>
      <c r="G50" s="23">
        <v>10190</v>
      </c>
      <c r="H50" s="23">
        <v>5260</v>
      </c>
      <c r="I50" s="23">
        <v>5104</v>
      </c>
      <c r="J50" s="24">
        <v>305</v>
      </c>
      <c r="K50" s="23">
        <v>10059</v>
      </c>
      <c r="L50" s="24">
        <v>235</v>
      </c>
      <c r="M50" s="23">
        <v>9690</v>
      </c>
      <c r="N50" s="23">
        <v>5536</v>
      </c>
      <c r="O50" s="24">
        <v>252</v>
      </c>
      <c r="P50" s="24">
        <v>243</v>
      </c>
      <c r="Q50" s="21">
        <v>57164</v>
      </c>
      <c r="R50" s="43">
        <v>26319</v>
      </c>
      <c r="S50" s="47">
        <v>4951</v>
      </c>
      <c r="T50" s="47">
        <v>4725</v>
      </c>
      <c r="U50" s="47">
        <v>4951</v>
      </c>
      <c r="V50" s="47">
        <v>4951</v>
      </c>
      <c r="W50" s="47">
        <v>4951</v>
      </c>
      <c r="X50" s="43">
        <v>24529</v>
      </c>
      <c r="Y50" s="43">
        <v>50848</v>
      </c>
    </row>
    <row r="51" spans="1:25" ht="38.25">
      <c r="A51" s="506"/>
      <c r="B51" s="541"/>
      <c r="C51" s="19">
        <v>5301060</v>
      </c>
      <c r="D51" s="20" t="s">
        <v>492</v>
      </c>
      <c r="E51" s="24">
        <v>722</v>
      </c>
      <c r="F51" s="23">
        <v>1517</v>
      </c>
      <c r="G51" s="23">
        <v>1517</v>
      </c>
      <c r="H51" s="23">
        <v>1517</v>
      </c>
      <c r="I51" s="23">
        <v>1517</v>
      </c>
      <c r="J51" s="23">
        <v>1517</v>
      </c>
      <c r="K51" s="23">
        <v>1517</v>
      </c>
      <c r="L51" s="23">
        <v>1517</v>
      </c>
      <c r="M51" s="23">
        <v>2255</v>
      </c>
      <c r="N51" s="23">
        <v>1536</v>
      </c>
      <c r="O51" s="23">
        <v>1536</v>
      </c>
      <c r="P51" s="23">
        <v>-1338</v>
      </c>
      <c r="Q51" s="21">
        <v>15329</v>
      </c>
      <c r="R51" s="43">
        <v>8539</v>
      </c>
      <c r="S51" s="47">
        <v>1466</v>
      </c>
      <c r="T51" s="47">
        <v>1466</v>
      </c>
      <c r="U51" s="47">
        <v>1465</v>
      </c>
      <c r="V51" s="47">
        <v>1466</v>
      </c>
      <c r="W51" s="47">
        <v>1466</v>
      </c>
      <c r="X51" s="43">
        <v>7329</v>
      </c>
      <c r="Y51" s="43">
        <v>15868</v>
      </c>
    </row>
    <row r="52" spans="1:25" ht="38.25">
      <c r="A52" s="506"/>
      <c r="B52" s="541"/>
      <c r="C52" s="19">
        <v>5301070</v>
      </c>
      <c r="D52" s="20" t="s">
        <v>493</v>
      </c>
      <c r="E52" s="24"/>
      <c r="F52" s="24"/>
      <c r="G52" s="24"/>
      <c r="H52" s="24"/>
      <c r="I52" s="24"/>
      <c r="J52" s="24"/>
      <c r="K52" s="24"/>
      <c r="L52" s="24"/>
      <c r="M52" s="24"/>
      <c r="N52" s="24"/>
      <c r="O52" s="24"/>
      <c r="P52" s="24"/>
      <c r="Q52" s="506" t="s">
        <v>223</v>
      </c>
      <c r="R52" s="43" t="s">
        <v>223</v>
      </c>
      <c r="S52" s="47">
        <v>32</v>
      </c>
      <c r="T52" s="47">
        <v>33</v>
      </c>
      <c r="U52" s="47">
        <v>33</v>
      </c>
      <c r="V52" s="47">
        <v>33</v>
      </c>
      <c r="W52" s="47">
        <v>33</v>
      </c>
      <c r="X52" s="43">
        <v>164</v>
      </c>
      <c r="Y52" s="43">
        <v>164</v>
      </c>
    </row>
    <row r="53" spans="1:25" ht="63.75">
      <c r="A53" s="506"/>
      <c r="B53" s="541"/>
      <c r="C53" s="19">
        <v>5301080</v>
      </c>
      <c r="D53" s="20" t="s">
        <v>494</v>
      </c>
      <c r="E53" s="23">
        <v>38225</v>
      </c>
      <c r="F53" s="23">
        <v>56580</v>
      </c>
      <c r="G53" s="23">
        <v>105987</v>
      </c>
      <c r="H53" s="23">
        <v>73049</v>
      </c>
      <c r="I53" s="23">
        <v>73049</v>
      </c>
      <c r="J53" s="23">
        <v>73049</v>
      </c>
      <c r="K53" s="23">
        <v>73049</v>
      </c>
      <c r="L53" s="23">
        <v>73049</v>
      </c>
      <c r="M53" s="23">
        <v>72579</v>
      </c>
      <c r="N53" s="23">
        <v>72878</v>
      </c>
      <c r="O53" s="23">
        <v>72878</v>
      </c>
      <c r="P53" s="23">
        <v>-145755</v>
      </c>
      <c r="Q53" s="21">
        <v>638616</v>
      </c>
      <c r="R53" s="43">
        <v>291726</v>
      </c>
      <c r="S53" s="47">
        <v>42245</v>
      </c>
      <c r="T53" s="47">
        <v>42243</v>
      </c>
      <c r="U53" s="47">
        <v>42244</v>
      </c>
      <c r="V53" s="47">
        <v>42243</v>
      </c>
      <c r="W53" s="47">
        <v>42245</v>
      </c>
      <c r="X53" s="43">
        <v>211220</v>
      </c>
      <c r="Y53" s="43">
        <v>502946</v>
      </c>
    </row>
    <row r="54" spans="1:25" ht="51">
      <c r="A54" s="506"/>
      <c r="B54" s="541"/>
      <c r="C54" s="19">
        <v>5301090</v>
      </c>
      <c r="D54" s="20" t="s">
        <v>495</v>
      </c>
      <c r="E54" s="23">
        <v>11728</v>
      </c>
      <c r="F54" s="23">
        <v>1770</v>
      </c>
      <c r="G54" s="23">
        <v>180742</v>
      </c>
      <c r="H54" s="23">
        <v>3699</v>
      </c>
      <c r="I54" s="24">
        <v>20</v>
      </c>
      <c r="J54" s="23">
        <v>99848</v>
      </c>
      <c r="K54" s="23">
        <v>60105</v>
      </c>
      <c r="L54" s="23">
        <v>-25272</v>
      </c>
      <c r="M54" s="23">
        <v>138551</v>
      </c>
      <c r="N54" s="23">
        <v>-3105</v>
      </c>
      <c r="O54" s="24">
        <v>21</v>
      </c>
      <c r="P54" s="23">
        <v>43247</v>
      </c>
      <c r="Q54" s="21">
        <v>511355</v>
      </c>
      <c r="R54" s="43">
        <v>313395</v>
      </c>
      <c r="S54" s="47">
        <v>250</v>
      </c>
      <c r="T54" s="47">
        <v>250</v>
      </c>
      <c r="U54" s="47">
        <v>250</v>
      </c>
      <c r="V54" s="47">
        <v>250</v>
      </c>
      <c r="W54" s="47">
        <v>250</v>
      </c>
      <c r="X54" s="43">
        <v>1250</v>
      </c>
      <c r="Y54" s="43">
        <v>314645</v>
      </c>
    </row>
    <row r="55" spans="1:25" ht="38.25">
      <c r="A55" s="506"/>
      <c r="B55" s="541"/>
      <c r="C55" s="19">
        <v>5301110</v>
      </c>
      <c r="D55" s="20" t="s">
        <v>496</v>
      </c>
      <c r="E55" s="24">
        <v>-126</v>
      </c>
      <c r="F55" s="23">
        <v>18566</v>
      </c>
      <c r="G55" s="23">
        <v>-30841</v>
      </c>
      <c r="H55" s="23">
        <v>2097</v>
      </c>
      <c r="I55" s="23">
        <v>2097</v>
      </c>
      <c r="J55" s="23">
        <v>2097</v>
      </c>
      <c r="K55" s="23">
        <v>2097</v>
      </c>
      <c r="L55" s="23">
        <v>2097</v>
      </c>
      <c r="M55" s="23">
        <v>2097</v>
      </c>
      <c r="N55" s="23">
        <v>2249</v>
      </c>
      <c r="O55" s="23">
        <v>2249</v>
      </c>
      <c r="P55" s="23">
        <v>234036</v>
      </c>
      <c r="Q55" s="21">
        <v>238714</v>
      </c>
      <c r="R55" s="43">
        <v>246922</v>
      </c>
      <c r="S55" s="47">
        <v>34362</v>
      </c>
      <c r="T55" s="47">
        <v>34363</v>
      </c>
      <c r="U55" s="47">
        <v>34362</v>
      </c>
      <c r="V55" s="47">
        <v>34363</v>
      </c>
      <c r="W55" s="47">
        <v>34362</v>
      </c>
      <c r="X55" s="43">
        <v>171812</v>
      </c>
      <c r="Y55" s="43">
        <v>418734</v>
      </c>
    </row>
    <row r="56" spans="1:25" ht="38.25">
      <c r="A56" s="506"/>
      <c r="B56" s="541"/>
      <c r="C56" s="19">
        <v>5301130</v>
      </c>
      <c r="D56" s="20" t="s">
        <v>497</v>
      </c>
      <c r="E56" s="23">
        <v>48470</v>
      </c>
      <c r="F56" s="23">
        <v>28967</v>
      </c>
      <c r="G56" s="23">
        <v>30395</v>
      </c>
      <c r="H56" s="23">
        <v>135143</v>
      </c>
      <c r="I56" s="23">
        <v>45065</v>
      </c>
      <c r="J56" s="23">
        <v>39492</v>
      </c>
      <c r="K56" s="23">
        <v>-14491</v>
      </c>
      <c r="L56" s="23">
        <v>34510</v>
      </c>
      <c r="M56" s="23">
        <v>37959</v>
      </c>
      <c r="N56" s="23">
        <v>34220</v>
      </c>
      <c r="O56" s="23">
        <v>32570</v>
      </c>
      <c r="P56" s="23">
        <v>36716</v>
      </c>
      <c r="Q56" s="21">
        <v>489017</v>
      </c>
      <c r="R56" s="43">
        <v>200975</v>
      </c>
      <c r="S56" s="47">
        <v>41138</v>
      </c>
      <c r="T56" s="47">
        <v>39269</v>
      </c>
      <c r="U56" s="47">
        <v>41138</v>
      </c>
      <c r="V56" s="47">
        <v>41138</v>
      </c>
      <c r="W56" s="47">
        <v>41138</v>
      </c>
      <c r="X56" s="43">
        <v>203821</v>
      </c>
      <c r="Y56" s="43">
        <v>404796</v>
      </c>
    </row>
    <row r="57" spans="1:25" ht="63.75">
      <c r="A57" s="506"/>
      <c r="B57" s="541"/>
      <c r="C57" s="19">
        <v>5301192</v>
      </c>
      <c r="D57" s="20" t="s">
        <v>498</v>
      </c>
      <c r="E57" s="23">
        <v>5703</v>
      </c>
      <c r="F57" s="23">
        <v>4716</v>
      </c>
      <c r="G57" s="23">
        <v>6488</v>
      </c>
      <c r="H57" s="23">
        <v>5728</v>
      </c>
      <c r="I57" s="23">
        <v>5615</v>
      </c>
      <c r="J57" s="23">
        <v>4551</v>
      </c>
      <c r="K57" s="23">
        <v>4251</v>
      </c>
      <c r="L57" s="23">
        <v>3603</v>
      </c>
      <c r="M57" s="23">
        <v>3442</v>
      </c>
      <c r="N57" s="23">
        <v>7035</v>
      </c>
      <c r="O57" s="23">
        <v>7626</v>
      </c>
      <c r="P57" s="23">
        <v>4948</v>
      </c>
      <c r="Q57" s="21">
        <v>63706</v>
      </c>
      <c r="R57" s="43">
        <v>35457</v>
      </c>
      <c r="S57" s="47">
        <v>6023</v>
      </c>
      <c r="T57" s="47">
        <v>5995</v>
      </c>
      <c r="U57" s="47">
        <v>5974</v>
      </c>
      <c r="V57" s="47">
        <v>5968</v>
      </c>
      <c r="W57" s="47">
        <v>5998</v>
      </c>
      <c r="X57" s="43">
        <v>29958</v>
      </c>
      <c r="Y57" s="43">
        <v>65415</v>
      </c>
    </row>
    <row r="58" spans="1:25" ht="63.75">
      <c r="A58" s="506"/>
      <c r="B58" s="541"/>
      <c r="C58" s="19">
        <v>5301990</v>
      </c>
      <c r="D58" s="20" t="s">
        <v>499</v>
      </c>
      <c r="E58" s="24" t="s">
        <v>223</v>
      </c>
      <c r="F58" s="24" t="s">
        <v>223</v>
      </c>
      <c r="G58" s="24" t="s">
        <v>223</v>
      </c>
      <c r="H58" s="24" t="s">
        <v>223</v>
      </c>
      <c r="I58" s="24" t="s">
        <v>223</v>
      </c>
      <c r="J58" s="24">
        <v>145</v>
      </c>
      <c r="K58" s="24" t="s">
        <v>223</v>
      </c>
      <c r="L58" s="24" t="s">
        <v>223</v>
      </c>
      <c r="M58" s="24" t="s">
        <v>223</v>
      </c>
      <c r="N58" s="24" t="s">
        <v>223</v>
      </c>
      <c r="O58" s="24">
        <v>861</v>
      </c>
      <c r="P58" s="24" t="s">
        <v>223</v>
      </c>
      <c r="Q58" s="21">
        <v>1006</v>
      </c>
      <c r="R58" s="43">
        <v>1006</v>
      </c>
      <c r="S58" s="47">
        <v>39169</v>
      </c>
      <c r="T58" s="47">
        <v>33868</v>
      </c>
      <c r="U58" s="47">
        <v>39169</v>
      </c>
      <c r="V58" s="47">
        <v>39169</v>
      </c>
      <c r="W58" s="47">
        <v>39169</v>
      </c>
      <c r="X58" s="43">
        <v>190544</v>
      </c>
      <c r="Y58" s="43">
        <v>191550</v>
      </c>
    </row>
    <row r="59" spans="1:25" ht="63.75">
      <c r="A59" s="506"/>
      <c r="B59" s="541"/>
      <c r="C59" s="19">
        <v>5301991</v>
      </c>
      <c r="D59" s="20" t="s">
        <v>500</v>
      </c>
      <c r="E59" s="23">
        <v>3394</v>
      </c>
      <c r="F59" s="23">
        <v>3055</v>
      </c>
      <c r="G59" s="23">
        <v>4561</v>
      </c>
      <c r="H59" s="23">
        <v>5931</v>
      </c>
      <c r="I59" s="23">
        <v>5071</v>
      </c>
      <c r="J59" s="23">
        <v>3334</v>
      </c>
      <c r="K59" s="23">
        <v>2755</v>
      </c>
      <c r="L59" s="23">
        <v>2260</v>
      </c>
      <c r="M59" s="23">
        <v>2671</v>
      </c>
      <c r="N59" s="23">
        <v>4542</v>
      </c>
      <c r="O59" s="23">
        <v>4573</v>
      </c>
      <c r="P59" s="23">
        <v>2350</v>
      </c>
      <c r="Q59" s="21">
        <v>44497</v>
      </c>
      <c r="R59" s="43">
        <v>22484</v>
      </c>
      <c r="S59" s="47">
        <v>3963</v>
      </c>
      <c r="T59" s="47">
        <v>3783</v>
      </c>
      <c r="U59" s="47">
        <v>3963</v>
      </c>
      <c r="V59" s="47">
        <v>3964</v>
      </c>
      <c r="W59" s="47">
        <v>3965</v>
      </c>
      <c r="X59" s="43">
        <v>19638</v>
      </c>
      <c r="Y59" s="43">
        <v>42122</v>
      </c>
    </row>
    <row r="60" spans="1:25" ht="25.5">
      <c r="A60" s="506"/>
      <c r="B60" s="541"/>
      <c r="C60" s="19">
        <v>5302010</v>
      </c>
      <c r="D60" s="20" t="s">
        <v>501</v>
      </c>
      <c r="E60" s="24">
        <v>698</v>
      </c>
      <c r="F60" s="24">
        <v>86</v>
      </c>
      <c r="G60" s="24">
        <v>204</v>
      </c>
      <c r="H60" s="24">
        <v>923</v>
      </c>
      <c r="I60" s="24">
        <v>351</v>
      </c>
      <c r="J60" s="24">
        <v>556</v>
      </c>
      <c r="K60" s="23">
        <v>2595</v>
      </c>
      <c r="L60" s="24">
        <v>237</v>
      </c>
      <c r="M60" s="24">
        <v>505</v>
      </c>
      <c r="N60" s="24">
        <v>437</v>
      </c>
      <c r="O60" s="24">
        <v>303</v>
      </c>
      <c r="P60" s="24">
        <v>9</v>
      </c>
      <c r="Q60" s="21">
        <v>6903</v>
      </c>
      <c r="R60" s="43">
        <v>4641</v>
      </c>
      <c r="S60" s="47">
        <v>6098</v>
      </c>
      <c r="T60" s="47">
        <v>6094</v>
      </c>
      <c r="U60" s="47">
        <v>6108</v>
      </c>
      <c r="V60" s="47">
        <v>6096</v>
      </c>
      <c r="W60" s="47">
        <v>6113</v>
      </c>
      <c r="X60" s="43">
        <v>30509</v>
      </c>
      <c r="Y60" s="43">
        <v>35150</v>
      </c>
    </row>
    <row r="61" spans="1:25" ht="51">
      <c r="A61" s="506"/>
      <c r="B61" s="541"/>
      <c r="C61" s="19">
        <v>5302015</v>
      </c>
      <c r="D61" s="20" t="s">
        <v>502</v>
      </c>
      <c r="E61" s="24">
        <v>817</v>
      </c>
      <c r="F61" s="24">
        <v>217</v>
      </c>
      <c r="G61" s="24">
        <v>68</v>
      </c>
      <c r="H61" s="24">
        <v>377</v>
      </c>
      <c r="I61" s="24">
        <v>116</v>
      </c>
      <c r="J61" s="24">
        <v>280</v>
      </c>
      <c r="K61" s="23">
        <v>1557</v>
      </c>
      <c r="L61" s="24">
        <v>400</v>
      </c>
      <c r="M61" s="24">
        <v>41</v>
      </c>
      <c r="N61" s="24">
        <v>124</v>
      </c>
      <c r="O61" s="24">
        <v>411</v>
      </c>
      <c r="P61" s="24">
        <v>329</v>
      </c>
      <c r="Q61" s="21">
        <v>4737</v>
      </c>
      <c r="R61" s="43">
        <v>3143</v>
      </c>
      <c r="S61" s="47">
        <v>26</v>
      </c>
      <c r="T61" s="47">
        <v>26</v>
      </c>
      <c r="U61" s="47">
        <v>29</v>
      </c>
      <c r="V61" s="47">
        <v>29</v>
      </c>
      <c r="W61" s="47">
        <v>29</v>
      </c>
      <c r="X61" s="43">
        <v>139</v>
      </c>
      <c r="Y61" s="43">
        <v>3282</v>
      </c>
    </row>
    <row r="62" spans="1:25" ht="25.5">
      <c r="A62" s="506"/>
      <c r="B62" s="541"/>
      <c r="C62" s="19">
        <v>5302020</v>
      </c>
      <c r="D62" s="20" t="s">
        <v>503</v>
      </c>
      <c r="E62" s="24" t="s">
        <v>223</v>
      </c>
      <c r="F62" s="24" t="s">
        <v>223</v>
      </c>
      <c r="G62" s="24" t="s">
        <v>223</v>
      </c>
      <c r="H62" s="24" t="s">
        <v>223</v>
      </c>
      <c r="I62" s="24" t="s">
        <v>223</v>
      </c>
      <c r="J62" s="24" t="s">
        <v>223</v>
      </c>
      <c r="K62" s="24">
        <v>318</v>
      </c>
      <c r="L62" s="24" t="s">
        <v>223</v>
      </c>
      <c r="M62" s="24" t="s">
        <v>223</v>
      </c>
      <c r="N62" s="24" t="s">
        <v>223</v>
      </c>
      <c r="O62" s="24">
        <v>0</v>
      </c>
      <c r="P62" s="24" t="s">
        <v>223</v>
      </c>
      <c r="Q62" s="506">
        <v>318</v>
      </c>
      <c r="R62" s="43">
        <v>318</v>
      </c>
      <c r="S62" s="47">
        <v>1061</v>
      </c>
      <c r="T62" s="47">
        <v>963</v>
      </c>
      <c r="U62" s="47">
        <v>974</v>
      </c>
      <c r="V62" s="47">
        <v>963</v>
      </c>
      <c r="W62" s="47">
        <v>1164</v>
      </c>
      <c r="X62" s="43">
        <v>5125</v>
      </c>
      <c r="Y62" s="43">
        <v>5443</v>
      </c>
    </row>
    <row r="63" spans="1:25" ht="51">
      <c r="A63" s="506"/>
      <c r="B63" s="541"/>
      <c r="C63" s="19">
        <v>5302021</v>
      </c>
      <c r="D63" s="20" t="s">
        <v>504</v>
      </c>
      <c r="E63" s="24">
        <v>122</v>
      </c>
      <c r="F63" s="24" t="s">
        <v>223</v>
      </c>
      <c r="G63" s="24">
        <v>27</v>
      </c>
      <c r="H63" s="24" t="s">
        <v>223</v>
      </c>
      <c r="I63" s="24">
        <v>60</v>
      </c>
      <c r="J63" s="24" t="s">
        <v>223</v>
      </c>
      <c r="K63" s="24">
        <v>149</v>
      </c>
      <c r="L63" s="24" t="s">
        <v>223</v>
      </c>
      <c r="M63" s="24" t="s">
        <v>223</v>
      </c>
      <c r="N63" s="24" t="s">
        <v>223</v>
      </c>
      <c r="O63" s="24">
        <v>42</v>
      </c>
      <c r="P63" s="24" t="s">
        <v>223</v>
      </c>
      <c r="Q63" s="506">
        <v>400</v>
      </c>
      <c r="R63" s="43">
        <v>191</v>
      </c>
      <c r="S63" s="47">
        <v>1012</v>
      </c>
      <c r="T63" s="47">
        <v>1012</v>
      </c>
      <c r="U63" s="47">
        <v>1021</v>
      </c>
      <c r="V63" s="47">
        <v>1021</v>
      </c>
      <c r="W63" s="47">
        <v>1012</v>
      </c>
      <c r="X63" s="43">
        <v>5078</v>
      </c>
      <c r="Y63" s="43">
        <v>5269</v>
      </c>
    </row>
    <row r="64" spans="1:25" ht="51">
      <c r="A64" s="506"/>
      <c r="B64" s="541"/>
      <c r="C64" s="19">
        <v>5302091</v>
      </c>
      <c r="D64" s="20" t="s">
        <v>505</v>
      </c>
      <c r="E64" s="24">
        <v>102</v>
      </c>
      <c r="F64" s="24">
        <v>7</v>
      </c>
      <c r="G64" s="24">
        <v>7</v>
      </c>
      <c r="H64" s="24">
        <v>22</v>
      </c>
      <c r="I64" s="24">
        <v>9</v>
      </c>
      <c r="J64" s="24">
        <v>26</v>
      </c>
      <c r="K64" s="24">
        <v>24</v>
      </c>
      <c r="L64" s="24">
        <v>13</v>
      </c>
      <c r="M64" s="24">
        <v>13</v>
      </c>
      <c r="N64" s="24">
        <v>18</v>
      </c>
      <c r="O64" s="24">
        <v>530</v>
      </c>
      <c r="P64" s="24">
        <v>23</v>
      </c>
      <c r="Q64" s="506">
        <v>794</v>
      </c>
      <c r="R64" s="43">
        <v>647</v>
      </c>
      <c r="S64" s="47">
        <v>51</v>
      </c>
      <c r="T64" s="47">
        <v>33</v>
      </c>
      <c r="U64" s="47">
        <v>50</v>
      </c>
      <c r="V64" s="47">
        <v>36</v>
      </c>
      <c r="W64" s="47">
        <v>33</v>
      </c>
      <c r="X64" s="43">
        <v>203</v>
      </c>
      <c r="Y64" s="43">
        <v>850</v>
      </c>
    </row>
    <row r="65" spans="1:25" ht="25.5">
      <c r="A65" s="506"/>
      <c r="B65" s="541"/>
      <c r="C65" s="19">
        <v>5302110</v>
      </c>
      <c r="D65" s="20" t="s">
        <v>506</v>
      </c>
      <c r="E65" s="24" t="s">
        <v>223</v>
      </c>
      <c r="F65" s="24" t="s">
        <v>223</v>
      </c>
      <c r="G65" s="24" t="s">
        <v>223</v>
      </c>
      <c r="H65" s="24" t="s">
        <v>223</v>
      </c>
      <c r="I65" s="24" t="s">
        <v>223</v>
      </c>
      <c r="J65" s="24">
        <v>35</v>
      </c>
      <c r="K65" s="24" t="s">
        <v>223</v>
      </c>
      <c r="L65" s="24" t="s">
        <v>223</v>
      </c>
      <c r="M65" s="24" t="s">
        <v>223</v>
      </c>
      <c r="N65" s="24" t="s">
        <v>223</v>
      </c>
      <c r="O65" s="24" t="s">
        <v>223</v>
      </c>
      <c r="P65" s="23">
        <v>1461</v>
      </c>
      <c r="Q65" s="21">
        <v>1496</v>
      </c>
      <c r="R65" s="43">
        <v>1496</v>
      </c>
      <c r="S65" s="47">
        <v>83</v>
      </c>
      <c r="T65" s="47">
        <v>83</v>
      </c>
      <c r="U65" s="47">
        <v>83</v>
      </c>
      <c r="V65" s="47">
        <v>83</v>
      </c>
      <c r="W65" s="47">
        <v>83</v>
      </c>
      <c r="X65" s="43">
        <v>415</v>
      </c>
      <c r="Y65" s="43">
        <v>1911</v>
      </c>
    </row>
    <row r="66" spans="1:25" ht="38.25">
      <c r="A66" s="506"/>
      <c r="B66" s="541"/>
      <c r="C66" s="19">
        <v>5302920</v>
      </c>
      <c r="D66" s="20" t="s">
        <v>507</v>
      </c>
      <c r="E66" s="24"/>
      <c r="F66" s="24"/>
      <c r="G66" s="24"/>
      <c r="H66" s="24"/>
      <c r="I66" s="24"/>
      <c r="J66" s="24"/>
      <c r="K66" s="24"/>
      <c r="L66" s="24"/>
      <c r="M66" s="24"/>
      <c r="N66" s="24"/>
      <c r="O66" s="24"/>
      <c r="P66" s="24"/>
      <c r="Q66" s="506" t="s">
        <v>223</v>
      </c>
      <c r="R66" s="43" t="s">
        <v>223</v>
      </c>
      <c r="S66" s="47">
        <v>44</v>
      </c>
      <c r="T66" s="47">
        <v>44</v>
      </c>
      <c r="U66" s="47">
        <v>44</v>
      </c>
      <c r="V66" s="47">
        <v>44</v>
      </c>
      <c r="W66" s="47">
        <v>44</v>
      </c>
      <c r="X66" s="43">
        <v>220</v>
      </c>
      <c r="Y66" s="43">
        <v>220</v>
      </c>
    </row>
    <row r="67" spans="1:25" ht="38.25">
      <c r="A67" s="506"/>
      <c r="B67" s="541"/>
      <c r="C67" s="19">
        <v>5302930</v>
      </c>
      <c r="D67" s="20" t="s">
        <v>508</v>
      </c>
      <c r="E67" s="24">
        <v>150</v>
      </c>
      <c r="F67" s="24">
        <v>171</v>
      </c>
      <c r="G67" s="24" t="s">
        <v>223</v>
      </c>
      <c r="H67" s="24">
        <v>570</v>
      </c>
      <c r="I67" s="24">
        <v>169</v>
      </c>
      <c r="J67" s="24" t="s">
        <v>223</v>
      </c>
      <c r="K67" s="24">
        <v>333</v>
      </c>
      <c r="L67" s="24">
        <v>179</v>
      </c>
      <c r="M67" s="23">
        <v>9473</v>
      </c>
      <c r="N67" s="23">
        <v>3543</v>
      </c>
      <c r="O67" s="24">
        <v>741</v>
      </c>
      <c r="P67" s="24">
        <v>136</v>
      </c>
      <c r="Q67" s="21">
        <v>15464</v>
      </c>
      <c r="R67" s="43">
        <v>14404</v>
      </c>
      <c r="S67" s="47">
        <v>890</v>
      </c>
      <c r="T67" s="47">
        <v>1385</v>
      </c>
      <c r="U67" s="47">
        <v>899</v>
      </c>
      <c r="V67" s="47">
        <v>885</v>
      </c>
      <c r="W67" s="47">
        <v>890</v>
      </c>
      <c r="X67" s="43">
        <v>4949</v>
      </c>
      <c r="Y67" s="43">
        <v>19353</v>
      </c>
    </row>
    <row r="68" spans="1:25" ht="38.25">
      <c r="A68" s="506"/>
      <c r="B68" s="541"/>
      <c r="C68" s="19">
        <v>5302940</v>
      </c>
      <c r="D68" s="20" t="s">
        <v>509</v>
      </c>
      <c r="E68" s="23">
        <v>1269</v>
      </c>
      <c r="F68" s="24">
        <v>706</v>
      </c>
      <c r="G68" s="24">
        <v>442</v>
      </c>
      <c r="H68" s="24">
        <v>341</v>
      </c>
      <c r="I68" s="24">
        <v>842</v>
      </c>
      <c r="J68" s="24">
        <v>261</v>
      </c>
      <c r="K68" s="24">
        <v>324</v>
      </c>
      <c r="L68" s="23">
        <v>2903</v>
      </c>
      <c r="M68" s="24">
        <v>931</v>
      </c>
      <c r="N68" s="24">
        <v>305</v>
      </c>
      <c r="O68" s="24">
        <v>261</v>
      </c>
      <c r="P68" s="23">
        <v>1960</v>
      </c>
      <c r="Q68" s="21">
        <v>10543</v>
      </c>
      <c r="R68" s="43">
        <v>6944</v>
      </c>
      <c r="S68" s="47">
        <v>700</v>
      </c>
      <c r="T68" s="47">
        <v>900</v>
      </c>
      <c r="U68" s="47">
        <v>1210</v>
      </c>
      <c r="V68" s="47">
        <v>1400</v>
      </c>
      <c r="W68" s="47">
        <v>710</v>
      </c>
      <c r="X68" s="43">
        <v>4920</v>
      </c>
      <c r="Y68" s="43">
        <v>11864</v>
      </c>
    </row>
    <row r="69" spans="1:25" ht="51">
      <c r="A69" s="506"/>
      <c r="B69" s="541"/>
      <c r="C69" s="19">
        <v>5302990</v>
      </c>
      <c r="D69" s="20" t="s">
        <v>510</v>
      </c>
      <c r="E69" s="24">
        <v>997</v>
      </c>
      <c r="F69" s="24">
        <v>201</v>
      </c>
      <c r="G69" s="24">
        <v>257</v>
      </c>
      <c r="H69" s="24">
        <v>154</v>
      </c>
      <c r="I69" s="24">
        <v>137</v>
      </c>
      <c r="J69" s="24">
        <v>104</v>
      </c>
      <c r="K69" s="24">
        <v>274</v>
      </c>
      <c r="L69" s="24">
        <v>115</v>
      </c>
      <c r="M69" s="24">
        <v>121</v>
      </c>
      <c r="N69" s="24" t="s">
        <v>223</v>
      </c>
      <c r="O69" s="24">
        <v>98</v>
      </c>
      <c r="P69" s="24">
        <v>27</v>
      </c>
      <c r="Q69" s="21">
        <v>2484</v>
      </c>
      <c r="R69" s="43">
        <v>738</v>
      </c>
      <c r="S69" s="47">
        <v>483</v>
      </c>
      <c r="T69" s="47">
        <v>483</v>
      </c>
      <c r="U69" s="47">
        <v>485</v>
      </c>
      <c r="V69" s="47">
        <v>732</v>
      </c>
      <c r="W69" s="47">
        <v>485</v>
      </c>
      <c r="X69" s="43">
        <v>2668</v>
      </c>
      <c r="Y69" s="43">
        <v>3406</v>
      </c>
    </row>
    <row r="70" spans="1:25" ht="63.75">
      <c r="A70" s="506"/>
      <c r="B70" s="541"/>
      <c r="C70" s="19">
        <v>5302991</v>
      </c>
      <c r="D70" s="20" t="s">
        <v>511</v>
      </c>
      <c r="E70" s="24">
        <v>217</v>
      </c>
      <c r="F70" s="24">
        <v>37</v>
      </c>
      <c r="G70" s="24">
        <v>56</v>
      </c>
      <c r="H70" s="24">
        <v>61</v>
      </c>
      <c r="I70" s="24">
        <v>115</v>
      </c>
      <c r="J70" s="24">
        <v>79</v>
      </c>
      <c r="K70" s="24">
        <v>416</v>
      </c>
      <c r="L70" s="24">
        <v>82</v>
      </c>
      <c r="M70" s="24">
        <v>99</v>
      </c>
      <c r="N70" s="24">
        <v>135</v>
      </c>
      <c r="O70" s="24">
        <v>98</v>
      </c>
      <c r="P70" s="24">
        <v>356</v>
      </c>
      <c r="Q70" s="21">
        <v>1751</v>
      </c>
      <c r="R70" s="43">
        <v>1265</v>
      </c>
      <c r="S70" s="47">
        <v>90</v>
      </c>
      <c r="T70" s="47">
        <v>90</v>
      </c>
      <c r="U70" s="47">
        <v>90</v>
      </c>
      <c r="V70" s="47">
        <v>90</v>
      </c>
      <c r="W70" s="47">
        <v>90</v>
      </c>
      <c r="X70" s="43">
        <v>450</v>
      </c>
      <c r="Y70" s="43">
        <v>1715</v>
      </c>
    </row>
    <row r="71" spans="1:25" ht="38.25">
      <c r="A71" s="506"/>
      <c r="B71" s="541"/>
      <c r="C71" s="19">
        <v>5303010</v>
      </c>
      <c r="D71" s="20" t="s">
        <v>512</v>
      </c>
      <c r="E71" s="24" t="s">
        <v>223</v>
      </c>
      <c r="F71" s="24" t="s">
        <v>223</v>
      </c>
      <c r="G71" s="24" t="s">
        <v>223</v>
      </c>
      <c r="H71" s="24">
        <v>944</v>
      </c>
      <c r="I71" s="24" t="s">
        <v>223</v>
      </c>
      <c r="J71" s="24" t="s">
        <v>223</v>
      </c>
      <c r="K71" s="24" t="s">
        <v>223</v>
      </c>
      <c r="L71" s="24" t="s">
        <v>223</v>
      </c>
      <c r="M71" s="24" t="s">
        <v>223</v>
      </c>
      <c r="N71" s="23">
        <v>3390</v>
      </c>
      <c r="O71" s="23">
        <v>7417</v>
      </c>
      <c r="P71" s="24" t="s">
        <v>223</v>
      </c>
      <c r="Q71" s="21">
        <v>11752</v>
      </c>
      <c r="R71" s="43">
        <v>10807</v>
      </c>
      <c r="S71" s="47">
        <v>1800</v>
      </c>
      <c r="T71" s="47">
        <v>1800</v>
      </c>
      <c r="U71" s="47">
        <v>1800</v>
      </c>
      <c r="V71" s="47">
        <v>1800</v>
      </c>
      <c r="W71" s="47">
        <v>1800</v>
      </c>
      <c r="X71" s="43">
        <v>9000</v>
      </c>
      <c r="Y71" s="43">
        <v>19807</v>
      </c>
    </row>
    <row r="72" spans="1:25" ht="25.5">
      <c r="A72" s="506"/>
      <c r="B72" s="541"/>
      <c r="C72" s="19">
        <v>5303020</v>
      </c>
      <c r="D72" s="20" t="s">
        <v>513</v>
      </c>
      <c r="E72" s="24" t="s">
        <v>223</v>
      </c>
      <c r="F72" s="24" t="s">
        <v>223</v>
      </c>
      <c r="G72" s="24" t="s">
        <v>223</v>
      </c>
      <c r="H72" s="24" t="s">
        <v>223</v>
      </c>
      <c r="I72" s="24" t="s">
        <v>223</v>
      </c>
      <c r="J72" s="24" t="s">
        <v>223</v>
      </c>
      <c r="K72" s="24" t="s">
        <v>223</v>
      </c>
      <c r="L72" s="24" t="s">
        <v>223</v>
      </c>
      <c r="M72" s="24" t="s">
        <v>223</v>
      </c>
      <c r="N72" s="24" t="s">
        <v>223</v>
      </c>
      <c r="O72" s="24" t="s">
        <v>223</v>
      </c>
      <c r="P72" s="23">
        <v>4463</v>
      </c>
      <c r="Q72" s="21">
        <v>4463</v>
      </c>
      <c r="R72" s="43">
        <v>4463</v>
      </c>
      <c r="S72" s="47">
        <v>680</v>
      </c>
      <c r="T72" s="47">
        <v>680</v>
      </c>
      <c r="U72" s="47">
        <v>680</v>
      </c>
      <c r="V72" s="47">
        <v>680</v>
      </c>
      <c r="W72" s="47">
        <v>680</v>
      </c>
      <c r="X72" s="43">
        <v>3400</v>
      </c>
      <c r="Y72" s="43">
        <v>7863</v>
      </c>
    </row>
    <row r="73" spans="1:25" ht="25.5">
      <c r="A73" s="506"/>
      <c r="B73" s="541"/>
      <c r="C73" s="19">
        <v>5303030</v>
      </c>
      <c r="D73" s="20" t="s">
        <v>514</v>
      </c>
      <c r="E73" s="23">
        <v>719928</v>
      </c>
      <c r="F73" s="23">
        <v>434099</v>
      </c>
      <c r="G73" s="23">
        <v>486389</v>
      </c>
      <c r="H73" s="23">
        <v>546516</v>
      </c>
      <c r="I73" s="23">
        <v>433181</v>
      </c>
      <c r="J73" s="23">
        <v>433954</v>
      </c>
      <c r="K73" s="23">
        <v>527506</v>
      </c>
      <c r="L73" s="23">
        <v>443640</v>
      </c>
      <c r="M73" s="23">
        <v>290454</v>
      </c>
      <c r="N73" s="23">
        <v>-109053</v>
      </c>
      <c r="O73" s="23">
        <v>45912</v>
      </c>
      <c r="P73" s="23">
        <v>88933</v>
      </c>
      <c r="Q73" s="21">
        <v>4341460</v>
      </c>
      <c r="R73" s="43">
        <v>1721347</v>
      </c>
      <c r="S73" s="47">
        <v>5464</v>
      </c>
      <c r="T73" s="47">
        <v>5560</v>
      </c>
      <c r="U73" s="47">
        <v>5800</v>
      </c>
      <c r="V73" s="47">
        <v>5459</v>
      </c>
      <c r="W73" s="47">
        <v>5465</v>
      </c>
      <c r="X73" s="43">
        <v>27748</v>
      </c>
      <c r="Y73" s="43">
        <v>1749095</v>
      </c>
    </row>
    <row r="74" spans="1:25" ht="38.25">
      <c r="A74" s="506"/>
      <c r="B74" s="541"/>
      <c r="C74" s="19">
        <v>5303035</v>
      </c>
      <c r="D74" s="20" t="s">
        <v>515</v>
      </c>
      <c r="E74" s="23">
        <v>6147</v>
      </c>
      <c r="F74" s="24" t="s">
        <v>223</v>
      </c>
      <c r="G74" s="23">
        <v>5987</v>
      </c>
      <c r="H74" s="24" t="s">
        <v>223</v>
      </c>
      <c r="I74" s="24" t="s">
        <v>223</v>
      </c>
      <c r="J74" s="24" t="s">
        <v>223</v>
      </c>
      <c r="K74" s="23">
        <v>2353</v>
      </c>
      <c r="L74" s="24" t="s">
        <v>223</v>
      </c>
      <c r="M74" s="24" t="s">
        <v>223</v>
      </c>
      <c r="N74" s="24" t="s">
        <v>223</v>
      </c>
      <c r="O74" s="24" t="s">
        <v>223</v>
      </c>
      <c r="P74" s="24">
        <v>810</v>
      </c>
      <c r="Q74" s="21">
        <v>15296</v>
      </c>
      <c r="R74" s="43">
        <v>3163</v>
      </c>
      <c r="S74" s="47">
        <v>430</v>
      </c>
      <c r="T74" s="47">
        <v>430</v>
      </c>
      <c r="U74" s="47">
        <v>430</v>
      </c>
      <c r="V74" s="47">
        <v>430</v>
      </c>
      <c r="W74" s="47">
        <v>430</v>
      </c>
      <c r="X74" s="43">
        <v>2150</v>
      </c>
      <c r="Y74" s="43">
        <v>5313</v>
      </c>
    </row>
    <row r="75" spans="1:25" ht="25.5">
      <c r="A75" s="506"/>
      <c r="B75" s="541"/>
      <c r="C75" s="19">
        <v>5303040</v>
      </c>
      <c r="D75" s="20" t="s">
        <v>516</v>
      </c>
      <c r="E75" s="24">
        <v>64</v>
      </c>
      <c r="F75" s="24">
        <v>30</v>
      </c>
      <c r="G75" s="24">
        <v>30</v>
      </c>
      <c r="H75" s="24">
        <v>30</v>
      </c>
      <c r="I75" s="24">
        <v>30</v>
      </c>
      <c r="J75" s="24">
        <v>30</v>
      </c>
      <c r="K75" s="24">
        <v>30</v>
      </c>
      <c r="L75" s="24">
        <v>30</v>
      </c>
      <c r="M75" s="24">
        <v>30</v>
      </c>
      <c r="N75" s="24">
        <v>30</v>
      </c>
      <c r="O75" s="24">
        <v>30</v>
      </c>
      <c r="P75" s="24">
        <v>30</v>
      </c>
      <c r="Q75" s="506">
        <v>394</v>
      </c>
      <c r="R75" s="43">
        <v>210</v>
      </c>
      <c r="S75" s="47">
        <v>60</v>
      </c>
      <c r="T75" s="47">
        <v>60</v>
      </c>
      <c r="U75" s="47">
        <v>60</v>
      </c>
      <c r="V75" s="47">
        <v>60</v>
      </c>
      <c r="W75" s="47">
        <v>60</v>
      </c>
      <c r="X75" s="43">
        <v>300</v>
      </c>
      <c r="Y75" s="43">
        <v>510</v>
      </c>
    </row>
    <row r="76" spans="1:25" ht="51">
      <c r="A76" s="506"/>
      <c r="B76" s="541"/>
      <c r="C76" s="19">
        <v>5303110</v>
      </c>
      <c r="D76" s="20" t="s">
        <v>517</v>
      </c>
      <c r="E76" s="23">
        <v>4204</v>
      </c>
      <c r="F76" s="24">
        <v>576</v>
      </c>
      <c r="G76" s="24">
        <v>373</v>
      </c>
      <c r="H76" s="23">
        <v>2064</v>
      </c>
      <c r="I76" s="24">
        <v>533</v>
      </c>
      <c r="J76" s="24">
        <v>570</v>
      </c>
      <c r="K76" s="23">
        <v>3297</v>
      </c>
      <c r="L76" s="23">
        <v>1270</v>
      </c>
      <c r="M76" s="23">
        <v>1214</v>
      </c>
      <c r="N76" s="23">
        <v>4605</v>
      </c>
      <c r="O76" s="24">
        <v>353</v>
      </c>
      <c r="P76" s="23">
        <v>1576</v>
      </c>
      <c r="Q76" s="21">
        <v>20633</v>
      </c>
      <c r="R76" s="43">
        <v>12884</v>
      </c>
      <c r="S76" s="47">
        <v>51261</v>
      </c>
      <c r="T76" s="47">
        <v>51261</v>
      </c>
      <c r="U76" s="47">
        <v>51261</v>
      </c>
      <c r="V76" s="47">
        <v>51261</v>
      </c>
      <c r="W76" s="47">
        <v>51261</v>
      </c>
      <c r="X76" s="43">
        <v>256305</v>
      </c>
      <c r="Y76" s="43">
        <v>269189</v>
      </c>
    </row>
    <row r="77" spans="1:25" ht="51">
      <c r="A77" s="506"/>
      <c r="B77" s="541"/>
      <c r="C77" s="19">
        <v>5303120</v>
      </c>
      <c r="D77" s="20" t="s">
        <v>518</v>
      </c>
      <c r="E77" s="23">
        <v>39533</v>
      </c>
      <c r="F77" s="23">
        <v>33861</v>
      </c>
      <c r="G77" s="23">
        <v>72343</v>
      </c>
      <c r="H77" s="23">
        <v>1340</v>
      </c>
      <c r="I77" s="23">
        <v>53825</v>
      </c>
      <c r="J77" s="23">
        <v>30840</v>
      </c>
      <c r="K77" s="23">
        <v>46848</v>
      </c>
      <c r="L77" s="23">
        <v>37543</v>
      </c>
      <c r="M77" s="23">
        <v>31433</v>
      </c>
      <c r="N77" s="23">
        <v>62706</v>
      </c>
      <c r="O77" s="23">
        <v>44985</v>
      </c>
      <c r="P77" s="23">
        <v>84138</v>
      </c>
      <c r="Q77" s="21">
        <v>539396</v>
      </c>
      <c r="R77" s="43">
        <v>338493</v>
      </c>
      <c r="S77" s="47">
        <v>4754</v>
      </c>
      <c r="T77" s="47">
        <v>5134</v>
      </c>
      <c r="U77" s="47">
        <v>4754</v>
      </c>
      <c r="V77" s="47">
        <v>4754</v>
      </c>
      <c r="W77" s="47">
        <v>4754</v>
      </c>
      <c r="X77" s="43">
        <v>24150</v>
      </c>
      <c r="Y77" s="43">
        <v>362643</v>
      </c>
    </row>
    <row r="78" spans="1:25" ht="51">
      <c r="A78" s="506"/>
      <c r="B78" s="541"/>
      <c r="C78" s="19">
        <v>5303130</v>
      </c>
      <c r="D78" s="20" t="s">
        <v>519</v>
      </c>
      <c r="E78" s="23">
        <v>12555</v>
      </c>
      <c r="F78" s="23">
        <v>12108</v>
      </c>
      <c r="G78" s="23">
        <v>6974</v>
      </c>
      <c r="H78" s="23">
        <v>7733</v>
      </c>
      <c r="I78" s="23">
        <v>49427</v>
      </c>
      <c r="J78" s="23">
        <v>12586</v>
      </c>
      <c r="K78" s="23">
        <v>8778</v>
      </c>
      <c r="L78" s="23">
        <v>6273</v>
      </c>
      <c r="M78" s="23">
        <v>2834</v>
      </c>
      <c r="N78" s="23">
        <v>9071</v>
      </c>
      <c r="O78" s="23">
        <v>20037</v>
      </c>
      <c r="P78" s="23">
        <v>18638</v>
      </c>
      <c r="Q78" s="21">
        <v>167014</v>
      </c>
      <c r="R78" s="43">
        <v>78218</v>
      </c>
      <c r="S78" s="47">
        <v>9850</v>
      </c>
      <c r="T78" s="47">
        <v>9850</v>
      </c>
      <c r="U78" s="47">
        <v>10170</v>
      </c>
      <c r="V78" s="47">
        <v>9850</v>
      </c>
      <c r="W78" s="47">
        <v>9850</v>
      </c>
      <c r="X78" s="43">
        <v>49570</v>
      </c>
      <c r="Y78" s="43">
        <v>127788</v>
      </c>
    </row>
    <row r="79" spans="1:25" ht="51">
      <c r="A79" s="506"/>
      <c r="B79" s="541"/>
      <c r="C79" s="19">
        <v>5303140</v>
      </c>
      <c r="D79" s="20" t="s">
        <v>520</v>
      </c>
      <c r="E79" s="24" t="s">
        <v>223</v>
      </c>
      <c r="F79" s="24" t="s">
        <v>223</v>
      </c>
      <c r="G79" s="24" t="s">
        <v>223</v>
      </c>
      <c r="H79" s="24" t="s">
        <v>223</v>
      </c>
      <c r="I79" s="24" t="s">
        <v>223</v>
      </c>
      <c r="J79" s="24" t="s">
        <v>223</v>
      </c>
      <c r="K79" s="24" t="s">
        <v>223</v>
      </c>
      <c r="L79" s="24" t="s">
        <v>223</v>
      </c>
      <c r="M79" s="24" t="s">
        <v>223</v>
      </c>
      <c r="N79" s="24"/>
      <c r="O79" s="24"/>
      <c r="P79" s="24"/>
      <c r="Q79" s="506" t="s">
        <v>223</v>
      </c>
      <c r="R79" s="43" t="s">
        <v>223</v>
      </c>
      <c r="S79" s="47">
        <v>60</v>
      </c>
      <c r="T79" s="47">
        <v>60</v>
      </c>
      <c r="U79" s="47">
        <v>60</v>
      </c>
      <c r="V79" s="47">
        <v>60</v>
      </c>
      <c r="W79" s="47">
        <v>60</v>
      </c>
      <c r="X79" s="43">
        <v>300</v>
      </c>
      <c r="Y79" s="43">
        <v>300</v>
      </c>
    </row>
    <row r="80" spans="1:25" ht="63.75">
      <c r="A80" s="506"/>
      <c r="B80" s="541"/>
      <c r="C80" s="19">
        <v>5303150</v>
      </c>
      <c r="D80" s="20" t="s">
        <v>521</v>
      </c>
      <c r="E80" s="24"/>
      <c r="F80" s="24"/>
      <c r="G80" s="24"/>
      <c r="H80" s="24"/>
      <c r="I80" s="24"/>
      <c r="J80" s="24"/>
      <c r="K80" s="24"/>
      <c r="L80" s="24"/>
      <c r="M80" s="24"/>
      <c r="N80" s="24"/>
      <c r="O80" s="24"/>
      <c r="P80" s="24"/>
      <c r="Q80" s="506" t="s">
        <v>223</v>
      </c>
      <c r="R80" s="43" t="s">
        <v>223</v>
      </c>
      <c r="S80" s="47">
        <v>290</v>
      </c>
      <c r="T80" s="47">
        <v>290</v>
      </c>
      <c r="U80" s="47">
        <v>290</v>
      </c>
      <c r="V80" s="47">
        <v>290</v>
      </c>
      <c r="W80" s="47">
        <v>290</v>
      </c>
      <c r="X80" s="43">
        <v>1450</v>
      </c>
      <c r="Y80" s="43">
        <v>1450</v>
      </c>
    </row>
    <row r="81" spans="1:29" ht="38.25">
      <c r="A81" s="506"/>
      <c r="B81" s="541"/>
      <c r="C81" s="19">
        <v>5303170</v>
      </c>
      <c r="D81" s="20" t="s">
        <v>522</v>
      </c>
      <c r="E81" s="23">
        <v>1519</v>
      </c>
      <c r="F81" s="23">
        <v>2128</v>
      </c>
      <c r="G81" s="23">
        <v>4089</v>
      </c>
      <c r="H81" s="23">
        <v>25905</v>
      </c>
      <c r="I81" s="23">
        <v>10552</v>
      </c>
      <c r="J81" s="23">
        <v>2869</v>
      </c>
      <c r="K81" s="23">
        <v>2398</v>
      </c>
      <c r="L81" s="23">
        <v>5526</v>
      </c>
      <c r="M81" s="23">
        <v>25827</v>
      </c>
      <c r="N81" s="24">
        <v>662</v>
      </c>
      <c r="O81" s="23">
        <v>7155</v>
      </c>
      <c r="P81" s="23">
        <v>13875</v>
      </c>
      <c r="Q81" s="21">
        <v>102506</v>
      </c>
      <c r="R81" s="43">
        <v>58313</v>
      </c>
      <c r="S81" s="47">
        <v>8625</v>
      </c>
      <c r="T81" s="47">
        <v>8535</v>
      </c>
      <c r="U81" s="47">
        <v>7942</v>
      </c>
      <c r="V81" s="47">
        <v>8172</v>
      </c>
      <c r="W81" s="47">
        <v>9026</v>
      </c>
      <c r="X81" s="43">
        <v>42300</v>
      </c>
      <c r="Y81" s="43">
        <v>100613</v>
      </c>
      <c r="Z81" s="179"/>
      <c r="AC81" s="180"/>
    </row>
    <row r="82" spans="1:29" ht="51">
      <c r="A82" s="506"/>
      <c r="B82" s="541"/>
      <c r="C82" s="19">
        <v>5303190</v>
      </c>
      <c r="D82" s="20" t="s">
        <v>523</v>
      </c>
      <c r="E82" s="23">
        <v>10506</v>
      </c>
      <c r="F82" s="23">
        <v>6469</v>
      </c>
      <c r="G82" s="23">
        <v>8223</v>
      </c>
      <c r="H82" s="23">
        <v>3802</v>
      </c>
      <c r="I82" s="23">
        <v>7374</v>
      </c>
      <c r="J82" s="23">
        <v>7586</v>
      </c>
      <c r="K82" s="23">
        <v>5021</v>
      </c>
      <c r="L82" s="23">
        <v>6776</v>
      </c>
      <c r="M82" s="23">
        <v>3038</v>
      </c>
      <c r="N82" s="23">
        <v>6743</v>
      </c>
      <c r="O82" s="23">
        <v>5918</v>
      </c>
      <c r="P82" s="23">
        <v>39657</v>
      </c>
      <c r="Q82" s="21">
        <v>111112</v>
      </c>
      <c r="R82" s="43">
        <v>74738</v>
      </c>
      <c r="S82" s="47">
        <v>6130</v>
      </c>
      <c r="T82" s="47">
        <v>6130</v>
      </c>
      <c r="U82" s="47">
        <v>6130</v>
      </c>
      <c r="V82" s="47">
        <v>6130</v>
      </c>
      <c r="W82" s="47">
        <v>6130</v>
      </c>
      <c r="X82" s="43">
        <v>30650</v>
      </c>
      <c r="Y82" s="43">
        <v>105388</v>
      </c>
      <c r="Z82" s="179"/>
      <c r="AC82" s="180"/>
    </row>
    <row r="83" spans="1:29" ht="38.25">
      <c r="A83" s="506"/>
      <c r="B83" s="541"/>
      <c r="C83" s="19">
        <v>5303210</v>
      </c>
      <c r="D83" s="20" t="s">
        <v>524</v>
      </c>
      <c r="E83" s="23">
        <v>-6844</v>
      </c>
      <c r="F83" s="23">
        <v>24914</v>
      </c>
      <c r="G83" s="23">
        <v>-30045</v>
      </c>
      <c r="H83" s="23">
        <v>4369</v>
      </c>
      <c r="I83" s="23">
        <v>27474</v>
      </c>
      <c r="J83" s="23">
        <v>8353</v>
      </c>
      <c r="K83" s="23">
        <v>8847</v>
      </c>
      <c r="L83" s="23">
        <v>9089</v>
      </c>
      <c r="M83" s="23">
        <v>5485</v>
      </c>
      <c r="N83" s="23">
        <v>13951</v>
      </c>
      <c r="O83" s="23">
        <v>29699</v>
      </c>
      <c r="P83" s="23">
        <v>15060</v>
      </c>
      <c r="Q83" s="21">
        <v>110352</v>
      </c>
      <c r="R83" s="43">
        <v>90484</v>
      </c>
      <c r="S83" s="47">
        <v>11530</v>
      </c>
      <c r="T83" s="47">
        <v>11413</v>
      </c>
      <c r="U83" s="47">
        <v>11413</v>
      </c>
      <c r="V83" s="47">
        <v>11662</v>
      </c>
      <c r="W83" s="47">
        <v>11413</v>
      </c>
      <c r="X83" s="43">
        <v>57431</v>
      </c>
      <c r="Y83" s="43">
        <v>147915</v>
      </c>
      <c r="Z83" s="179"/>
      <c r="AC83" s="180"/>
    </row>
    <row r="84" spans="1:29" ht="25.5">
      <c r="A84" s="506"/>
      <c r="B84" s="541"/>
      <c r="C84" s="19">
        <v>5303220</v>
      </c>
      <c r="D84" s="20" t="s">
        <v>525</v>
      </c>
      <c r="E84" s="24">
        <v>-437</v>
      </c>
      <c r="F84" s="23">
        <v>5934</v>
      </c>
      <c r="G84" s="23">
        <v>7097</v>
      </c>
      <c r="H84" s="23">
        <v>7955</v>
      </c>
      <c r="I84" s="23">
        <v>5689</v>
      </c>
      <c r="J84" s="23">
        <v>7440</v>
      </c>
      <c r="K84" s="23">
        <v>15354</v>
      </c>
      <c r="L84" s="23">
        <v>4804</v>
      </c>
      <c r="M84" s="23">
        <v>9982</v>
      </c>
      <c r="N84" s="23">
        <v>14755</v>
      </c>
      <c r="O84" s="23">
        <v>-3862</v>
      </c>
      <c r="P84" s="23">
        <v>18590</v>
      </c>
      <c r="Q84" s="21">
        <v>93303</v>
      </c>
      <c r="R84" s="43">
        <v>67064</v>
      </c>
      <c r="S84" s="47">
        <v>12137</v>
      </c>
      <c r="T84" s="47">
        <v>12137</v>
      </c>
      <c r="U84" s="47">
        <v>13485</v>
      </c>
      <c r="V84" s="47">
        <v>12137</v>
      </c>
      <c r="W84" s="47">
        <v>12137</v>
      </c>
      <c r="X84" s="43">
        <v>62033</v>
      </c>
      <c r="Y84" s="43">
        <v>129097</v>
      </c>
      <c r="Z84" s="179"/>
      <c r="AC84" s="180"/>
    </row>
    <row r="85" spans="1:29" ht="25.5">
      <c r="A85" s="506"/>
      <c r="B85" s="541"/>
      <c r="C85" s="19">
        <v>5303310</v>
      </c>
      <c r="D85" s="20" t="s">
        <v>526</v>
      </c>
      <c r="E85" s="23">
        <v>7946</v>
      </c>
      <c r="F85" s="23">
        <v>5947</v>
      </c>
      <c r="G85" s="23">
        <v>5947</v>
      </c>
      <c r="H85" s="23">
        <v>6446</v>
      </c>
      <c r="I85" s="23">
        <v>5947</v>
      </c>
      <c r="J85" s="23">
        <v>7730</v>
      </c>
      <c r="K85" s="23">
        <v>6347</v>
      </c>
      <c r="L85" s="23">
        <v>5600</v>
      </c>
      <c r="M85" s="23">
        <v>6461</v>
      </c>
      <c r="N85" s="23">
        <v>6408</v>
      </c>
      <c r="O85" s="23">
        <v>5639</v>
      </c>
      <c r="P85" s="23">
        <v>9590</v>
      </c>
      <c r="Q85" s="21">
        <v>80008</v>
      </c>
      <c r="R85" s="43">
        <v>47774</v>
      </c>
      <c r="S85" s="47">
        <v>11122</v>
      </c>
      <c r="T85" s="47">
        <v>11122</v>
      </c>
      <c r="U85" s="47">
        <v>11228</v>
      </c>
      <c r="V85" s="47">
        <v>11122</v>
      </c>
      <c r="W85" s="47">
        <v>11122</v>
      </c>
      <c r="X85" s="43">
        <v>55716</v>
      </c>
      <c r="Y85" s="43">
        <v>103490</v>
      </c>
      <c r="Z85" s="179"/>
      <c r="AC85" s="180"/>
    </row>
    <row r="86" spans="1:29" ht="38.25">
      <c r="A86" s="506"/>
      <c r="B86" s="541"/>
      <c r="C86" s="19">
        <v>5303315</v>
      </c>
      <c r="D86" s="20" t="s">
        <v>527</v>
      </c>
      <c r="E86" s="23">
        <v>142497</v>
      </c>
      <c r="F86" s="23">
        <v>133695</v>
      </c>
      <c r="G86" s="23">
        <v>137563</v>
      </c>
      <c r="H86" s="23">
        <v>65531</v>
      </c>
      <c r="I86" s="23">
        <v>65052</v>
      </c>
      <c r="J86" s="23">
        <v>119439</v>
      </c>
      <c r="K86" s="23">
        <v>109123</v>
      </c>
      <c r="L86" s="23">
        <v>54576</v>
      </c>
      <c r="M86" s="23">
        <v>172535</v>
      </c>
      <c r="N86" s="23">
        <v>100946</v>
      </c>
      <c r="O86" s="23">
        <v>163960</v>
      </c>
      <c r="P86" s="23">
        <v>136382</v>
      </c>
      <c r="Q86" s="21">
        <v>1401301</v>
      </c>
      <c r="R86" s="43">
        <v>856961</v>
      </c>
      <c r="S86" s="47">
        <v>4571</v>
      </c>
      <c r="T86" s="47">
        <v>4571</v>
      </c>
      <c r="U86" s="47">
        <v>4742</v>
      </c>
      <c r="V86" s="47">
        <v>4742</v>
      </c>
      <c r="W86" s="47">
        <v>4742</v>
      </c>
      <c r="X86" s="43">
        <v>23368</v>
      </c>
      <c r="Y86" s="43">
        <v>880329</v>
      </c>
      <c r="Z86" s="179"/>
      <c r="AC86" s="180"/>
    </row>
    <row r="87" spans="1:29" ht="25.5">
      <c r="A87" s="506"/>
      <c r="B87" s="541"/>
      <c r="C87" s="19">
        <v>5303320</v>
      </c>
      <c r="D87" s="20" t="s">
        <v>528</v>
      </c>
      <c r="E87" s="23">
        <v>18048</v>
      </c>
      <c r="F87" s="24">
        <v>-351</v>
      </c>
      <c r="G87" s="23">
        <v>1702</v>
      </c>
      <c r="H87" s="24">
        <v>-849</v>
      </c>
      <c r="I87" s="24" t="s">
        <v>223</v>
      </c>
      <c r="J87" s="24" t="s">
        <v>223</v>
      </c>
      <c r="K87" s="24" t="s">
        <v>223</v>
      </c>
      <c r="L87" s="24" t="s">
        <v>223</v>
      </c>
      <c r="M87" s="24">
        <v>498</v>
      </c>
      <c r="N87" s="24" t="s">
        <v>223</v>
      </c>
      <c r="O87" s="24" t="s">
        <v>223</v>
      </c>
      <c r="P87" s="23">
        <v>11493</v>
      </c>
      <c r="Q87" s="21">
        <v>30541</v>
      </c>
      <c r="R87" s="43">
        <v>11991</v>
      </c>
      <c r="S87" s="47">
        <v>3649</v>
      </c>
      <c r="T87" s="47">
        <v>3644</v>
      </c>
      <c r="U87" s="47">
        <v>3658</v>
      </c>
      <c r="V87" s="47">
        <v>3644</v>
      </c>
      <c r="W87" s="47">
        <v>3644</v>
      </c>
      <c r="X87" s="43">
        <v>18239</v>
      </c>
      <c r="Y87" s="43">
        <v>30230</v>
      </c>
      <c r="Z87" s="179"/>
      <c r="AC87" s="180"/>
    </row>
    <row r="88" spans="1:29" ht="38.25">
      <c r="A88" s="506"/>
      <c r="B88" s="541"/>
      <c r="C88" s="19">
        <v>5303325</v>
      </c>
      <c r="D88" s="20" t="s">
        <v>529</v>
      </c>
      <c r="E88" s="24"/>
      <c r="F88" s="24"/>
      <c r="G88" s="24"/>
      <c r="H88" s="24"/>
      <c r="I88" s="24"/>
      <c r="J88" s="24"/>
      <c r="K88" s="24"/>
      <c r="L88" s="24"/>
      <c r="M88" s="24"/>
      <c r="N88" s="24" t="s">
        <v>223</v>
      </c>
      <c r="O88" s="24" t="s">
        <v>223</v>
      </c>
      <c r="P88" s="24" t="s">
        <v>223</v>
      </c>
      <c r="Q88" s="506" t="s">
        <v>223</v>
      </c>
      <c r="R88" s="43" t="s">
        <v>223</v>
      </c>
      <c r="S88" s="47">
        <v>3849</v>
      </c>
      <c r="T88" s="47">
        <v>3838</v>
      </c>
      <c r="U88" s="47">
        <v>3835</v>
      </c>
      <c r="V88" s="47">
        <v>3835</v>
      </c>
      <c r="W88" s="47">
        <v>3835</v>
      </c>
      <c r="X88" s="43">
        <v>19192</v>
      </c>
      <c r="Y88" s="43">
        <v>19192</v>
      </c>
      <c r="Z88" s="179"/>
      <c r="AC88" s="180"/>
    </row>
    <row r="89" spans="1:29" ht="38.25">
      <c r="A89" s="506"/>
      <c r="B89" s="541"/>
      <c r="C89" s="19">
        <v>5303820</v>
      </c>
      <c r="D89" s="20" t="s">
        <v>530</v>
      </c>
      <c r="E89" s="24">
        <v>0</v>
      </c>
      <c r="F89" s="24">
        <v>-2</v>
      </c>
      <c r="G89" s="24">
        <v>1</v>
      </c>
      <c r="H89" s="24">
        <v>-1</v>
      </c>
      <c r="I89" s="24">
        <v>-1</v>
      </c>
      <c r="J89" s="24">
        <v>-4</v>
      </c>
      <c r="K89" s="24">
        <v>-1</v>
      </c>
      <c r="L89" s="24">
        <v>12</v>
      </c>
      <c r="M89" s="24">
        <v>0</v>
      </c>
      <c r="N89" s="24">
        <v>-8</v>
      </c>
      <c r="O89" s="24" t="s">
        <v>223</v>
      </c>
      <c r="P89" s="24" t="s">
        <v>223</v>
      </c>
      <c r="Q89" s="506">
        <v>-5</v>
      </c>
      <c r="R89" s="43">
        <v>-1</v>
      </c>
      <c r="S89" s="47">
        <v>800</v>
      </c>
      <c r="T89" s="47">
        <v>700</v>
      </c>
      <c r="U89" s="47">
        <v>900</v>
      </c>
      <c r="V89" s="47">
        <v>900</v>
      </c>
      <c r="W89" s="47">
        <v>900</v>
      </c>
      <c r="X89" s="43">
        <v>4200</v>
      </c>
      <c r="Y89" s="43">
        <v>4199</v>
      </c>
      <c r="Z89" s="179"/>
      <c r="AC89" s="180"/>
    </row>
    <row r="90" spans="1:29">
      <c r="A90" s="506"/>
      <c r="B90" s="541"/>
      <c r="C90" s="19">
        <v>5303830</v>
      </c>
      <c r="D90" s="20" t="s">
        <v>253</v>
      </c>
      <c r="E90" s="23">
        <v>3276</v>
      </c>
      <c r="F90" s="23">
        <v>1582</v>
      </c>
      <c r="G90" s="23">
        <v>1582</v>
      </c>
      <c r="H90" s="23">
        <v>1702</v>
      </c>
      <c r="I90" s="23">
        <v>1582</v>
      </c>
      <c r="J90" s="23">
        <v>1486</v>
      </c>
      <c r="K90" s="23">
        <v>1416</v>
      </c>
      <c r="L90" s="24" t="s">
        <v>223</v>
      </c>
      <c r="M90" s="23">
        <v>2269</v>
      </c>
      <c r="N90" s="23">
        <v>8365</v>
      </c>
      <c r="O90" s="23">
        <v>1502</v>
      </c>
      <c r="P90" s="23">
        <v>1771</v>
      </c>
      <c r="Q90" s="21">
        <v>26531</v>
      </c>
      <c r="R90" s="43">
        <v>16809</v>
      </c>
      <c r="S90" s="47">
        <v>2505</v>
      </c>
      <c r="T90" s="47">
        <v>2220</v>
      </c>
      <c r="U90" s="47">
        <v>2871</v>
      </c>
      <c r="V90" s="47">
        <v>2304</v>
      </c>
      <c r="W90" s="47">
        <v>2914</v>
      </c>
      <c r="X90" s="43">
        <v>12814</v>
      </c>
      <c r="Y90" s="43">
        <v>29623</v>
      </c>
      <c r="Z90" s="179"/>
      <c r="AB90" s="39">
        <v>-23044</v>
      </c>
      <c r="AC90" s="180" t="s">
        <v>531</v>
      </c>
    </row>
    <row r="91" spans="1:29" ht="38.25">
      <c r="A91" s="506"/>
      <c r="B91" s="541"/>
      <c r="C91" s="19">
        <v>5303840</v>
      </c>
      <c r="D91" s="20" t="s">
        <v>532</v>
      </c>
      <c r="E91" s="24"/>
      <c r="F91" s="24"/>
      <c r="G91" s="24"/>
      <c r="H91" s="24"/>
      <c r="I91" s="24"/>
      <c r="J91" s="24"/>
      <c r="K91" s="24"/>
      <c r="L91" s="24"/>
      <c r="M91" s="24"/>
      <c r="N91" s="24"/>
      <c r="O91" s="24"/>
      <c r="P91" s="24"/>
      <c r="Q91" s="506" t="s">
        <v>223</v>
      </c>
      <c r="R91" s="43" t="s">
        <v>223</v>
      </c>
      <c r="S91" s="47">
        <v>374</v>
      </c>
      <c r="T91" s="47">
        <v>374</v>
      </c>
      <c r="U91" s="47">
        <v>374</v>
      </c>
      <c r="V91" s="47">
        <v>374</v>
      </c>
      <c r="W91" s="47">
        <v>374</v>
      </c>
      <c r="X91" s="43">
        <v>1870</v>
      </c>
      <c r="Y91" s="43">
        <v>1870</v>
      </c>
      <c r="Z91" s="179"/>
      <c r="AC91" s="180"/>
    </row>
    <row r="92" spans="1:29" ht="25.5">
      <c r="A92" s="506"/>
      <c r="B92" s="541"/>
      <c r="C92" s="19">
        <v>5303850</v>
      </c>
      <c r="D92" s="20" t="s">
        <v>533</v>
      </c>
      <c r="E92" s="24" t="s">
        <v>223</v>
      </c>
      <c r="F92" s="24" t="s">
        <v>223</v>
      </c>
      <c r="G92" s="24" t="s">
        <v>223</v>
      </c>
      <c r="H92" s="24" t="s">
        <v>223</v>
      </c>
      <c r="I92" s="24" t="s">
        <v>223</v>
      </c>
      <c r="J92" s="24" t="s">
        <v>223</v>
      </c>
      <c r="K92" s="24" t="s">
        <v>223</v>
      </c>
      <c r="L92" s="24" t="s">
        <v>223</v>
      </c>
      <c r="M92" s="24" t="s">
        <v>223</v>
      </c>
      <c r="N92" s="24"/>
      <c r="O92" s="24"/>
      <c r="P92" s="24"/>
      <c r="Q92" s="506" t="s">
        <v>223</v>
      </c>
      <c r="R92" s="43" t="s">
        <v>223</v>
      </c>
      <c r="S92" s="47">
        <v>274</v>
      </c>
      <c r="T92" s="47">
        <v>274</v>
      </c>
      <c r="U92" s="47">
        <v>274</v>
      </c>
      <c r="V92" s="47">
        <v>274</v>
      </c>
      <c r="W92" s="47">
        <v>274</v>
      </c>
      <c r="X92" s="43">
        <v>1370</v>
      </c>
      <c r="Y92" s="43">
        <v>1370</v>
      </c>
      <c r="Z92" s="179"/>
      <c r="AC92" s="180"/>
    </row>
    <row r="93" spans="1:29" ht="38.25">
      <c r="A93" s="506"/>
      <c r="B93" s="541"/>
      <c r="C93" s="19">
        <v>5303890</v>
      </c>
      <c r="D93" s="20" t="s">
        <v>534</v>
      </c>
      <c r="E93" s="23">
        <v>55191</v>
      </c>
      <c r="F93" s="23">
        <v>19880</v>
      </c>
      <c r="G93" s="23">
        <v>33966</v>
      </c>
      <c r="H93" s="23">
        <v>15161</v>
      </c>
      <c r="I93" s="23">
        <v>71261</v>
      </c>
      <c r="J93" s="23">
        <v>66187</v>
      </c>
      <c r="K93" s="23">
        <v>57602</v>
      </c>
      <c r="L93" s="23">
        <v>34310</v>
      </c>
      <c r="M93" s="23">
        <v>25892</v>
      </c>
      <c r="N93" s="23">
        <v>24850</v>
      </c>
      <c r="O93" s="23">
        <v>46780</v>
      </c>
      <c r="P93" s="23">
        <v>17942</v>
      </c>
      <c r="Q93" s="21">
        <v>469021</v>
      </c>
      <c r="R93" s="43">
        <v>273563</v>
      </c>
      <c r="S93" s="47">
        <v>33454</v>
      </c>
      <c r="T93" s="47">
        <v>33423</v>
      </c>
      <c r="U93" s="47">
        <v>33400</v>
      </c>
      <c r="V93" s="47">
        <v>33411</v>
      </c>
      <c r="W93" s="47">
        <v>33421</v>
      </c>
      <c r="X93" s="43">
        <v>167109</v>
      </c>
      <c r="Y93" s="43">
        <v>440672</v>
      </c>
      <c r="Z93" s="179"/>
      <c r="AC93" s="180"/>
    </row>
    <row r="94" spans="1:29" ht="51">
      <c r="A94" s="506"/>
      <c r="B94" s="541"/>
      <c r="C94" s="19">
        <v>5303991</v>
      </c>
      <c r="D94" s="20" t="s">
        <v>535</v>
      </c>
      <c r="E94" s="24">
        <v>836</v>
      </c>
      <c r="F94" s="24">
        <v>880</v>
      </c>
      <c r="G94" s="23">
        <v>1408</v>
      </c>
      <c r="H94" s="23">
        <v>1286</v>
      </c>
      <c r="I94" s="23">
        <v>1153</v>
      </c>
      <c r="J94" s="24">
        <v>874</v>
      </c>
      <c r="K94" s="24">
        <v>518</v>
      </c>
      <c r="L94" s="24">
        <v>526</v>
      </c>
      <c r="M94" s="24">
        <v>386</v>
      </c>
      <c r="N94" s="24">
        <v>281</v>
      </c>
      <c r="O94" s="24">
        <v>413</v>
      </c>
      <c r="P94" s="23">
        <v>1660</v>
      </c>
      <c r="Q94" s="21">
        <v>10220</v>
      </c>
      <c r="R94" s="43">
        <v>4658</v>
      </c>
      <c r="S94" s="47">
        <v>606</v>
      </c>
      <c r="T94" s="47">
        <v>560</v>
      </c>
      <c r="U94" s="47">
        <v>560</v>
      </c>
      <c r="V94" s="47">
        <v>560</v>
      </c>
      <c r="W94" s="47">
        <v>560</v>
      </c>
      <c r="X94" s="43">
        <v>2846</v>
      </c>
      <c r="Y94" s="43">
        <v>7504</v>
      </c>
      <c r="Z94" s="179"/>
      <c r="AC94" s="180"/>
    </row>
    <row r="95" spans="1:29" ht="76.5">
      <c r="A95" s="506"/>
      <c r="B95" s="541"/>
      <c r="C95" s="19">
        <v>5303999</v>
      </c>
      <c r="D95" s="20" t="s">
        <v>536</v>
      </c>
      <c r="E95" s="23">
        <v>-890257</v>
      </c>
      <c r="F95" s="23">
        <v>-551405</v>
      </c>
      <c r="G95" s="23">
        <v>-657154</v>
      </c>
      <c r="H95" s="23">
        <v>-551768</v>
      </c>
      <c r="I95" s="23">
        <v>-559572</v>
      </c>
      <c r="J95" s="23">
        <v>-558361</v>
      </c>
      <c r="K95" s="23">
        <v>-639299</v>
      </c>
      <c r="L95" s="23">
        <v>-494139</v>
      </c>
      <c r="M95" s="23">
        <v>-481635</v>
      </c>
      <c r="N95" s="23">
        <v>-11527</v>
      </c>
      <c r="O95" s="23">
        <v>-242860</v>
      </c>
      <c r="P95" s="23">
        <v>-231630</v>
      </c>
      <c r="Q95" s="21">
        <v>-5869608</v>
      </c>
      <c r="R95" s="43">
        <v>-2659451</v>
      </c>
      <c r="S95" s="47"/>
      <c r="T95" s="47"/>
      <c r="U95" s="47"/>
      <c r="V95" s="47"/>
      <c r="W95" s="47"/>
      <c r="X95" s="43" t="s">
        <v>223</v>
      </c>
      <c r="Y95" s="43">
        <v>-2659451</v>
      </c>
      <c r="Z95" s="179"/>
      <c r="AC95" s="180"/>
    </row>
    <row r="96" spans="1:29" ht="25.5">
      <c r="A96" s="506"/>
      <c r="B96" s="541"/>
      <c r="C96" s="19">
        <v>5304100</v>
      </c>
      <c r="D96" s="20" t="s">
        <v>537</v>
      </c>
      <c r="E96" s="23">
        <v>58218</v>
      </c>
      <c r="F96" s="23">
        <v>67613</v>
      </c>
      <c r="G96" s="23">
        <v>80446</v>
      </c>
      <c r="H96" s="23">
        <v>72963</v>
      </c>
      <c r="I96" s="23">
        <v>84383</v>
      </c>
      <c r="J96" s="23">
        <v>68348</v>
      </c>
      <c r="K96" s="23">
        <v>114715</v>
      </c>
      <c r="L96" s="23">
        <v>51958</v>
      </c>
      <c r="M96" s="23">
        <v>60121</v>
      </c>
      <c r="N96" s="23">
        <v>33138</v>
      </c>
      <c r="O96" s="23">
        <v>60088</v>
      </c>
      <c r="P96" s="23">
        <v>62043</v>
      </c>
      <c r="Q96" s="21">
        <v>814035</v>
      </c>
      <c r="R96" s="43">
        <v>450411</v>
      </c>
      <c r="S96" s="47">
        <v>35030</v>
      </c>
      <c r="T96" s="47">
        <v>33230</v>
      </c>
      <c r="U96" s="47">
        <v>35100</v>
      </c>
      <c r="V96" s="47">
        <v>35030</v>
      </c>
      <c r="W96" s="47">
        <v>36030</v>
      </c>
      <c r="X96" s="43">
        <v>174420</v>
      </c>
      <c r="Y96" s="43">
        <v>624831</v>
      </c>
      <c r="Z96" s="179"/>
      <c r="AC96" s="180"/>
    </row>
    <row r="97" spans="1:29" ht="25.5">
      <c r="A97" s="506"/>
      <c r="B97" s="541"/>
      <c r="C97" s="19">
        <v>5304140</v>
      </c>
      <c r="D97" s="20" t="s">
        <v>538</v>
      </c>
      <c r="E97" s="24" t="s">
        <v>223</v>
      </c>
      <c r="F97" s="24" t="s">
        <v>223</v>
      </c>
      <c r="G97" s="24" t="s">
        <v>223</v>
      </c>
      <c r="H97" s="24">
        <v>-228</v>
      </c>
      <c r="I97" s="24" t="s">
        <v>223</v>
      </c>
      <c r="J97" s="24" t="s">
        <v>223</v>
      </c>
      <c r="K97" s="24">
        <v>466</v>
      </c>
      <c r="L97" s="24" t="s">
        <v>223</v>
      </c>
      <c r="M97" s="24" t="s">
        <v>223</v>
      </c>
      <c r="N97" s="23">
        <v>1587</v>
      </c>
      <c r="O97" s="24">
        <v>397</v>
      </c>
      <c r="P97" s="24" t="s">
        <v>223</v>
      </c>
      <c r="Q97" s="21">
        <v>2222</v>
      </c>
      <c r="R97" s="43">
        <v>2450</v>
      </c>
      <c r="S97" s="47"/>
      <c r="T97" s="47"/>
      <c r="U97" s="47"/>
      <c r="V97" s="47"/>
      <c r="W97" s="47"/>
      <c r="X97" s="43" t="s">
        <v>223</v>
      </c>
      <c r="Y97" s="43">
        <v>2450</v>
      </c>
      <c r="Z97" s="179"/>
      <c r="AC97" s="180"/>
    </row>
    <row r="98" spans="1:29" ht="25.5">
      <c r="A98" s="506"/>
      <c r="B98" s="541"/>
      <c r="C98" s="19">
        <v>5304200</v>
      </c>
      <c r="D98" s="20" t="s">
        <v>539</v>
      </c>
      <c r="E98" s="23">
        <v>77208</v>
      </c>
      <c r="F98" s="23">
        <v>36153</v>
      </c>
      <c r="G98" s="23">
        <v>31575</v>
      </c>
      <c r="H98" s="23">
        <v>39367</v>
      </c>
      <c r="I98" s="23">
        <v>70194</v>
      </c>
      <c r="J98" s="23">
        <v>92889</v>
      </c>
      <c r="K98" s="23">
        <v>41561</v>
      </c>
      <c r="L98" s="23">
        <v>58237</v>
      </c>
      <c r="M98" s="23">
        <v>86875</v>
      </c>
      <c r="N98" s="23">
        <v>24905</v>
      </c>
      <c r="O98" s="23">
        <v>10029</v>
      </c>
      <c r="P98" s="23">
        <v>19730</v>
      </c>
      <c r="Q98" s="21">
        <v>588724</v>
      </c>
      <c r="R98" s="43">
        <v>334227</v>
      </c>
      <c r="S98" s="47">
        <v>25950</v>
      </c>
      <c r="T98" s="47">
        <v>26000</v>
      </c>
      <c r="U98" s="47">
        <v>26950</v>
      </c>
      <c r="V98" s="47">
        <v>25890</v>
      </c>
      <c r="W98" s="47">
        <v>25880</v>
      </c>
      <c r="X98" s="43">
        <v>130670</v>
      </c>
      <c r="Y98" s="43">
        <v>464897</v>
      </c>
      <c r="Z98" s="179"/>
      <c r="AC98" s="180"/>
    </row>
    <row r="99" spans="1:29" ht="25.5">
      <c r="A99" s="506"/>
      <c r="B99" s="541"/>
      <c r="C99" s="19">
        <v>5304210</v>
      </c>
      <c r="D99" s="20" t="s">
        <v>540</v>
      </c>
      <c r="E99" s="23">
        <v>18016</v>
      </c>
      <c r="F99" s="23">
        <v>29409</v>
      </c>
      <c r="G99" s="23">
        <v>12456</v>
      </c>
      <c r="H99" s="23">
        <v>15270</v>
      </c>
      <c r="I99" s="23">
        <v>20733</v>
      </c>
      <c r="J99" s="23">
        <v>16699</v>
      </c>
      <c r="K99" s="23">
        <v>21319</v>
      </c>
      <c r="L99" s="23">
        <v>40762</v>
      </c>
      <c r="M99" s="23">
        <v>1958</v>
      </c>
      <c r="N99" s="23">
        <v>10877</v>
      </c>
      <c r="O99" s="23">
        <v>18401</v>
      </c>
      <c r="P99" s="23">
        <v>12534</v>
      </c>
      <c r="Q99" s="21">
        <v>218435</v>
      </c>
      <c r="R99" s="43">
        <v>122551</v>
      </c>
      <c r="S99" s="47"/>
      <c r="T99" s="47"/>
      <c r="U99" s="47"/>
      <c r="V99" s="47"/>
      <c r="W99" s="47"/>
      <c r="X99" s="43" t="s">
        <v>223</v>
      </c>
      <c r="Y99" s="43">
        <v>122551</v>
      </c>
      <c r="Z99" s="179"/>
      <c r="AC99" s="180"/>
    </row>
    <row r="100" spans="1:29" ht="25.5">
      <c r="A100" s="506"/>
      <c r="B100" s="541"/>
      <c r="C100" s="19">
        <v>5304300</v>
      </c>
      <c r="D100" s="20" t="s">
        <v>541</v>
      </c>
      <c r="E100" s="23">
        <v>10800</v>
      </c>
      <c r="F100" s="23">
        <v>10229</v>
      </c>
      <c r="G100" s="23">
        <v>6235</v>
      </c>
      <c r="H100" s="24" t="s">
        <v>223</v>
      </c>
      <c r="I100" s="23">
        <v>10800</v>
      </c>
      <c r="J100" s="23">
        <v>100334</v>
      </c>
      <c r="K100" s="24">
        <v>146</v>
      </c>
      <c r="L100" s="23">
        <v>3400</v>
      </c>
      <c r="M100" s="23">
        <v>2424</v>
      </c>
      <c r="N100" s="23">
        <v>50043</v>
      </c>
      <c r="O100" s="23">
        <v>16200</v>
      </c>
      <c r="P100" s="23">
        <v>213986</v>
      </c>
      <c r="Q100" s="21">
        <v>424597</v>
      </c>
      <c r="R100" s="43">
        <v>386533</v>
      </c>
      <c r="S100" s="47"/>
      <c r="T100" s="47"/>
      <c r="U100" s="47"/>
      <c r="V100" s="47"/>
      <c r="W100" s="47"/>
      <c r="X100" s="43" t="s">
        <v>223</v>
      </c>
      <c r="Y100" s="43">
        <v>386533</v>
      </c>
      <c r="Z100" s="179"/>
      <c r="AC100" s="180"/>
    </row>
    <row r="101" spans="1:29" ht="25.5">
      <c r="A101" s="506"/>
      <c r="B101" s="541"/>
      <c r="C101" s="19">
        <v>5304310</v>
      </c>
      <c r="D101" s="20" t="s">
        <v>542</v>
      </c>
      <c r="E101" s="23">
        <v>5257</v>
      </c>
      <c r="F101" s="23">
        <v>5425</v>
      </c>
      <c r="G101" s="23">
        <v>5681</v>
      </c>
      <c r="H101" s="23">
        <v>4905</v>
      </c>
      <c r="I101" s="23">
        <v>4446</v>
      </c>
      <c r="J101" s="23">
        <v>3304</v>
      </c>
      <c r="K101" s="23">
        <v>5702</v>
      </c>
      <c r="L101" s="23">
        <v>5189</v>
      </c>
      <c r="M101" s="23">
        <v>6362</v>
      </c>
      <c r="N101" s="23">
        <v>2381</v>
      </c>
      <c r="O101" s="23">
        <v>6428</v>
      </c>
      <c r="P101" s="23">
        <v>5915</v>
      </c>
      <c r="Q101" s="21">
        <v>60996</v>
      </c>
      <c r="R101" s="43">
        <v>35282</v>
      </c>
      <c r="S101" s="47">
        <v>5889</v>
      </c>
      <c r="T101" s="47">
        <v>5889</v>
      </c>
      <c r="U101" s="47">
        <v>5891</v>
      </c>
      <c r="V101" s="47">
        <v>5990</v>
      </c>
      <c r="W101" s="47">
        <v>5891</v>
      </c>
      <c r="X101" s="43">
        <v>29550</v>
      </c>
      <c r="Y101" s="43">
        <v>64832</v>
      </c>
      <c r="Z101" s="179"/>
      <c r="AC101" s="180"/>
    </row>
    <row r="102" spans="1:29" ht="38.25">
      <c r="A102" s="506"/>
      <c r="B102" s="541"/>
      <c r="C102" s="19">
        <v>5304320</v>
      </c>
      <c r="D102" s="20" t="s">
        <v>543</v>
      </c>
      <c r="E102" s="23">
        <v>34994</v>
      </c>
      <c r="F102" s="23">
        <v>15379</v>
      </c>
      <c r="G102" s="23">
        <v>24672</v>
      </c>
      <c r="H102" s="23">
        <v>23138</v>
      </c>
      <c r="I102" s="23">
        <v>29727</v>
      </c>
      <c r="J102" s="23">
        <v>23092</v>
      </c>
      <c r="K102" s="23">
        <v>28348</v>
      </c>
      <c r="L102" s="23">
        <v>26462</v>
      </c>
      <c r="M102" s="23">
        <v>26657</v>
      </c>
      <c r="N102" s="23">
        <v>-4416</v>
      </c>
      <c r="O102" s="23">
        <v>23162</v>
      </c>
      <c r="P102" s="23">
        <v>68534</v>
      </c>
      <c r="Q102" s="21">
        <v>319751</v>
      </c>
      <c r="R102" s="43">
        <v>191840</v>
      </c>
      <c r="S102" s="47">
        <v>32942</v>
      </c>
      <c r="T102" s="47">
        <v>32942</v>
      </c>
      <c r="U102" s="47">
        <v>32942</v>
      </c>
      <c r="V102" s="47">
        <v>32942</v>
      </c>
      <c r="W102" s="47">
        <v>32962</v>
      </c>
      <c r="X102" s="43">
        <v>164730</v>
      </c>
      <c r="Y102" s="43">
        <v>356570</v>
      </c>
      <c r="Z102" s="179"/>
      <c r="AC102" s="180"/>
    </row>
    <row r="103" spans="1:29" ht="38.25">
      <c r="A103" s="506"/>
      <c r="B103" s="541"/>
      <c r="C103" s="19">
        <v>5304340</v>
      </c>
      <c r="D103" s="20" t="s">
        <v>544</v>
      </c>
      <c r="E103" s="23">
        <v>22835</v>
      </c>
      <c r="F103" s="23">
        <v>9966</v>
      </c>
      <c r="G103" s="23">
        <v>4734</v>
      </c>
      <c r="H103" s="23">
        <v>29941</v>
      </c>
      <c r="I103" s="23">
        <v>65362</v>
      </c>
      <c r="J103" s="24">
        <v>654</v>
      </c>
      <c r="K103" s="23">
        <v>31121</v>
      </c>
      <c r="L103" s="23">
        <v>24998</v>
      </c>
      <c r="M103" s="23">
        <v>56238</v>
      </c>
      <c r="N103" s="23">
        <v>16422</v>
      </c>
      <c r="O103" s="23">
        <v>14379</v>
      </c>
      <c r="P103" s="23">
        <v>91028</v>
      </c>
      <c r="Q103" s="21">
        <v>367677</v>
      </c>
      <c r="R103" s="43">
        <v>234841</v>
      </c>
      <c r="S103" s="47">
        <v>2212</v>
      </c>
      <c r="T103" s="47">
        <v>2212</v>
      </c>
      <c r="U103" s="47">
        <v>2214</v>
      </c>
      <c r="V103" s="47">
        <v>2262</v>
      </c>
      <c r="W103" s="47">
        <v>2264</v>
      </c>
      <c r="X103" s="43">
        <v>11164</v>
      </c>
      <c r="Y103" s="43">
        <v>246005</v>
      </c>
      <c r="Z103" s="179"/>
      <c r="AC103" s="180"/>
    </row>
    <row r="104" spans="1:29" ht="25.5">
      <c r="A104" s="506"/>
      <c r="B104" s="541"/>
      <c r="C104" s="19">
        <v>5304350</v>
      </c>
      <c r="D104" s="20" t="s">
        <v>545</v>
      </c>
      <c r="E104" s="23">
        <v>1296</v>
      </c>
      <c r="F104" s="23">
        <v>1518</v>
      </c>
      <c r="G104" s="23">
        <v>2809</v>
      </c>
      <c r="H104" s="24">
        <v>105</v>
      </c>
      <c r="I104" s="23">
        <v>1231</v>
      </c>
      <c r="J104" s="23">
        <v>1764</v>
      </c>
      <c r="K104" s="24">
        <v>688</v>
      </c>
      <c r="L104" s="24">
        <v>753</v>
      </c>
      <c r="M104" s="23">
        <v>2490</v>
      </c>
      <c r="N104" s="24">
        <v>437</v>
      </c>
      <c r="O104" s="24">
        <v>368</v>
      </c>
      <c r="P104" s="23">
        <v>1932</v>
      </c>
      <c r="Q104" s="21">
        <v>15391</v>
      </c>
      <c r="R104" s="43">
        <v>8432</v>
      </c>
      <c r="S104" s="47">
        <v>1400</v>
      </c>
      <c r="T104" s="47">
        <v>1400</v>
      </c>
      <c r="U104" s="47">
        <v>1400</v>
      </c>
      <c r="V104" s="47">
        <v>1400</v>
      </c>
      <c r="W104" s="47">
        <v>1400</v>
      </c>
      <c r="X104" s="43">
        <v>7000</v>
      </c>
      <c r="Y104" s="43">
        <v>15432</v>
      </c>
      <c r="Z104" s="179"/>
      <c r="AC104" s="180"/>
    </row>
    <row r="105" spans="1:29" ht="25.5">
      <c r="A105" s="506"/>
      <c r="B105" s="541"/>
      <c r="C105" s="19">
        <v>5304360</v>
      </c>
      <c r="D105" s="20" t="s">
        <v>546</v>
      </c>
      <c r="E105" s="24"/>
      <c r="F105" s="24"/>
      <c r="G105" s="24"/>
      <c r="H105" s="24"/>
      <c r="I105" s="24"/>
      <c r="J105" s="24"/>
      <c r="K105" s="24"/>
      <c r="L105" s="24"/>
      <c r="M105" s="24"/>
      <c r="N105" s="23">
        <v>1369</v>
      </c>
      <c r="O105" s="24" t="s">
        <v>223</v>
      </c>
      <c r="P105" s="24" t="s">
        <v>223</v>
      </c>
      <c r="Q105" s="21">
        <v>1369</v>
      </c>
      <c r="R105" s="43">
        <v>1369</v>
      </c>
      <c r="S105" s="47">
        <v>47</v>
      </c>
      <c r="T105" s="47">
        <v>47</v>
      </c>
      <c r="U105" s="47">
        <v>47</v>
      </c>
      <c r="V105" s="47">
        <v>47</v>
      </c>
      <c r="W105" s="47">
        <v>26</v>
      </c>
      <c r="X105" s="43">
        <v>214</v>
      </c>
      <c r="Y105" s="43">
        <v>1583</v>
      </c>
      <c r="Z105" s="179"/>
      <c r="AC105" s="180" t="s">
        <v>547</v>
      </c>
    </row>
    <row r="106" spans="1:29" ht="38.25">
      <c r="A106" s="506"/>
      <c r="B106" s="541"/>
      <c r="C106" s="19">
        <v>5304370</v>
      </c>
      <c r="D106" s="20" t="s">
        <v>548</v>
      </c>
      <c r="E106" s="23">
        <v>13418</v>
      </c>
      <c r="F106" s="23">
        <v>33703</v>
      </c>
      <c r="G106" s="23">
        <v>15050</v>
      </c>
      <c r="H106" s="23">
        <v>3716</v>
      </c>
      <c r="I106" s="23">
        <v>20758</v>
      </c>
      <c r="J106" s="23">
        <v>10884</v>
      </c>
      <c r="K106" s="23">
        <v>10494</v>
      </c>
      <c r="L106" s="23">
        <v>15628</v>
      </c>
      <c r="M106" s="23">
        <v>28520</v>
      </c>
      <c r="N106" s="23">
        <v>18043</v>
      </c>
      <c r="O106" s="23">
        <v>17378</v>
      </c>
      <c r="P106" s="23">
        <v>26273</v>
      </c>
      <c r="Q106" s="21">
        <v>213865</v>
      </c>
      <c r="R106" s="43">
        <v>127220</v>
      </c>
      <c r="S106" s="47">
        <v>14570</v>
      </c>
      <c r="T106" s="47">
        <v>14570</v>
      </c>
      <c r="U106" s="47">
        <v>14570</v>
      </c>
      <c r="V106" s="47">
        <v>14570</v>
      </c>
      <c r="W106" s="47">
        <v>14570</v>
      </c>
      <c r="X106" s="43">
        <v>72850</v>
      </c>
      <c r="Y106" s="43">
        <v>200070</v>
      </c>
      <c r="Z106" s="179"/>
      <c r="AC106" s="180"/>
    </row>
    <row r="107" spans="1:29" ht="25.5">
      <c r="A107" s="506"/>
      <c r="B107" s="541"/>
      <c r="C107" s="19">
        <v>5304390</v>
      </c>
      <c r="D107" s="20" t="s">
        <v>549</v>
      </c>
      <c r="E107" s="23">
        <v>20589</v>
      </c>
      <c r="F107" s="23">
        <v>27656</v>
      </c>
      <c r="G107" s="23">
        <v>17909</v>
      </c>
      <c r="H107" s="23">
        <v>6865</v>
      </c>
      <c r="I107" s="23">
        <v>8921</v>
      </c>
      <c r="J107" s="23">
        <v>11257</v>
      </c>
      <c r="K107" s="23">
        <v>19737</v>
      </c>
      <c r="L107" s="23">
        <v>10958</v>
      </c>
      <c r="M107" s="23">
        <v>10480</v>
      </c>
      <c r="N107" s="23">
        <v>5942</v>
      </c>
      <c r="O107" s="23">
        <v>12011</v>
      </c>
      <c r="P107" s="23">
        <v>13348</v>
      </c>
      <c r="Q107" s="21">
        <v>165672</v>
      </c>
      <c r="R107" s="43">
        <v>83732</v>
      </c>
      <c r="S107" s="47">
        <v>9656</v>
      </c>
      <c r="T107" s="47">
        <v>9689</v>
      </c>
      <c r="U107" s="47">
        <v>9679</v>
      </c>
      <c r="V107" s="47">
        <v>9679</v>
      </c>
      <c r="W107" s="47">
        <v>9636</v>
      </c>
      <c r="X107" s="43">
        <v>48339</v>
      </c>
      <c r="Y107" s="43">
        <v>132071</v>
      </c>
      <c r="Z107" s="179"/>
      <c r="AC107" s="180"/>
    </row>
    <row r="108" spans="1:29" ht="51">
      <c r="A108" s="506"/>
      <c r="B108" s="541"/>
      <c r="C108" s="19">
        <v>5304410</v>
      </c>
      <c r="D108" s="20" t="s">
        <v>550</v>
      </c>
      <c r="E108" s="24" t="s">
        <v>223</v>
      </c>
      <c r="F108" s="24">
        <v>62</v>
      </c>
      <c r="G108" s="23">
        <v>-19087</v>
      </c>
      <c r="H108" s="24" t="s">
        <v>223</v>
      </c>
      <c r="I108" s="24" t="s">
        <v>223</v>
      </c>
      <c r="J108" s="23">
        <v>21218</v>
      </c>
      <c r="K108" s="24" t="s">
        <v>223</v>
      </c>
      <c r="L108" s="24" t="s">
        <v>223</v>
      </c>
      <c r="M108" s="23">
        <v>5257</v>
      </c>
      <c r="N108" s="23">
        <v>-71407</v>
      </c>
      <c r="O108" s="24" t="s">
        <v>223</v>
      </c>
      <c r="P108" s="23">
        <v>55264</v>
      </c>
      <c r="Q108" s="21">
        <v>-8693</v>
      </c>
      <c r="R108" s="43">
        <v>10332</v>
      </c>
      <c r="S108" s="47"/>
      <c r="T108" s="47"/>
      <c r="U108" s="47"/>
      <c r="V108" s="47"/>
      <c r="W108" s="47"/>
      <c r="X108" s="43" t="s">
        <v>223</v>
      </c>
      <c r="Y108" s="43">
        <v>10332</v>
      </c>
      <c r="Z108" s="179"/>
      <c r="AC108" s="180"/>
    </row>
    <row r="109" spans="1:29">
      <c r="A109" s="506"/>
      <c r="B109" s="541"/>
      <c r="C109" s="19">
        <v>5304510</v>
      </c>
      <c r="D109" s="20" t="s">
        <v>551</v>
      </c>
      <c r="E109" s="23">
        <v>30375</v>
      </c>
      <c r="F109" s="23">
        <v>26520</v>
      </c>
      <c r="G109" s="23">
        <v>21143</v>
      </c>
      <c r="H109" s="23">
        <v>33831</v>
      </c>
      <c r="I109" s="23">
        <v>35521</v>
      </c>
      <c r="J109" s="23">
        <v>39018</v>
      </c>
      <c r="K109" s="23">
        <v>34778</v>
      </c>
      <c r="L109" s="23">
        <v>34124</v>
      </c>
      <c r="M109" s="23">
        <v>28977</v>
      </c>
      <c r="N109" s="23">
        <v>32529</v>
      </c>
      <c r="O109" s="23">
        <v>35074</v>
      </c>
      <c r="P109" s="23">
        <v>32272</v>
      </c>
      <c r="Q109" s="21">
        <v>384162</v>
      </c>
      <c r="R109" s="43">
        <v>236772</v>
      </c>
      <c r="S109" s="47">
        <v>4121</v>
      </c>
      <c r="T109" s="47">
        <v>4261</v>
      </c>
      <c r="U109" s="47">
        <v>3836</v>
      </c>
      <c r="V109" s="47">
        <v>4272</v>
      </c>
      <c r="W109" s="47">
        <v>4355</v>
      </c>
      <c r="X109" s="43">
        <v>20845</v>
      </c>
      <c r="Y109" s="43">
        <v>257617</v>
      </c>
      <c r="Z109" s="179"/>
      <c r="AC109" s="180"/>
    </row>
    <row r="110" spans="1:29" ht="51">
      <c r="A110" s="506"/>
      <c r="B110" s="541"/>
      <c r="C110" s="19">
        <v>5304991</v>
      </c>
      <c r="D110" s="20" t="s">
        <v>552</v>
      </c>
      <c r="E110" s="24">
        <v>19</v>
      </c>
      <c r="F110" s="24">
        <v>56</v>
      </c>
      <c r="G110" s="24">
        <v>-21</v>
      </c>
      <c r="H110" s="24">
        <v>172</v>
      </c>
      <c r="I110" s="24">
        <v>107</v>
      </c>
      <c r="J110" s="24">
        <v>226</v>
      </c>
      <c r="K110" s="24">
        <v>33</v>
      </c>
      <c r="L110" s="24">
        <v>80</v>
      </c>
      <c r="M110" s="24">
        <v>-232</v>
      </c>
      <c r="N110" s="24">
        <v>-519</v>
      </c>
      <c r="O110" s="24">
        <v>48</v>
      </c>
      <c r="P110" s="24">
        <v>649</v>
      </c>
      <c r="Q110" s="506">
        <v>619</v>
      </c>
      <c r="R110" s="43">
        <v>285</v>
      </c>
      <c r="S110" s="47">
        <v>5</v>
      </c>
      <c r="T110" s="47">
        <v>5</v>
      </c>
      <c r="U110" s="47">
        <v>5</v>
      </c>
      <c r="V110" s="47">
        <v>5</v>
      </c>
      <c r="W110" s="47">
        <v>5</v>
      </c>
      <c r="X110" s="43">
        <v>25</v>
      </c>
      <c r="Y110" s="43">
        <v>310</v>
      </c>
      <c r="Z110" s="179"/>
      <c r="AC110" s="180"/>
    </row>
    <row r="111" spans="1:29" ht="51">
      <c r="A111" s="506"/>
      <c r="B111" s="541"/>
      <c r="C111" s="19">
        <v>5304999</v>
      </c>
      <c r="D111" s="20" t="s">
        <v>553</v>
      </c>
      <c r="E111" s="23">
        <v>-78461</v>
      </c>
      <c r="F111" s="23">
        <v>-95516</v>
      </c>
      <c r="G111" s="23">
        <v>-95930</v>
      </c>
      <c r="H111" s="23">
        <v>-105764</v>
      </c>
      <c r="I111" s="23">
        <v>-199777</v>
      </c>
      <c r="J111" s="23">
        <v>-235160</v>
      </c>
      <c r="K111" s="23">
        <v>-163031</v>
      </c>
      <c r="L111" s="23">
        <v>-130328</v>
      </c>
      <c r="M111" s="23">
        <v>-98493</v>
      </c>
      <c r="N111" s="23">
        <v>-96818</v>
      </c>
      <c r="O111" s="23">
        <v>-45986</v>
      </c>
      <c r="P111" s="23">
        <v>-342718</v>
      </c>
      <c r="Q111" s="21">
        <v>-1687981</v>
      </c>
      <c r="R111" s="43">
        <v>-1112533</v>
      </c>
      <c r="S111" s="47"/>
      <c r="T111" s="47"/>
      <c r="U111" s="47"/>
      <c r="V111" s="47"/>
      <c r="W111" s="47"/>
      <c r="X111" s="43" t="s">
        <v>223</v>
      </c>
      <c r="Y111" s="43">
        <v>-1112533</v>
      </c>
      <c r="Z111" s="179"/>
      <c r="AC111" s="180"/>
    </row>
    <row r="112" spans="1:29" ht="25.5">
      <c r="A112" s="506"/>
      <c r="B112" s="541"/>
      <c r="C112" s="19">
        <v>5305010</v>
      </c>
      <c r="D112" s="20" t="s">
        <v>554</v>
      </c>
      <c r="E112" s="24"/>
      <c r="F112" s="24"/>
      <c r="G112" s="24"/>
      <c r="H112" s="24"/>
      <c r="I112" s="24"/>
      <c r="J112" s="24"/>
      <c r="K112" s="24"/>
      <c r="L112" s="24"/>
      <c r="M112" s="24"/>
      <c r="N112" s="24"/>
      <c r="O112" s="24"/>
      <c r="P112" s="24"/>
      <c r="Q112" s="506" t="s">
        <v>223</v>
      </c>
      <c r="R112" s="43" t="s">
        <v>223</v>
      </c>
      <c r="S112" s="47">
        <v>2785</v>
      </c>
      <c r="T112" s="47">
        <v>2785</v>
      </c>
      <c r="U112" s="47">
        <v>2785</v>
      </c>
      <c r="V112" s="47">
        <v>2785</v>
      </c>
      <c r="W112" s="47">
        <v>2785</v>
      </c>
      <c r="X112" s="43">
        <v>13925</v>
      </c>
      <c r="Y112" s="43">
        <v>13925</v>
      </c>
      <c r="Z112" s="179"/>
      <c r="AC112" s="180"/>
    </row>
    <row r="113" spans="1:25" ht="25.5">
      <c r="A113" s="506"/>
      <c r="B113" s="541"/>
      <c r="C113" s="19">
        <v>5305020</v>
      </c>
      <c r="D113" s="20" t="s">
        <v>555</v>
      </c>
      <c r="E113" s="23">
        <v>1777</v>
      </c>
      <c r="F113" s="24">
        <v>94</v>
      </c>
      <c r="G113" s="24">
        <v>150</v>
      </c>
      <c r="H113" s="24">
        <v>726</v>
      </c>
      <c r="I113" s="24">
        <v>270</v>
      </c>
      <c r="J113" s="24" t="s">
        <v>223</v>
      </c>
      <c r="K113" s="24">
        <v>250</v>
      </c>
      <c r="L113" s="24" t="s">
        <v>223</v>
      </c>
      <c r="M113" s="23">
        <v>1500</v>
      </c>
      <c r="N113" s="23">
        <v>10962</v>
      </c>
      <c r="O113" s="23">
        <v>79792</v>
      </c>
      <c r="P113" s="23">
        <v>38375</v>
      </c>
      <c r="Q113" s="21">
        <v>133895</v>
      </c>
      <c r="R113" s="43">
        <v>130879</v>
      </c>
      <c r="S113" s="47">
        <v>480</v>
      </c>
      <c r="T113" s="47">
        <v>480</v>
      </c>
      <c r="U113" s="47">
        <v>480</v>
      </c>
      <c r="V113" s="47">
        <v>480</v>
      </c>
      <c r="W113" s="47">
        <v>480</v>
      </c>
      <c r="X113" s="43">
        <v>2400</v>
      </c>
      <c r="Y113" s="43">
        <v>133279</v>
      </c>
    </row>
    <row r="114" spans="1:25" ht="25.5">
      <c r="A114" s="506"/>
      <c r="B114" s="541"/>
      <c r="C114" s="19">
        <v>5305030</v>
      </c>
      <c r="D114" s="20" t="s">
        <v>556</v>
      </c>
      <c r="E114" s="24">
        <v>-336</v>
      </c>
      <c r="F114" s="24" t="s">
        <v>223</v>
      </c>
      <c r="G114" s="23">
        <v>-1370</v>
      </c>
      <c r="H114" s="24">
        <v>-80</v>
      </c>
      <c r="I114" s="23">
        <v>-1469</v>
      </c>
      <c r="J114" s="24">
        <v>-49</v>
      </c>
      <c r="K114" s="24">
        <v>-983</v>
      </c>
      <c r="L114" s="23">
        <v>-1360</v>
      </c>
      <c r="M114" s="24" t="s">
        <v>223</v>
      </c>
      <c r="N114" s="24">
        <v>-121</v>
      </c>
      <c r="O114" s="24" t="s">
        <v>223</v>
      </c>
      <c r="P114" s="24" t="s">
        <v>223</v>
      </c>
      <c r="Q114" s="21">
        <v>-5769</v>
      </c>
      <c r="R114" s="43">
        <v>-2513</v>
      </c>
      <c r="S114" s="47"/>
      <c r="T114" s="47"/>
      <c r="U114" s="47"/>
      <c r="V114" s="47"/>
      <c r="W114" s="47"/>
      <c r="X114" s="43" t="s">
        <v>223</v>
      </c>
      <c r="Y114" s="43">
        <v>-2513</v>
      </c>
    </row>
    <row r="115" spans="1:25" ht="51">
      <c r="A115" s="506"/>
      <c r="B115" s="541"/>
      <c r="C115" s="19">
        <v>5305050</v>
      </c>
      <c r="D115" s="20" t="s">
        <v>557</v>
      </c>
      <c r="E115" s="24" t="s">
        <v>223</v>
      </c>
      <c r="F115" s="23">
        <v>1008</v>
      </c>
      <c r="G115" s="23">
        <v>-2782</v>
      </c>
      <c r="H115" s="23">
        <v>2835</v>
      </c>
      <c r="I115" s="23">
        <v>1350</v>
      </c>
      <c r="J115" s="23">
        <v>-2150</v>
      </c>
      <c r="K115" s="24" t="s">
        <v>223</v>
      </c>
      <c r="L115" s="23">
        <v>6837</v>
      </c>
      <c r="M115" s="23">
        <v>2901</v>
      </c>
      <c r="N115" s="24">
        <v>-95</v>
      </c>
      <c r="O115" s="23">
        <v>13627</v>
      </c>
      <c r="P115" s="23">
        <v>6813</v>
      </c>
      <c r="Q115" s="21">
        <v>30344</v>
      </c>
      <c r="R115" s="43">
        <v>27933</v>
      </c>
      <c r="S115" s="47">
        <v>18977</v>
      </c>
      <c r="T115" s="47">
        <v>18977</v>
      </c>
      <c r="U115" s="47">
        <v>18977</v>
      </c>
      <c r="V115" s="47">
        <v>18977</v>
      </c>
      <c r="W115" s="47">
        <v>18977</v>
      </c>
      <c r="X115" s="43">
        <v>94885</v>
      </c>
      <c r="Y115" s="43">
        <v>122818</v>
      </c>
    </row>
    <row r="116" spans="1:25" ht="38.25">
      <c r="A116" s="506"/>
      <c r="B116" s="541"/>
      <c r="C116" s="19">
        <v>5305060</v>
      </c>
      <c r="D116" s="20" t="s">
        <v>558</v>
      </c>
      <c r="E116" s="24" t="s">
        <v>223</v>
      </c>
      <c r="F116" s="24" t="s">
        <v>223</v>
      </c>
      <c r="G116" s="24" t="s">
        <v>223</v>
      </c>
      <c r="H116" s="24">
        <v>283</v>
      </c>
      <c r="I116" s="24" t="s">
        <v>223</v>
      </c>
      <c r="J116" s="24" t="s">
        <v>223</v>
      </c>
      <c r="K116" s="24" t="s">
        <v>223</v>
      </c>
      <c r="L116" s="24">
        <v>100</v>
      </c>
      <c r="M116" s="24" t="s">
        <v>223</v>
      </c>
      <c r="N116" s="24">
        <v>95</v>
      </c>
      <c r="O116" s="24" t="s">
        <v>223</v>
      </c>
      <c r="P116" s="24" t="s">
        <v>223</v>
      </c>
      <c r="Q116" s="506">
        <v>479</v>
      </c>
      <c r="R116" s="43">
        <v>196</v>
      </c>
      <c r="S116" s="47"/>
      <c r="T116" s="47"/>
      <c r="U116" s="47"/>
      <c r="V116" s="47"/>
      <c r="W116" s="47"/>
      <c r="X116" s="43" t="s">
        <v>223</v>
      </c>
      <c r="Y116" s="43">
        <v>196</v>
      </c>
    </row>
    <row r="117" spans="1:25" ht="51">
      <c r="A117" s="506"/>
      <c r="B117" s="541"/>
      <c r="C117" s="19">
        <v>5306010</v>
      </c>
      <c r="D117" s="20" t="s">
        <v>559</v>
      </c>
      <c r="E117" s="23">
        <v>3291</v>
      </c>
      <c r="F117" s="23">
        <v>3273</v>
      </c>
      <c r="G117" s="23">
        <v>3273</v>
      </c>
      <c r="H117" s="23">
        <v>3273</v>
      </c>
      <c r="I117" s="23">
        <v>3273</v>
      </c>
      <c r="J117" s="23">
        <v>3273</v>
      </c>
      <c r="K117" s="23">
        <v>7215</v>
      </c>
      <c r="L117" s="23">
        <v>5597</v>
      </c>
      <c r="M117" s="23">
        <v>5597</v>
      </c>
      <c r="N117" s="23">
        <v>5597</v>
      </c>
      <c r="O117" s="23">
        <v>5597</v>
      </c>
      <c r="P117" s="23">
        <v>5597</v>
      </c>
      <c r="Q117" s="21">
        <v>54856</v>
      </c>
      <c r="R117" s="43">
        <v>38474</v>
      </c>
      <c r="S117" s="47">
        <v>5497</v>
      </c>
      <c r="T117" s="47">
        <v>5497</v>
      </c>
      <c r="U117" s="47">
        <v>5497</v>
      </c>
      <c r="V117" s="47">
        <v>5497</v>
      </c>
      <c r="W117" s="47">
        <v>5497</v>
      </c>
      <c r="X117" s="43">
        <v>27485</v>
      </c>
      <c r="Y117" s="43">
        <v>65959</v>
      </c>
    </row>
    <row r="118" spans="1:25" ht="38.25">
      <c r="A118" s="506"/>
      <c r="B118" s="541"/>
      <c r="C118" s="19">
        <v>5306020</v>
      </c>
      <c r="D118" s="20" t="s">
        <v>560</v>
      </c>
      <c r="E118" s="23">
        <v>32865</v>
      </c>
      <c r="F118" s="23">
        <v>43733</v>
      </c>
      <c r="G118" s="23">
        <v>43733</v>
      </c>
      <c r="H118" s="23">
        <v>43733</v>
      </c>
      <c r="I118" s="23">
        <v>43733</v>
      </c>
      <c r="J118" s="23">
        <v>43640</v>
      </c>
      <c r="K118" s="23">
        <v>40959</v>
      </c>
      <c r="L118" s="23">
        <v>40700</v>
      </c>
      <c r="M118" s="23">
        <v>40700</v>
      </c>
      <c r="N118" s="23">
        <v>40741</v>
      </c>
      <c r="O118" s="23">
        <v>40700</v>
      </c>
      <c r="P118" s="23">
        <v>40700</v>
      </c>
      <c r="Q118" s="21">
        <v>495935</v>
      </c>
      <c r="R118" s="43">
        <v>288140</v>
      </c>
      <c r="S118" s="47">
        <v>38812</v>
      </c>
      <c r="T118" s="47">
        <v>38812</v>
      </c>
      <c r="U118" s="47">
        <v>38812</v>
      </c>
      <c r="V118" s="47">
        <v>38812</v>
      </c>
      <c r="W118" s="47">
        <v>38812</v>
      </c>
      <c r="X118" s="43">
        <v>194060</v>
      </c>
      <c r="Y118" s="43">
        <v>482200</v>
      </c>
    </row>
    <row r="119" spans="1:25" ht="38.25">
      <c r="A119" s="506"/>
      <c r="B119" s="541"/>
      <c r="C119" s="19">
        <v>5306060</v>
      </c>
      <c r="D119" s="20" t="s">
        <v>561</v>
      </c>
      <c r="E119" s="23">
        <v>19513</v>
      </c>
      <c r="F119" s="23">
        <v>15767</v>
      </c>
      <c r="G119" s="23">
        <v>3476</v>
      </c>
      <c r="H119" s="23">
        <v>3476</v>
      </c>
      <c r="I119" s="23">
        <v>3476</v>
      </c>
      <c r="J119" s="23">
        <v>3476</v>
      </c>
      <c r="K119" s="23">
        <v>45263</v>
      </c>
      <c r="L119" s="23">
        <v>45263</v>
      </c>
      <c r="M119" s="23">
        <v>45263</v>
      </c>
      <c r="N119" s="23">
        <v>45263</v>
      </c>
      <c r="O119" s="23">
        <v>-28705</v>
      </c>
      <c r="P119" s="23">
        <v>8279</v>
      </c>
      <c r="Q119" s="21">
        <v>209807</v>
      </c>
      <c r="R119" s="43">
        <v>164100</v>
      </c>
      <c r="S119" s="47">
        <v>8201</v>
      </c>
      <c r="T119" s="47">
        <v>8201</v>
      </c>
      <c r="U119" s="47">
        <v>8201</v>
      </c>
      <c r="V119" s="47">
        <v>8201</v>
      </c>
      <c r="W119" s="47">
        <v>8201</v>
      </c>
      <c r="X119" s="43">
        <v>41005</v>
      </c>
      <c r="Y119" s="43">
        <v>205105</v>
      </c>
    </row>
    <row r="120" spans="1:25" ht="38.25">
      <c r="A120" s="506"/>
      <c r="B120" s="541"/>
      <c r="C120" s="19">
        <v>5306070</v>
      </c>
      <c r="D120" s="20" t="s">
        <v>562</v>
      </c>
      <c r="E120" s="23">
        <v>20201</v>
      </c>
      <c r="F120" s="23">
        <v>14704</v>
      </c>
      <c r="G120" s="24">
        <v>391</v>
      </c>
      <c r="H120" s="24">
        <v>391</v>
      </c>
      <c r="I120" s="24">
        <v>391</v>
      </c>
      <c r="J120" s="24">
        <v>304</v>
      </c>
      <c r="K120" s="23">
        <v>-25822</v>
      </c>
      <c r="L120" s="23">
        <v>10839</v>
      </c>
      <c r="M120" s="23">
        <v>10839</v>
      </c>
      <c r="N120" s="23">
        <v>10839</v>
      </c>
      <c r="O120" s="23">
        <v>-2788</v>
      </c>
      <c r="P120" s="23">
        <v>4026</v>
      </c>
      <c r="Q120" s="21">
        <v>44318</v>
      </c>
      <c r="R120" s="43">
        <v>8240</v>
      </c>
      <c r="S120" s="47">
        <v>4429</v>
      </c>
      <c r="T120" s="47">
        <v>4429</v>
      </c>
      <c r="U120" s="47">
        <v>4429</v>
      </c>
      <c r="V120" s="47">
        <v>4429</v>
      </c>
      <c r="W120" s="47">
        <v>4429</v>
      </c>
      <c r="X120" s="43">
        <v>22145</v>
      </c>
      <c r="Y120" s="43">
        <v>30385</v>
      </c>
    </row>
    <row r="121" spans="1:25" ht="25.5">
      <c r="A121" s="506"/>
      <c r="B121" s="541"/>
      <c r="C121" s="19">
        <v>5306099</v>
      </c>
      <c r="D121" s="20" t="s">
        <v>563</v>
      </c>
      <c r="E121" s="23">
        <v>23449</v>
      </c>
      <c r="F121" s="23">
        <v>22550</v>
      </c>
      <c r="G121" s="23">
        <v>5499</v>
      </c>
      <c r="H121" s="23">
        <v>9004</v>
      </c>
      <c r="I121" s="23">
        <v>9077</v>
      </c>
      <c r="J121" s="23">
        <v>9229</v>
      </c>
      <c r="K121" s="23">
        <v>-52555</v>
      </c>
      <c r="L121" s="23">
        <v>11578</v>
      </c>
      <c r="M121" s="23">
        <v>11636</v>
      </c>
      <c r="N121" s="23">
        <v>11832</v>
      </c>
      <c r="O121" s="23">
        <v>11680</v>
      </c>
      <c r="P121" s="23">
        <v>9331</v>
      </c>
      <c r="Q121" s="21">
        <v>82310</v>
      </c>
      <c r="R121" s="43">
        <v>12731</v>
      </c>
      <c r="S121" s="47">
        <v>6072</v>
      </c>
      <c r="T121" s="47">
        <v>6072</v>
      </c>
      <c r="U121" s="47">
        <v>6072</v>
      </c>
      <c r="V121" s="47">
        <v>6072</v>
      </c>
      <c r="W121" s="47">
        <v>6072</v>
      </c>
      <c r="X121" s="43">
        <v>30360</v>
      </c>
      <c r="Y121" s="43">
        <v>43091</v>
      </c>
    </row>
    <row r="122" spans="1:25" ht="38.25">
      <c r="A122" s="506"/>
      <c r="B122" s="541"/>
      <c r="C122" s="19">
        <v>5307010</v>
      </c>
      <c r="D122" s="20" t="s">
        <v>564</v>
      </c>
      <c r="E122" s="23">
        <v>3122</v>
      </c>
      <c r="F122" s="23">
        <v>3122</v>
      </c>
      <c r="G122" s="23">
        <v>3122</v>
      </c>
      <c r="H122" s="23">
        <v>3122</v>
      </c>
      <c r="I122" s="23">
        <v>3122</v>
      </c>
      <c r="J122" s="23">
        <v>3122</v>
      </c>
      <c r="K122" s="23">
        <v>2922</v>
      </c>
      <c r="L122" s="23">
        <v>3122</v>
      </c>
      <c r="M122" s="23">
        <v>3122</v>
      </c>
      <c r="N122" s="23">
        <v>3122</v>
      </c>
      <c r="O122" s="23">
        <v>3783</v>
      </c>
      <c r="P122" s="23">
        <v>3783</v>
      </c>
      <c r="Q122" s="21">
        <v>38587</v>
      </c>
      <c r="R122" s="43">
        <v>22976</v>
      </c>
      <c r="S122" s="47">
        <v>4059</v>
      </c>
      <c r="T122" s="47">
        <v>4059</v>
      </c>
      <c r="U122" s="47">
        <v>4059</v>
      </c>
      <c r="V122" s="47">
        <v>4059</v>
      </c>
      <c r="W122" s="47">
        <v>4059</v>
      </c>
      <c r="X122" s="43">
        <v>20295</v>
      </c>
      <c r="Y122" s="43">
        <v>43271</v>
      </c>
    </row>
    <row r="123" spans="1:25" ht="63.75">
      <c r="A123" s="506"/>
      <c r="B123" s="541"/>
      <c r="C123" s="19">
        <v>5307030</v>
      </c>
      <c r="D123" s="20" t="s">
        <v>565</v>
      </c>
      <c r="E123" s="23">
        <v>1365</v>
      </c>
      <c r="F123" s="23">
        <v>2559</v>
      </c>
      <c r="G123" s="23">
        <v>1778</v>
      </c>
      <c r="H123" s="24">
        <v>815</v>
      </c>
      <c r="I123" s="23">
        <v>4064</v>
      </c>
      <c r="J123" s="23">
        <v>1173</v>
      </c>
      <c r="K123" s="23">
        <v>1619</v>
      </c>
      <c r="L123" s="23">
        <v>1662</v>
      </c>
      <c r="M123" s="23">
        <v>2391</v>
      </c>
      <c r="N123" s="23">
        <v>1023</v>
      </c>
      <c r="O123" s="23">
        <v>2648</v>
      </c>
      <c r="P123" s="23">
        <v>4027</v>
      </c>
      <c r="Q123" s="21">
        <v>25124</v>
      </c>
      <c r="R123" s="43">
        <v>14543</v>
      </c>
      <c r="S123" s="47">
        <v>1208</v>
      </c>
      <c r="T123" s="47">
        <v>1208</v>
      </c>
      <c r="U123" s="47">
        <v>1208</v>
      </c>
      <c r="V123" s="47">
        <v>1208</v>
      </c>
      <c r="W123" s="47">
        <v>1208</v>
      </c>
      <c r="X123" s="43">
        <v>6040</v>
      </c>
      <c r="Y123" s="43">
        <v>20583</v>
      </c>
    </row>
    <row r="124" spans="1:25" ht="51">
      <c r="A124" s="506"/>
      <c r="B124" s="541"/>
      <c r="C124" s="19">
        <v>5307050</v>
      </c>
      <c r="D124" s="20" t="s">
        <v>566</v>
      </c>
      <c r="E124" s="24" t="s">
        <v>223</v>
      </c>
      <c r="F124" s="23">
        <v>21120</v>
      </c>
      <c r="G124" s="23">
        <v>25702</v>
      </c>
      <c r="H124" s="23">
        <v>4062</v>
      </c>
      <c r="I124" s="24" t="s">
        <v>223</v>
      </c>
      <c r="J124" s="23">
        <v>2880</v>
      </c>
      <c r="K124" s="24">
        <v>443</v>
      </c>
      <c r="L124" s="23">
        <v>12000</v>
      </c>
      <c r="M124" s="23">
        <v>3671</v>
      </c>
      <c r="N124" s="24">
        <v>575</v>
      </c>
      <c r="O124" s="24">
        <v>60</v>
      </c>
      <c r="P124" s="23">
        <v>16028</v>
      </c>
      <c r="Q124" s="21">
        <v>86541</v>
      </c>
      <c r="R124" s="43">
        <v>35657</v>
      </c>
      <c r="S124" s="47">
        <v>3920</v>
      </c>
      <c r="T124" s="47">
        <v>3920</v>
      </c>
      <c r="U124" s="47">
        <v>3920</v>
      </c>
      <c r="V124" s="47">
        <v>3920</v>
      </c>
      <c r="W124" s="47">
        <v>3920</v>
      </c>
      <c r="X124" s="43">
        <v>19600</v>
      </c>
      <c r="Y124" s="43">
        <v>55257</v>
      </c>
    </row>
    <row r="125" spans="1:25" ht="51">
      <c r="A125" s="506"/>
      <c r="B125" s="541"/>
      <c r="C125" s="19">
        <v>5307090</v>
      </c>
      <c r="D125" s="20" t="s">
        <v>567</v>
      </c>
      <c r="E125" s="24"/>
      <c r="F125" s="24"/>
      <c r="G125" s="24"/>
      <c r="H125" s="24"/>
      <c r="I125" s="24"/>
      <c r="J125" s="24"/>
      <c r="K125" s="24"/>
      <c r="L125" s="24"/>
      <c r="M125" s="24"/>
      <c r="N125" s="24"/>
      <c r="O125" s="24"/>
      <c r="P125" s="24"/>
      <c r="Q125" s="506" t="s">
        <v>223</v>
      </c>
      <c r="R125" s="43" t="s">
        <v>223</v>
      </c>
      <c r="S125" s="47">
        <v>200</v>
      </c>
      <c r="T125" s="47">
        <v>200</v>
      </c>
      <c r="U125" s="47">
        <v>200</v>
      </c>
      <c r="V125" s="47">
        <v>200</v>
      </c>
      <c r="W125" s="47">
        <v>200</v>
      </c>
      <c r="X125" s="43">
        <v>1000</v>
      </c>
      <c r="Y125" s="43">
        <v>1000</v>
      </c>
    </row>
    <row r="126" spans="1:25">
      <c r="A126" s="506"/>
      <c r="B126" s="541"/>
      <c r="C126" s="19">
        <v>5308010</v>
      </c>
      <c r="D126" s="20" t="s">
        <v>568</v>
      </c>
      <c r="E126" s="24">
        <v>-207</v>
      </c>
      <c r="F126" s="24">
        <v>227</v>
      </c>
      <c r="G126" s="24">
        <v>199</v>
      </c>
      <c r="H126" s="24">
        <v>274</v>
      </c>
      <c r="I126" s="24">
        <v>261</v>
      </c>
      <c r="J126" s="24">
        <v>373</v>
      </c>
      <c r="K126" s="24">
        <v>199</v>
      </c>
      <c r="L126" s="24">
        <v>781</v>
      </c>
      <c r="M126" s="24">
        <v>199</v>
      </c>
      <c r="N126" s="23">
        <v>1535</v>
      </c>
      <c r="O126" s="23">
        <v>1436</v>
      </c>
      <c r="P126" s="23">
        <v>4157</v>
      </c>
      <c r="Q126" s="21">
        <v>9434</v>
      </c>
      <c r="R126" s="43">
        <v>8681</v>
      </c>
      <c r="S126" s="47">
        <v>1448</v>
      </c>
      <c r="T126" s="47">
        <v>1448</v>
      </c>
      <c r="U126" s="47">
        <v>1450</v>
      </c>
      <c r="V126" s="47">
        <v>1448</v>
      </c>
      <c r="W126" s="47">
        <v>1448</v>
      </c>
      <c r="X126" s="43">
        <v>7242</v>
      </c>
      <c r="Y126" s="43">
        <v>15923</v>
      </c>
    </row>
    <row r="127" spans="1:25" ht="25.5">
      <c r="A127" s="506"/>
      <c r="B127" s="541"/>
      <c r="C127" s="19">
        <v>5308020</v>
      </c>
      <c r="D127" s="20" t="s">
        <v>569</v>
      </c>
      <c r="E127" s="24" t="s">
        <v>223</v>
      </c>
      <c r="F127" s="24" t="s">
        <v>223</v>
      </c>
      <c r="G127" s="24">
        <v>150</v>
      </c>
      <c r="H127" s="24">
        <v>608</v>
      </c>
      <c r="I127" s="24">
        <v>862</v>
      </c>
      <c r="J127" s="24">
        <v>219</v>
      </c>
      <c r="K127" s="24" t="s">
        <v>223</v>
      </c>
      <c r="L127" s="24" t="s">
        <v>223</v>
      </c>
      <c r="M127" s="24" t="s">
        <v>223</v>
      </c>
      <c r="N127" s="24"/>
      <c r="O127" s="24"/>
      <c r="P127" s="24"/>
      <c r="Q127" s="21">
        <v>1839</v>
      </c>
      <c r="R127" s="43">
        <v>219</v>
      </c>
      <c r="S127" s="47">
        <v>215</v>
      </c>
      <c r="T127" s="47">
        <v>218</v>
      </c>
      <c r="U127" s="47">
        <v>226</v>
      </c>
      <c r="V127" s="47">
        <v>214</v>
      </c>
      <c r="W127" s="47">
        <v>211</v>
      </c>
      <c r="X127" s="43">
        <v>1084</v>
      </c>
      <c r="Y127" s="43">
        <v>1303</v>
      </c>
    </row>
    <row r="128" spans="1:25" ht="25.5">
      <c r="A128" s="506"/>
      <c r="B128" s="541"/>
      <c r="C128" s="19">
        <v>5308040</v>
      </c>
      <c r="D128" s="20" t="s">
        <v>570</v>
      </c>
      <c r="E128" s="24">
        <v>375</v>
      </c>
      <c r="F128" s="24" t="s">
        <v>223</v>
      </c>
      <c r="G128" s="24" t="s">
        <v>223</v>
      </c>
      <c r="H128" s="24">
        <v>886</v>
      </c>
      <c r="I128" s="23">
        <v>1500</v>
      </c>
      <c r="J128" s="23">
        <v>1500</v>
      </c>
      <c r="K128" s="24">
        <v>412</v>
      </c>
      <c r="L128" s="23">
        <v>7879</v>
      </c>
      <c r="M128" s="23">
        <v>3100</v>
      </c>
      <c r="N128" s="23">
        <v>2740</v>
      </c>
      <c r="O128" s="23">
        <v>4772</v>
      </c>
      <c r="P128" s="24">
        <v>800</v>
      </c>
      <c r="Q128" s="21">
        <v>23965</v>
      </c>
      <c r="R128" s="43">
        <v>21203</v>
      </c>
      <c r="S128" s="47">
        <v>2080</v>
      </c>
      <c r="T128" s="47">
        <v>2080</v>
      </c>
      <c r="U128" s="47">
        <v>2080</v>
      </c>
      <c r="V128" s="47">
        <v>2080</v>
      </c>
      <c r="W128" s="47">
        <v>2080</v>
      </c>
      <c r="X128" s="43">
        <v>10400</v>
      </c>
      <c r="Y128" s="43">
        <v>31603</v>
      </c>
    </row>
    <row r="129" spans="1:25" ht="38.25">
      <c r="A129" s="506"/>
      <c r="B129" s="541"/>
      <c r="C129" s="19">
        <v>5308090</v>
      </c>
      <c r="D129" s="20" t="s">
        <v>571</v>
      </c>
      <c r="E129" s="23">
        <v>7400</v>
      </c>
      <c r="F129" s="24" t="s">
        <v>223</v>
      </c>
      <c r="G129" s="24" t="s">
        <v>223</v>
      </c>
      <c r="H129" s="24" t="s">
        <v>223</v>
      </c>
      <c r="I129" s="24" t="s">
        <v>223</v>
      </c>
      <c r="J129" s="23">
        <v>7400</v>
      </c>
      <c r="K129" s="23">
        <v>7400</v>
      </c>
      <c r="L129" s="23">
        <v>-1262</v>
      </c>
      <c r="M129" s="24">
        <v>18</v>
      </c>
      <c r="N129" s="24" t="s">
        <v>223</v>
      </c>
      <c r="O129" s="23">
        <v>6251</v>
      </c>
      <c r="P129" s="23">
        <v>6251</v>
      </c>
      <c r="Q129" s="21">
        <v>33457</v>
      </c>
      <c r="R129" s="43">
        <v>26058</v>
      </c>
      <c r="S129" s="47">
        <v>2742</v>
      </c>
      <c r="T129" s="47">
        <v>2770</v>
      </c>
      <c r="U129" s="47">
        <v>2739</v>
      </c>
      <c r="V129" s="47">
        <v>2736</v>
      </c>
      <c r="W129" s="47">
        <v>2774</v>
      </c>
      <c r="X129" s="43">
        <v>13761</v>
      </c>
      <c r="Y129" s="43">
        <v>39819</v>
      </c>
    </row>
    <row r="130" spans="1:25" ht="38.25">
      <c r="A130" s="506"/>
      <c r="B130" s="541"/>
      <c r="C130" s="19">
        <v>5308991</v>
      </c>
      <c r="D130" s="20" t="s">
        <v>572</v>
      </c>
      <c r="E130" s="24">
        <v>1</v>
      </c>
      <c r="F130" s="24">
        <v>0</v>
      </c>
      <c r="G130" s="24">
        <v>12</v>
      </c>
      <c r="H130" s="24">
        <v>5</v>
      </c>
      <c r="I130" s="24">
        <v>1</v>
      </c>
      <c r="J130" s="24">
        <v>0</v>
      </c>
      <c r="K130" s="24">
        <v>0</v>
      </c>
      <c r="L130" s="24">
        <v>3</v>
      </c>
      <c r="M130" s="24">
        <v>0</v>
      </c>
      <c r="N130" s="24">
        <v>14</v>
      </c>
      <c r="O130" s="24">
        <v>12</v>
      </c>
      <c r="P130" s="24">
        <v>18</v>
      </c>
      <c r="Q130" s="506">
        <v>65</v>
      </c>
      <c r="R130" s="43">
        <v>47</v>
      </c>
      <c r="S130" s="47"/>
      <c r="T130" s="47"/>
      <c r="U130" s="47"/>
      <c r="V130" s="47"/>
      <c r="W130" s="47"/>
      <c r="X130" s="43" t="s">
        <v>223</v>
      </c>
      <c r="Y130" s="43">
        <v>47</v>
      </c>
    </row>
    <row r="131" spans="1:25" ht="38.25">
      <c r="A131" s="506"/>
      <c r="B131" s="541"/>
      <c r="C131" s="19">
        <v>5309010</v>
      </c>
      <c r="D131" s="20" t="s">
        <v>573</v>
      </c>
      <c r="E131" s="23">
        <v>12308</v>
      </c>
      <c r="F131" s="23">
        <v>11319</v>
      </c>
      <c r="G131" s="23">
        <v>12105</v>
      </c>
      <c r="H131" s="23">
        <v>13939</v>
      </c>
      <c r="I131" s="23">
        <v>11284</v>
      </c>
      <c r="J131" s="23">
        <v>16239</v>
      </c>
      <c r="K131" s="23">
        <v>10990</v>
      </c>
      <c r="L131" s="23">
        <v>8761</v>
      </c>
      <c r="M131" s="23">
        <v>13781</v>
      </c>
      <c r="N131" s="23">
        <v>11095</v>
      </c>
      <c r="O131" s="23">
        <v>10681</v>
      </c>
      <c r="P131" s="23">
        <v>9598</v>
      </c>
      <c r="Q131" s="21">
        <v>142101</v>
      </c>
      <c r="R131" s="43">
        <v>81146</v>
      </c>
      <c r="S131" s="47">
        <v>19398</v>
      </c>
      <c r="T131" s="47">
        <v>19398</v>
      </c>
      <c r="U131" s="47">
        <v>19398</v>
      </c>
      <c r="V131" s="47">
        <v>19398</v>
      </c>
      <c r="W131" s="47">
        <v>19398</v>
      </c>
      <c r="X131" s="43">
        <v>96990</v>
      </c>
      <c r="Y131" s="43">
        <v>178136</v>
      </c>
    </row>
    <row r="132" spans="1:25" ht="25.5">
      <c r="A132" s="506"/>
      <c r="B132" s="541"/>
      <c r="C132" s="19">
        <v>5309020</v>
      </c>
      <c r="D132" s="20" t="s">
        <v>574</v>
      </c>
      <c r="E132" s="23">
        <v>29222</v>
      </c>
      <c r="F132" s="23">
        <v>27215</v>
      </c>
      <c r="G132" s="23">
        <v>28104</v>
      </c>
      <c r="H132" s="23">
        <v>32764</v>
      </c>
      <c r="I132" s="23">
        <v>28971</v>
      </c>
      <c r="J132" s="23">
        <v>31112</v>
      </c>
      <c r="K132" s="23">
        <v>27639</v>
      </c>
      <c r="L132" s="23">
        <v>32244</v>
      </c>
      <c r="M132" s="23">
        <v>32390</v>
      </c>
      <c r="N132" s="23">
        <v>28855</v>
      </c>
      <c r="O132" s="23">
        <v>28214</v>
      </c>
      <c r="P132" s="23">
        <v>30165</v>
      </c>
      <c r="Q132" s="21">
        <v>356895</v>
      </c>
      <c r="R132" s="43">
        <v>210618</v>
      </c>
      <c r="S132" s="47">
        <v>27156</v>
      </c>
      <c r="T132" s="47">
        <v>27156</v>
      </c>
      <c r="U132" s="47">
        <v>27156</v>
      </c>
      <c r="V132" s="47">
        <v>27156</v>
      </c>
      <c r="W132" s="47">
        <v>27156</v>
      </c>
      <c r="X132" s="43">
        <v>135780</v>
      </c>
      <c r="Y132" s="43">
        <v>346398</v>
      </c>
    </row>
    <row r="133" spans="1:25" ht="63.75">
      <c r="A133" s="506"/>
      <c r="B133" s="541"/>
      <c r="C133" s="19">
        <v>5309021</v>
      </c>
      <c r="D133" s="20" t="s">
        <v>575</v>
      </c>
      <c r="E133" s="23">
        <v>11043</v>
      </c>
      <c r="F133" s="23">
        <v>9336</v>
      </c>
      <c r="G133" s="23">
        <v>8070</v>
      </c>
      <c r="H133" s="23">
        <v>10627</v>
      </c>
      <c r="I133" s="23">
        <v>9900</v>
      </c>
      <c r="J133" s="23">
        <v>10865</v>
      </c>
      <c r="K133" s="23">
        <v>10799</v>
      </c>
      <c r="L133" s="23">
        <v>8166</v>
      </c>
      <c r="M133" s="23">
        <v>9815</v>
      </c>
      <c r="N133" s="23">
        <v>9013</v>
      </c>
      <c r="O133" s="23">
        <v>7338</v>
      </c>
      <c r="P133" s="23">
        <v>8812</v>
      </c>
      <c r="Q133" s="21">
        <v>113783</v>
      </c>
      <c r="R133" s="43">
        <v>64807</v>
      </c>
      <c r="S133" s="47">
        <v>9813</v>
      </c>
      <c r="T133" s="47">
        <v>9813</v>
      </c>
      <c r="U133" s="47">
        <v>9813</v>
      </c>
      <c r="V133" s="47">
        <v>9813</v>
      </c>
      <c r="W133" s="47">
        <v>9813</v>
      </c>
      <c r="X133" s="43">
        <v>49065</v>
      </c>
      <c r="Y133" s="43">
        <v>113872</v>
      </c>
    </row>
    <row r="134" spans="1:25" ht="25.5">
      <c r="A134" s="506"/>
      <c r="B134" s="541"/>
      <c r="C134" s="19">
        <v>5309030</v>
      </c>
      <c r="D134" s="20" t="s">
        <v>576</v>
      </c>
      <c r="E134" s="23">
        <v>1148</v>
      </c>
      <c r="F134" s="24">
        <v>807</v>
      </c>
      <c r="G134" s="23">
        <v>1251</v>
      </c>
      <c r="H134" s="24">
        <v>760</v>
      </c>
      <c r="I134" s="23">
        <v>1576</v>
      </c>
      <c r="J134" s="23">
        <v>1018</v>
      </c>
      <c r="K134" s="23">
        <v>1340</v>
      </c>
      <c r="L134" s="23">
        <v>1093</v>
      </c>
      <c r="M134" s="23">
        <v>1141</v>
      </c>
      <c r="N134" s="23">
        <v>1233</v>
      </c>
      <c r="O134" s="24">
        <v>981</v>
      </c>
      <c r="P134" s="23">
        <v>1862</v>
      </c>
      <c r="Q134" s="21">
        <v>14210</v>
      </c>
      <c r="R134" s="43">
        <v>8667</v>
      </c>
      <c r="S134" s="47">
        <v>1200</v>
      </c>
      <c r="T134" s="47">
        <v>1200</v>
      </c>
      <c r="U134" s="47">
        <v>1200</v>
      </c>
      <c r="V134" s="47">
        <v>1200</v>
      </c>
      <c r="W134" s="47">
        <v>1200</v>
      </c>
      <c r="X134" s="43">
        <v>6000</v>
      </c>
      <c r="Y134" s="43">
        <v>14667</v>
      </c>
    </row>
    <row r="135" spans="1:25" ht="25.5">
      <c r="A135" s="506"/>
      <c r="B135" s="541"/>
      <c r="C135" s="19">
        <v>5309040</v>
      </c>
      <c r="D135" s="20" t="s">
        <v>577</v>
      </c>
      <c r="E135" s="23">
        <v>1358</v>
      </c>
      <c r="F135" s="23">
        <v>1347</v>
      </c>
      <c r="G135" s="23">
        <v>1551</v>
      </c>
      <c r="H135" s="23">
        <v>1528</v>
      </c>
      <c r="I135" s="23">
        <v>1467</v>
      </c>
      <c r="J135" s="23">
        <v>1803</v>
      </c>
      <c r="K135" s="23">
        <v>1432</v>
      </c>
      <c r="L135" s="23">
        <v>1581</v>
      </c>
      <c r="M135" s="23">
        <v>1529</v>
      </c>
      <c r="N135" s="23">
        <v>1638</v>
      </c>
      <c r="O135" s="23">
        <v>1505</v>
      </c>
      <c r="P135" s="23">
        <v>1868</v>
      </c>
      <c r="Q135" s="21">
        <v>18608</v>
      </c>
      <c r="R135" s="43">
        <v>11355</v>
      </c>
      <c r="S135" s="47">
        <v>1540</v>
      </c>
      <c r="T135" s="47">
        <v>1540</v>
      </c>
      <c r="U135" s="47">
        <v>1540</v>
      </c>
      <c r="V135" s="47">
        <v>1540</v>
      </c>
      <c r="W135" s="47">
        <v>1540</v>
      </c>
      <c r="X135" s="43">
        <v>7700</v>
      </c>
      <c r="Y135" s="43">
        <v>19055</v>
      </c>
    </row>
    <row r="136" spans="1:25" ht="25.5">
      <c r="A136" s="506"/>
      <c r="B136" s="541"/>
      <c r="C136" s="19">
        <v>5310010</v>
      </c>
      <c r="D136" s="20" t="s">
        <v>578</v>
      </c>
      <c r="E136" s="24">
        <v>588</v>
      </c>
      <c r="F136" s="24" t="s">
        <v>223</v>
      </c>
      <c r="G136" s="24" t="s">
        <v>223</v>
      </c>
      <c r="H136" s="24">
        <v>510</v>
      </c>
      <c r="I136" s="23">
        <v>4197</v>
      </c>
      <c r="J136" s="24" t="s">
        <v>223</v>
      </c>
      <c r="K136" s="24">
        <v>700</v>
      </c>
      <c r="L136" s="24" t="s">
        <v>223</v>
      </c>
      <c r="M136" s="24" t="s">
        <v>223</v>
      </c>
      <c r="N136" s="24">
        <v>100</v>
      </c>
      <c r="O136" s="24" t="s">
        <v>223</v>
      </c>
      <c r="P136" s="24" t="s">
        <v>223</v>
      </c>
      <c r="Q136" s="21">
        <v>6095</v>
      </c>
      <c r="R136" s="43">
        <v>800</v>
      </c>
      <c r="S136" s="47">
        <v>130</v>
      </c>
      <c r="T136" s="47">
        <v>130</v>
      </c>
      <c r="U136" s="47">
        <v>130</v>
      </c>
      <c r="V136" s="47">
        <v>130</v>
      </c>
      <c r="W136" s="47">
        <v>130</v>
      </c>
      <c r="X136" s="43">
        <v>650</v>
      </c>
      <c r="Y136" s="43">
        <v>1450</v>
      </c>
    </row>
    <row r="137" spans="1:25" ht="25.5">
      <c r="A137" s="506"/>
      <c r="B137" s="541"/>
      <c r="C137" s="19">
        <v>5310020</v>
      </c>
      <c r="D137" s="20" t="s">
        <v>579</v>
      </c>
      <c r="E137" s="24">
        <v>116</v>
      </c>
      <c r="F137" s="24" t="s">
        <v>223</v>
      </c>
      <c r="G137" s="24">
        <v>362</v>
      </c>
      <c r="H137" s="24" t="s">
        <v>223</v>
      </c>
      <c r="I137" s="24" t="s">
        <v>223</v>
      </c>
      <c r="J137" s="24" t="s">
        <v>223</v>
      </c>
      <c r="K137" s="24" t="s">
        <v>223</v>
      </c>
      <c r="L137" s="24" t="s">
        <v>223</v>
      </c>
      <c r="M137" s="24">
        <v>163</v>
      </c>
      <c r="N137" s="24">
        <v>26</v>
      </c>
      <c r="O137" s="24" t="s">
        <v>223</v>
      </c>
      <c r="P137" s="23">
        <v>51827</v>
      </c>
      <c r="Q137" s="21">
        <v>52494</v>
      </c>
      <c r="R137" s="43">
        <v>52016</v>
      </c>
      <c r="S137" s="47">
        <v>750</v>
      </c>
      <c r="T137" s="47">
        <v>2180</v>
      </c>
      <c r="U137" s="47">
        <v>1200</v>
      </c>
      <c r="V137" s="47">
        <v>800</v>
      </c>
      <c r="W137" s="47">
        <v>1360</v>
      </c>
      <c r="X137" s="43">
        <v>6290</v>
      </c>
      <c r="Y137" s="43">
        <v>58306</v>
      </c>
    </row>
    <row r="138" spans="1:25" ht="38.25">
      <c r="A138" s="506"/>
      <c r="B138" s="541"/>
      <c r="C138" s="19">
        <v>5310030</v>
      </c>
      <c r="D138" s="20" t="s">
        <v>580</v>
      </c>
      <c r="E138" s="23">
        <v>16382</v>
      </c>
      <c r="F138" s="23">
        <v>15977</v>
      </c>
      <c r="G138" s="23">
        <v>15992</v>
      </c>
      <c r="H138" s="23">
        <v>15832</v>
      </c>
      <c r="I138" s="23">
        <v>15832</v>
      </c>
      <c r="J138" s="23">
        <v>15847</v>
      </c>
      <c r="K138" s="23">
        <v>15832</v>
      </c>
      <c r="L138" s="23">
        <v>15832</v>
      </c>
      <c r="M138" s="23">
        <v>15832</v>
      </c>
      <c r="N138" s="23">
        <v>15832</v>
      </c>
      <c r="O138" s="23">
        <v>15832</v>
      </c>
      <c r="P138" s="23">
        <v>15163</v>
      </c>
      <c r="Q138" s="21">
        <v>190181</v>
      </c>
      <c r="R138" s="43">
        <v>110167</v>
      </c>
      <c r="S138" s="47">
        <v>16700</v>
      </c>
      <c r="T138" s="47">
        <v>16700</v>
      </c>
      <c r="U138" s="47">
        <v>16700</v>
      </c>
      <c r="V138" s="47">
        <v>16700</v>
      </c>
      <c r="W138" s="47">
        <v>16700</v>
      </c>
      <c r="X138" s="43">
        <v>83500</v>
      </c>
      <c r="Y138" s="43">
        <v>193667</v>
      </c>
    </row>
    <row r="139" spans="1:25" ht="38.25">
      <c r="A139" s="506"/>
      <c r="B139" s="541"/>
      <c r="C139" s="19">
        <v>5310040</v>
      </c>
      <c r="D139" s="20" t="s">
        <v>581</v>
      </c>
      <c r="E139" s="23">
        <v>9750</v>
      </c>
      <c r="F139" s="24" t="s">
        <v>223</v>
      </c>
      <c r="G139" s="24" t="s">
        <v>223</v>
      </c>
      <c r="H139" s="23">
        <v>9750</v>
      </c>
      <c r="I139" s="24" t="s">
        <v>223</v>
      </c>
      <c r="J139" s="24" t="s">
        <v>223</v>
      </c>
      <c r="K139" s="23">
        <v>9750</v>
      </c>
      <c r="L139" s="24" t="s">
        <v>223</v>
      </c>
      <c r="M139" s="24" t="s">
        <v>223</v>
      </c>
      <c r="N139" s="23">
        <v>9750</v>
      </c>
      <c r="O139" s="24" t="s">
        <v>223</v>
      </c>
      <c r="P139" s="24" t="s">
        <v>223</v>
      </c>
      <c r="Q139" s="21">
        <v>39000</v>
      </c>
      <c r="R139" s="43">
        <v>19500</v>
      </c>
      <c r="S139" s="47">
        <v>3250</v>
      </c>
      <c r="T139" s="47">
        <v>3250</v>
      </c>
      <c r="U139" s="47">
        <v>3250</v>
      </c>
      <c r="V139" s="47">
        <v>3250</v>
      </c>
      <c r="W139" s="47">
        <v>3250</v>
      </c>
      <c r="X139" s="43">
        <v>16250</v>
      </c>
      <c r="Y139" s="43">
        <v>35750</v>
      </c>
    </row>
    <row r="140" spans="1:25" ht="25.5">
      <c r="A140" s="506"/>
      <c r="B140" s="541"/>
      <c r="C140" s="19">
        <v>5310050</v>
      </c>
      <c r="D140" s="20" t="s">
        <v>582</v>
      </c>
      <c r="E140" s="24" t="s">
        <v>223</v>
      </c>
      <c r="F140" s="24" t="s">
        <v>223</v>
      </c>
      <c r="G140" s="24" t="s">
        <v>223</v>
      </c>
      <c r="H140" s="24" t="s">
        <v>223</v>
      </c>
      <c r="I140" s="24" t="s">
        <v>223</v>
      </c>
      <c r="J140" s="24" t="s">
        <v>223</v>
      </c>
      <c r="K140" s="24" t="s">
        <v>223</v>
      </c>
      <c r="L140" s="24" t="s">
        <v>223</v>
      </c>
      <c r="M140" s="24">
        <v>150</v>
      </c>
      <c r="N140" s="23">
        <v>5593</v>
      </c>
      <c r="O140" s="24" t="s">
        <v>223</v>
      </c>
      <c r="P140" s="24" t="s">
        <v>223</v>
      </c>
      <c r="Q140" s="21">
        <v>5743</v>
      </c>
      <c r="R140" s="43">
        <v>5743</v>
      </c>
      <c r="S140" s="47">
        <v>480</v>
      </c>
      <c r="T140" s="47">
        <v>480</v>
      </c>
      <c r="U140" s="47">
        <v>480</v>
      </c>
      <c r="V140" s="47">
        <v>480</v>
      </c>
      <c r="W140" s="47">
        <v>480</v>
      </c>
      <c r="X140" s="43">
        <v>2400</v>
      </c>
      <c r="Y140" s="43">
        <v>8143</v>
      </c>
    </row>
    <row r="141" spans="1:25">
      <c r="A141" s="506"/>
      <c r="B141" s="541"/>
      <c r="C141" s="19">
        <v>5310080</v>
      </c>
      <c r="D141" s="20" t="s">
        <v>583</v>
      </c>
      <c r="E141" s="23">
        <v>4658</v>
      </c>
      <c r="F141" s="23">
        <v>4526</v>
      </c>
      <c r="G141" s="23">
        <v>4508</v>
      </c>
      <c r="H141" s="23">
        <v>4867</v>
      </c>
      <c r="I141" s="23">
        <v>4605</v>
      </c>
      <c r="J141" s="23">
        <v>4367</v>
      </c>
      <c r="K141" s="23">
        <v>4838</v>
      </c>
      <c r="L141" s="23">
        <v>4823</v>
      </c>
      <c r="M141" s="23">
        <v>4729</v>
      </c>
      <c r="N141" s="23">
        <v>5291</v>
      </c>
      <c r="O141" s="23">
        <v>4153</v>
      </c>
      <c r="P141" s="23">
        <v>29871</v>
      </c>
      <c r="Q141" s="21">
        <v>81235</v>
      </c>
      <c r="R141" s="43">
        <v>58071</v>
      </c>
      <c r="S141" s="47">
        <v>7442</v>
      </c>
      <c r="T141" s="47">
        <v>7442</v>
      </c>
      <c r="U141" s="47">
        <v>7442</v>
      </c>
      <c r="V141" s="47">
        <v>7442</v>
      </c>
      <c r="W141" s="47">
        <v>7442</v>
      </c>
      <c r="X141" s="43">
        <v>37210</v>
      </c>
      <c r="Y141" s="43">
        <v>95281</v>
      </c>
    </row>
    <row r="142" spans="1:25" ht="25.5">
      <c r="A142" s="506"/>
      <c r="B142" s="541"/>
      <c r="C142" s="19">
        <v>5310090</v>
      </c>
      <c r="D142" s="20" t="s">
        <v>584</v>
      </c>
      <c r="E142" s="24">
        <v>262</v>
      </c>
      <c r="F142" s="24" t="s">
        <v>223</v>
      </c>
      <c r="G142" s="24">
        <v>105</v>
      </c>
      <c r="H142" s="23">
        <v>1233</v>
      </c>
      <c r="I142" s="24">
        <v>219</v>
      </c>
      <c r="J142" s="24">
        <v>226</v>
      </c>
      <c r="K142" s="24">
        <v>120</v>
      </c>
      <c r="L142" s="24">
        <v>239</v>
      </c>
      <c r="M142" s="24">
        <v>47</v>
      </c>
      <c r="N142" s="23">
        <v>1275</v>
      </c>
      <c r="O142" s="24">
        <v>97</v>
      </c>
      <c r="P142" s="23">
        <v>275636</v>
      </c>
      <c r="Q142" s="21">
        <v>279458</v>
      </c>
      <c r="R142" s="43">
        <v>277640</v>
      </c>
      <c r="S142" s="47">
        <v>252</v>
      </c>
      <c r="T142" s="47">
        <v>252</v>
      </c>
      <c r="U142" s="47">
        <v>252</v>
      </c>
      <c r="V142" s="47">
        <v>252</v>
      </c>
      <c r="W142" s="47">
        <v>252</v>
      </c>
      <c r="X142" s="43">
        <v>1260</v>
      </c>
      <c r="Y142" s="43">
        <v>278900</v>
      </c>
    </row>
    <row r="143" spans="1:25" ht="25.5">
      <c r="A143" s="506"/>
      <c r="B143" s="541"/>
      <c r="C143" s="19">
        <v>5310991</v>
      </c>
      <c r="D143" s="20" t="s">
        <v>585</v>
      </c>
      <c r="E143" s="24">
        <v>28</v>
      </c>
      <c r="F143" s="24">
        <v>36</v>
      </c>
      <c r="G143" s="24">
        <v>34</v>
      </c>
      <c r="H143" s="24">
        <v>78</v>
      </c>
      <c r="I143" s="24">
        <v>689</v>
      </c>
      <c r="J143" s="24">
        <v>55</v>
      </c>
      <c r="K143" s="24">
        <v>117</v>
      </c>
      <c r="L143" s="24">
        <v>384</v>
      </c>
      <c r="M143" s="24">
        <v>45</v>
      </c>
      <c r="N143" s="24">
        <v>78</v>
      </c>
      <c r="O143" s="24">
        <v>27</v>
      </c>
      <c r="P143" s="24">
        <v>34</v>
      </c>
      <c r="Q143" s="21">
        <v>1604</v>
      </c>
      <c r="R143" s="43">
        <v>739</v>
      </c>
      <c r="S143" s="47"/>
      <c r="T143" s="47"/>
      <c r="U143" s="47"/>
      <c r="V143" s="47"/>
      <c r="W143" s="47"/>
      <c r="X143" s="43" t="s">
        <v>223</v>
      </c>
      <c r="Y143" s="43">
        <v>739</v>
      </c>
    </row>
    <row r="144" spans="1:25" ht="25.5">
      <c r="A144" s="506"/>
      <c r="B144" s="541"/>
      <c r="C144" s="19">
        <v>5311010</v>
      </c>
      <c r="D144" s="20" t="s">
        <v>586</v>
      </c>
      <c r="E144" s="23">
        <v>44943</v>
      </c>
      <c r="F144" s="23">
        <v>27079</v>
      </c>
      <c r="G144" s="24">
        <v>961</v>
      </c>
      <c r="H144" s="23">
        <v>7582</v>
      </c>
      <c r="I144" s="23">
        <v>5644</v>
      </c>
      <c r="J144" s="24">
        <v>919</v>
      </c>
      <c r="K144" s="23">
        <v>7764</v>
      </c>
      <c r="L144" s="23">
        <v>6146</v>
      </c>
      <c r="M144" s="23">
        <v>2198</v>
      </c>
      <c r="N144" s="23">
        <v>15240</v>
      </c>
      <c r="O144" s="23">
        <v>18126</v>
      </c>
      <c r="P144" s="23">
        <v>32844</v>
      </c>
      <c r="Q144" s="21">
        <v>169445</v>
      </c>
      <c r="R144" s="43">
        <v>83236</v>
      </c>
      <c r="S144" s="47">
        <v>22005</v>
      </c>
      <c r="T144" s="47">
        <v>22814</v>
      </c>
      <c r="U144" s="47">
        <v>22971</v>
      </c>
      <c r="V144" s="47">
        <v>4982</v>
      </c>
      <c r="W144" s="47">
        <v>5702</v>
      </c>
      <c r="X144" s="43">
        <v>78474</v>
      </c>
      <c r="Y144" s="43">
        <v>161710</v>
      </c>
    </row>
    <row r="145" spans="1:31" ht="38.25">
      <c r="A145" s="506"/>
      <c r="B145" s="541"/>
      <c r="C145" s="19">
        <v>5320140</v>
      </c>
      <c r="D145" s="20" t="s">
        <v>587</v>
      </c>
      <c r="E145" s="24" t="s">
        <v>223</v>
      </c>
      <c r="F145" s="24" t="s">
        <v>223</v>
      </c>
      <c r="G145" s="24" t="s">
        <v>223</v>
      </c>
      <c r="H145" s="24">
        <v>100</v>
      </c>
      <c r="I145" s="24">
        <v>53</v>
      </c>
      <c r="J145" s="24">
        <v>650</v>
      </c>
      <c r="K145" s="23">
        <v>1195</v>
      </c>
      <c r="L145" s="24" t="s">
        <v>223</v>
      </c>
      <c r="M145" s="24">
        <v>250</v>
      </c>
      <c r="N145" s="23">
        <v>4072</v>
      </c>
      <c r="O145" s="24">
        <v>50</v>
      </c>
      <c r="P145" s="24" t="s">
        <v>223</v>
      </c>
      <c r="Q145" s="21">
        <v>6370</v>
      </c>
      <c r="R145" s="43">
        <v>6217</v>
      </c>
      <c r="S145" s="47">
        <v>270</v>
      </c>
      <c r="T145" s="47">
        <v>270</v>
      </c>
      <c r="U145" s="47">
        <v>270</v>
      </c>
      <c r="V145" s="47">
        <v>270</v>
      </c>
      <c r="W145" s="47">
        <v>270</v>
      </c>
      <c r="X145" s="43">
        <v>1350</v>
      </c>
      <c r="Y145" s="43">
        <v>7567</v>
      </c>
      <c r="Z145" s="179"/>
      <c r="AC145" s="180"/>
      <c r="AD145" s="180"/>
      <c r="AE145" s="180"/>
    </row>
    <row r="146" spans="1:31" ht="38.25">
      <c r="A146" s="506"/>
      <c r="B146" s="541"/>
      <c r="C146" s="19">
        <v>5330020</v>
      </c>
      <c r="D146" s="20" t="s">
        <v>588</v>
      </c>
      <c r="E146" s="24" t="s">
        <v>223</v>
      </c>
      <c r="F146" s="24" t="s">
        <v>223</v>
      </c>
      <c r="G146" s="24" t="s">
        <v>223</v>
      </c>
      <c r="H146" s="23">
        <v>7568</v>
      </c>
      <c r="I146" s="24" t="s">
        <v>223</v>
      </c>
      <c r="J146" s="24" t="s">
        <v>223</v>
      </c>
      <c r="K146" s="24" t="s">
        <v>223</v>
      </c>
      <c r="L146" s="24" t="s">
        <v>223</v>
      </c>
      <c r="M146" s="24" t="s">
        <v>223</v>
      </c>
      <c r="N146" s="24"/>
      <c r="O146" s="24"/>
      <c r="P146" s="24"/>
      <c r="Q146" s="21">
        <v>7568</v>
      </c>
      <c r="R146" s="43" t="s">
        <v>223</v>
      </c>
      <c r="S146" s="48"/>
      <c r="T146" s="48"/>
      <c r="U146" s="48"/>
      <c r="V146" s="48"/>
      <c r="W146" s="48"/>
      <c r="X146" s="43" t="s">
        <v>223</v>
      </c>
      <c r="Y146" s="43" t="s">
        <v>223</v>
      </c>
      <c r="Z146" s="179"/>
      <c r="AC146" s="180"/>
      <c r="AD146" s="180"/>
      <c r="AE146" s="180"/>
    </row>
    <row r="147" spans="1:31">
      <c r="A147" s="506"/>
      <c r="B147" s="541"/>
      <c r="C147" s="19">
        <v>5330080</v>
      </c>
      <c r="D147" s="20" t="s">
        <v>589</v>
      </c>
      <c r="E147" s="24">
        <v>76</v>
      </c>
      <c r="F147" s="24" t="s">
        <v>223</v>
      </c>
      <c r="G147" s="24">
        <v>88</v>
      </c>
      <c r="H147" s="24">
        <v>7</v>
      </c>
      <c r="I147" s="24">
        <v>321</v>
      </c>
      <c r="J147" s="24">
        <v>0</v>
      </c>
      <c r="K147" s="23">
        <v>1045</v>
      </c>
      <c r="L147" s="24">
        <v>152</v>
      </c>
      <c r="M147" s="24" t="s">
        <v>223</v>
      </c>
      <c r="N147" s="24">
        <v>0</v>
      </c>
      <c r="O147" s="24" t="s">
        <v>223</v>
      </c>
      <c r="P147" s="24" t="s">
        <v>223</v>
      </c>
      <c r="Q147" s="21">
        <v>1688</v>
      </c>
      <c r="R147" s="43">
        <v>1197</v>
      </c>
      <c r="S147" s="47"/>
      <c r="T147" s="47"/>
      <c r="U147" s="47"/>
      <c r="V147" s="47"/>
      <c r="W147" s="47"/>
      <c r="X147" s="43" t="s">
        <v>223</v>
      </c>
      <c r="Y147" s="43">
        <v>1197</v>
      </c>
      <c r="Z147" s="179"/>
      <c r="AC147" s="180"/>
      <c r="AD147" s="180"/>
      <c r="AE147" s="180"/>
    </row>
    <row r="148" spans="1:31" ht="51">
      <c r="A148" s="506"/>
      <c r="B148" s="541"/>
      <c r="C148" s="19">
        <v>5380010</v>
      </c>
      <c r="D148" s="20" t="s">
        <v>590</v>
      </c>
      <c r="E148" s="24" t="s">
        <v>223</v>
      </c>
      <c r="F148" s="23">
        <v>4000</v>
      </c>
      <c r="G148" s="24" t="s">
        <v>223</v>
      </c>
      <c r="H148" s="24" t="s">
        <v>223</v>
      </c>
      <c r="I148" s="24" t="s">
        <v>223</v>
      </c>
      <c r="J148" s="24" t="s">
        <v>223</v>
      </c>
      <c r="K148" s="24" t="s">
        <v>223</v>
      </c>
      <c r="L148" s="24" t="s">
        <v>223</v>
      </c>
      <c r="M148" s="24" t="s">
        <v>223</v>
      </c>
      <c r="N148" s="24"/>
      <c r="O148" s="24"/>
      <c r="P148" s="24"/>
      <c r="Q148" s="21">
        <v>4000</v>
      </c>
      <c r="R148" s="43" t="s">
        <v>223</v>
      </c>
      <c r="S148" s="48"/>
      <c r="T148" s="48"/>
      <c r="U148" s="48"/>
      <c r="V148" s="48"/>
      <c r="W148" s="48"/>
      <c r="X148" s="43" t="s">
        <v>223</v>
      </c>
      <c r="Y148" s="43" t="s">
        <v>223</v>
      </c>
      <c r="Z148" s="179"/>
      <c r="AC148" s="180"/>
      <c r="AD148" s="180"/>
      <c r="AE148" s="180"/>
    </row>
    <row r="149" spans="1:31" ht="25.5">
      <c r="A149" s="506"/>
      <c r="B149" s="541"/>
      <c r="C149" s="19">
        <v>5399040</v>
      </c>
      <c r="D149" s="20" t="s">
        <v>591</v>
      </c>
      <c r="E149" s="24">
        <v>3</v>
      </c>
      <c r="F149" s="24">
        <v>2</v>
      </c>
      <c r="G149" s="24">
        <v>124</v>
      </c>
      <c r="H149" s="24">
        <v>3</v>
      </c>
      <c r="I149" s="24">
        <v>2</v>
      </c>
      <c r="J149" s="24">
        <v>9</v>
      </c>
      <c r="K149" s="24">
        <v>2</v>
      </c>
      <c r="L149" s="24">
        <v>2</v>
      </c>
      <c r="M149" s="24">
        <v>28</v>
      </c>
      <c r="N149" s="24">
        <v>4</v>
      </c>
      <c r="O149" s="24">
        <v>3</v>
      </c>
      <c r="P149" s="24">
        <v>32</v>
      </c>
      <c r="Q149" s="506">
        <v>212</v>
      </c>
      <c r="R149" s="43">
        <v>79</v>
      </c>
      <c r="S149" s="47"/>
      <c r="T149" s="47"/>
      <c r="U149" s="47"/>
      <c r="V149" s="47"/>
      <c r="W149" s="47"/>
      <c r="X149" s="43" t="s">
        <v>223</v>
      </c>
      <c r="Y149" s="43">
        <v>79</v>
      </c>
      <c r="Z149" s="179"/>
      <c r="AC149" s="180"/>
      <c r="AD149" s="180"/>
      <c r="AE149" s="180"/>
    </row>
    <row r="150" spans="1:31" ht="51">
      <c r="A150" s="506"/>
      <c r="B150" s="541"/>
      <c r="C150" s="19">
        <v>5399065</v>
      </c>
      <c r="D150" s="20" t="s">
        <v>592</v>
      </c>
      <c r="E150" s="24" t="s">
        <v>223</v>
      </c>
      <c r="F150" s="24" t="s">
        <v>223</v>
      </c>
      <c r="G150" s="24" t="s">
        <v>223</v>
      </c>
      <c r="H150" s="24" t="s">
        <v>223</v>
      </c>
      <c r="I150" s="24" t="s">
        <v>223</v>
      </c>
      <c r="J150" s="24" t="s">
        <v>223</v>
      </c>
      <c r="K150" s="23">
        <v>-15722</v>
      </c>
      <c r="L150" s="24" t="s">
        <v>223</v>
      </c>
      <c r="M150" s="23">
        <v>-94233</v>
      </c>
      <c r="N150" s="23">
        <v>-227078</v>
      </c>
      <c r="O150" s="24" t="s">
        <v>223</v>
      </c>
      <c r="P150" s="24" t="s">
        <v>223</v>
      </c>
      <c r="Q150" s="21">
        <v>-337033</v>
      </c>
      <c r="R150" s="43">
        <v>-337033</v>
      </c>
      <c r="S150" s="47"/>
      <c r="T150" s="47"/>
      <c r="U150" s="47"/>
      <c r="V150" s="47"/>
      <c r="W150" s="47"/>
      <c r="X150" s="43" t="s">
        <v>223</v>
      </c>
      <c r="Y150" s="43">
        <v>-337033</v>
      </c>
      <c r="Z150" s="179"/>
      <c r="AC150" s="180"/>
      <c r="AD150" s="180"/>
      <c r="AE150" s="180"/>
    </row>
    <row r="151" spans="1:31" ht="63.75">
      <c r="A151" s="506"/>
      <c r="B151" s="541"/>
      <c r="C151" s="19">
        <v>5399070</v>
      </c>
      <c r="D151" s="20" t="s">
        <v>593</v>
      </c>
      <c r="E151" s="24"/>
      <c r="F151" s="24"/>
      <c r="G151" s="24"/>
      <c r="H151" s="24"/>
      <c r="I151" s="24"/>
      <c r="J151" s="24"/>
      <c r="K151" s="24"/>
      <c r="L151" s="24"/>
      <c r="M151" s="24"/>
      <c r="N151" s="24"/>
      <c r="O151" s="24"/>
      <c r="P151" s="24"/>
      <c r="Q151" s="506" t="s">
        <v>223</v>
      </c>
      <c r="R151" s="43" t="s">
        <v>223</v>
      </c>
      <c r="S151" s="47">
        <v>57220</v>
      </c>
      <c r="T151" s="47">
        <v>57220</v>
      </c>
      <c r="U151" s="47">
        <v>57220</v>
      </c>
      <c r="V151" s="47">
        <v>57220</v>
      </c>
      <c r="W151" s="47">
        <v>57220</v>
      </c>
      <c r="X151" s="43">
        <v>286100</v>
      </c>
      <c r="Y151" s="43">
        <v>286100</v>
      </c>
      <c r="Z151" s="179"/>
      <c r="AC151" s="180"/>
      <c r="AD151" s="180"/>
      <c r="AE151" s="180"/>
    </row>
    <row r="152" spans="1:31" ht="25.5">
      <c r="A152" s="506"/>
      <c r="B152" s="541"/>
      <c r="C152" s="19">
        <v>5399074</v>
      </c>
      <c r="D152" s="20" t="s">
        <v>594</v>
      </c>
      <c r="E152" s="23">
        <v>6783</v>
      </c>
      <c r="F152" s="23">
        <v>103658</v>
      </c>
      <c r="G152" s="23">
        <v>23144</v>
      </c>
      <c r="H152" s="23">
        <v>111663</v>
      </c>
      <c r="I152" s="23">
        <v>19391</v>
      </c>
      <c r="J152" s="24" t="s">
        <v>223</v>
      </c>
      <c r="K152" s="24" t="s">
        <v>223</v>
      </c>
      <c r="L152" s="23">
        <v>18230</v>
      </c>
      <c r="M152" s="24" t="s">
        <v>223</v>
      </c>
      <c r="N152" s="23">
        <v>30176</v>
      </c>
      <c r="O152" s="24" t="s">
        <v>223</v>
      </c>
      <c r="P152" s="23">
        <v>10017</v>
      </c>
      <c r="Q152" s="21">
        <v>323062</v>
      </c>
      <c r="R152" s="43">
        <v>58423</v>
      </c>
      <c r="S152" s="47"/>
      <c r="T152" s="47"/>
      <c r="U152" s="47"/>
      <c r="V152" s="47"/>
      <c r="W152" s="47"/>
      <c r="X152" s="43" t="s">
        <v>223</v>
      </c>
      <c r="Y152" s="43">
        <v>58423</v>
      </c>
      <c r="Z152" s="179"/>
      <c r="AC152" s="180"/>
      <c r="AD152" s="180"/>
      <c r="AE152" s="180"/>
    </row>
    <row r="153" spans="1:31" ht="25.5">
      <c r="A153" s="506"/>
      <c r="B153" s="541"/>
      <c r="C153" s="19">
        <v>5399076</v>
      </c>
      <c r="D153" s="20" t="s">
        <v>595</v>
      </c>
      <c r="E153" s="24">
        <v>74</v>
      </c>
      <c r="F153" s="24">
        <v>75</v>
      </c>
      <c r="G153" s="24">
        <v>74</v>
      </c>
      <c r="H153" s="24">
        <v>75</v>
      </c>
      <c r="I153" s="24">
        <v>75</v>
      </c>
      <c r="J153" s="24">
        <v>66</v>
      </c>
      <c r="K153" s="24">
        <v>66</v>
      </c>
      <c r="L153" s="24">
        <v>66</v>
      </c>
      <c r="M153" s="24">
        <v>-85</v>
      </c>
      <c r="N153" s="24">
        <v>65</v>
      </c>
      <c r="O153" s="24">
        <v>65</v>
      </c>
      <c r="P153" s="24">
        <v>64</v>
      </c>
      <c r="Q153" s="506">
        <v>681</v>
      </c>
      <c r="R153" s="43">
        <v>308</v>
      </c>
      <c r="S153" s="47"/>
      <c r="T153" s="47"/>
      <c r="U153" s="47"/>
      <c r="V153" s="47"/>
      <c r="W153" s="47"/>
      <c r="X153" s="43" t="s">
        <v>223</v>
      </c>
      <c r="Y153" s="43">
        <v>308</v>
      </c>
      <c r="Z153" s="179"/>
      <c r="AC153" s="180"/>
      <c r="AD153" s="180"/>
      <c r="AE153" s="180"/>
    </row>
    <row r="154" spans="1:31" ht="51">
      <c r="A154" s="506"/>
      <c r="B154" s="541"/>
      <c r="C154" s="19">
        <v>5399200</v>
      </c>
      <c r="D154" s="20" t="s">
        <v>596</v>
      </c>
      <c r="E154" s="24" t="s">
        <v>223</v>
      </c>
      <c r="F154" s="23">
        <v>4000</v>
      </c>
      <c r="G154" s="23">
        <v>8000</v>
      </c>
      <c r="H154" s="23">
        <v>8000</v>
      </c>
      <c r="I154" s="24" t="s">
        <v>223</v>
      </c>
      <c r="J154" s="24" t="s">
        <v>223</v>
      </c>
      <c r="K154" s="23">
        <v>4000</v>
      </c>
      <c r="L154" s="23">
        <v>8000</v>
      </c>
      <c r="M154" s="23">
        <v>12000</v>
      </c>
      <c r="N154" s="24" t="s">
        <v>223</v>
      </c>
      <c r="O154" s="23">
        <v>4000</v>
      </c>
      <c r="P154" s="24" t="s">
        <v>223</v>
      </c>
      <c r="Q154" s="21">
        <v>48000</v>
      </c>
      <c r="R154" s="43">
        <v>28000</v>
      </c>
      <c r="S154" s="47">
        <v>3150</v>
      </c>
      <c r="T154" s="47">
        <v>3150</v>
      </c>
      <c r="U154" s="47">
        <v>3150</v>
      </c>
      <c r="V154" s="47">
        <v>3150</v>
      </c>
      <c r="W154" s="47">
        <v>3150</v>
      </c>
      <c r="X154" s="43">
        <v>15750</v>
      </c>
      <c r="Y154" s="43">
        <v>43750</v>
      </c>
      <c r="Z154" s="179"/>
      <c r="AC154" s="180" t="s">
        <v>597</v>
      </c>
      <c r="AD154" s="180"/>
      <c r="AE154" s="180"/>
    </row>
    <row r="155" spans="1:31" ht="25.5">
      <c r="A155" s="506"/>
      <c r="B155" s="541"/>
      <c r="C155" s="19">
        <v>5399900</v>
      </c>
      <c r="D155" s="20" t="s">
        <v>598</v>
      </c>
      <c r="E155" s="23">
        <v>10342</v>
      </c>
      <c r="F155" s="23">
        <v>2374</v>
      </c>
      <c r="G155" s="23">
        <v>2014</v>
      </c>
      <c r="H155" s="23">
        <v>1875</v>
      </c>
      <c r="I155" s="23">
        <v>1395</v>
      </c>
      <c r="J155" s="23">
        <v>1604</v>
      </c>
      <c r="K155" s="23">
        <v>1477</v>
      </c>
      <c r="L155" s="23">
        <v>2444</v>
      </c>
      <c r="M155" s="23">
        <v>36991</v>
      </c>
      <c r="N155" s="23">
        <v>1441</v>
      </c>
      <c r="O155" s="23">
        <v>1237</v>
      </c>
      <c r="P155" s="23">
        <v>1255</v>
      </c>
      <c r="Q155" s="21">
        <v>64449</v>
      </c>
      <c r="R155" s="43">
        <v>46449</v>
      </c>
      <c r="S155" s="47">
        <v>4728</v>
      </c>
      <c r="T155" s="47">
        <v>4728</v>
      </c>
      <c r="U155" s="47">
        <v>4792</v>
      </c>
      <c r="V155" s="47">
        <v>4728</v>
      </c>
      <c r="W155" s="47">
        <v>4728</v>
      </c>
      <c r="X155" s="43">
        <v>23704</v>
      </c>
      <c r="Y155" s="43">
        <v>70153</v>
      </c>
      <c r="Z155" s="179"/>
      <c r="AB155" s="39">
        <v>-7350</v>
      </c>
      <c r="AC155" s="39" t="s">
        <v>599</v>
      </c>
      <c r="AD155" s="39"/>
      <c r="AE155" s="39"/>
    </row>
    <row r="156" spans="1:31" ht="38.25">
      <c r="A156" s="506"/>
      <c r="B156" s="541"/>
      <c r="C156" s="19">
        <v>5399991</v>
      </c>
      <c r="D156" s="20" t="s">
        <v>600</v>
      </c>
      <c r="E156" s="24" t="s">
        <v>223</v>
      </c>
      <c r="F156" s="24" t="s">
        <v>223</v>
      </c>
      <c r="G156" s="24">
        <v>0</v>
      </c>
      <c r="H156" s="24" t="s">
        <v>223</v>
      </c>
      <c r="I156" s="24">
        <v>3</v>
      </c>
      <c r="J156" s="24">
        <v>1</v>
      </c>
      <c r="K156" s="24" t="s">
        <v>223</v>
      </c>
      <c r="L156" s="24">
        <v>0</v>
      </c>
      <c r="M156" s="24">
        <v>1</v>
      </c>
      <c r="N156" s="24" t="s">
        <v>223</v>
      </c>
      <c r="O156" s="24" t="s">
        <v>223</v>
      </c>
      <c r="P156" s="24">
        <v>2</v>
      </c>
      <c r="Q156" s="506">
        <v>7</v>
      </c>
      <c r="R156" s="43">
        <v>4</v>
      </c>
      <c r="S156" s="47"/>
      <c r="T156" s="47"/>
      <c r="U156" s="47"/>
      <c r="V156" s="47"/>
      <c r="W156" s="47"/>
      <c r="X156" s="43" t="s">
        <v>223</v>
      </c>
      <c r="Y156" s="43">
        <v>4</v>
      </c>
      <c r="Z156" s="179"/>
      <c r="AC156" s="180"/>
      <c r="AD156" s="180"/>
      <c r="AE156" s="180"/>
    </row>
    <row r="157" spans="1:31" ht="51">
      <c r="A157" s="506"/>
      <c r="B157" s="541"/>
      <c r="C157" s="19">
        <v>5399997</v>
      </c>
      <c r="D157" s="20" t="s">
        <v>601</v>
      </c>
      <c r="E157" s="24" t="s">
        <v>223</v>
      </c>
      <c r="F157" s="24" t="s">
        <v>223</v>
      </c>
      <c r="G157" s="24" t="s">
        <v>223</v>
      </c>
      <c r="H157" s="24" t="s">
        <v>223</v>
      </c>
      <c r="I157" s="24" t="s">
        <v>223</v>
      </c>
      <c r="J157" s="24" t="s">
        <v>223</v>
      </c>
      <c r="K157" s="24" t="s">
        <v>223</v>
      </c>
      <c r="L157" s="24" t="s">
        <v>223</v>
      </c>
      <c r="M157" s="24" t="s">
        <v>223</v>
      </c>
      <c r="N157" s="24" t="s">
        <v>223</v>
      </c>
      <c r="O157" s="23">
        <v>-4500</v>
      </c>
      <c r="P157" s="24" t="s">
        <v>223</v>
      </c>
      <c r="Q157" s="21">
        <v>-4500</v>
      </c>
      <c r="R157" s="43">
        <v>-4500</v>
      </c>
      <c r="S157" s="47"/>
      <c r="T157" s="47"/>
      <c r="U157" s="47"/>
      <c r="V157" s="47"/>
      <c r="W157" s="47"/>
      <c r="X157" s="43" t="s">
        <v>223</v>
      </c>
      <c r="Y157" s="43">
        <v>-4500</v>
      </c>
      <c r="Z157" s="179"/>
      <c r="AC157" s="180"/>
      <c r="AD157" s="180"/>
      <c r="AE157" s="180"/>
    </row>
    <row r="158" spans="1:31" ht="51">
      <c r="A158" s="506"/>
      <c r="B158" s="541"/>
      <c r="C158" s="19">
        <v>5399998</v>
      </c>
      <c r="D158" s="20" t="s">
        <v>602</v>
      </c>
      <c r="E158" s="24">
        <v>901</v>
      </c>
      <c r="F158" s="24">
        <v>486</v>
      </c>
      <c r="G158" s="24">
        <v>41</v>
      </c>
      <c r="H158" s="24" t="s">
        <v>223</v>
      </c>
      <c r="I158" s="24" t="s">
        <v>223</v>
      </c>
      <c r="J158" s="24" t="s">
        <v>223</v>
      </c>
      <c r="K158" s="24" t="s">
        <v>223</v>
      </c>
      <c r="L158" s="24" t="s">
        <v>223</v>
      </c>
      <c r="M158" s="24" t="s">
        <v>223</v>
      </c>
      <c r="N158" s="24" t="s">
        <v>223</v>
      </c>
      <c r="O158" s="23">
        <v>4500</v>
      </c>
      <c r="P158" s="24" t="s">
        <v>223</v>
      </c>
      <c r="Q158" s="21">
        <v>5928</v>
      </c>
      <c r="R158" s="43">
        <v>4500</v>
      </c>
      <c r="S158" s="47"/>
      <c r="T158" s="47"/>
      <c r="U158" s="47"/>
      <c r="V158" s="47"/>
      <c r="W158" s="47"/>
      <c r="X158" s="43" t="s">
        <v>223</v>
      </c>
      <c r="Y158" s="43">
        <v>4500</v>
      </c>
      <c r="Z158" s="179"/>
      <c r="AC158" s="180"/>
      <c r="AD158" s="180"/>
      <c r="AE158" s="180"/>
    </row>
    <row r="159" spans="1:31" ht="51">
      <c r="A159" s="506"/>
      <c r="B159" s="541"/>
      <c r="C159" s="19">
        <v>5399999</v>
      </c>
      <c r="D159" s="20" t="s">
        <v>603</v>
      </c>
      <c r="E159" s="23">
        <v>-290648</v>
      </c>
      <c r="F159" s="23">
        <v>-314195</v>
      </c>
      <c r="G159" s="23">
        <v>-280625</v>
      </c>
      <c r="H159" s="23">
        <v>-355663</v>
      </c>
      <c r="I159" s="23">
        <v>-251554</v>
      </c>
      <c r="J159" s="23">
        <v>-336094</v>
      </c>
      <c r="K159" s="23">
        <v>-343477</v>
      </c>
      <c r="L159" s="23">
        <v>-293004</v>
      </c>
      <c r="M159" s="23">
        <v>-408947</v>
      </c>
      <c r="N159" s="23">
        <v>89988</v>
      </c>
      <c r="O159" s="23">
        <v>-173349</v>
      </c>
      <c r="P159" s="23">
        <v>-212314</v>
      </c>
      <c r="Q159" s="21">
        <v>-3169881</v>
      </c>
      <c r="R159" s="43">
        <v>-1677197</v>
      </c>
      <c r="S159" s="47"/>
      <c r="T159" s="47"/>
      <c r="U159" s="47"/>
      <c r="V159" s="47"/>
      <c r="W159" s="47"/>
      <c r="X159" s="43" t="s">
        <v>223</v>
      </c>
      <c r="Y159" s="43">
        <v>-1677197</v>
      </c>
      <c r="Z159" s="179"/>
      <c r="AC159" s="180"/>
      <c r="AD159" s="180"/>
      <c r="AE159" s="180"/>
    </row>
    <row r="160" spans="1:31" ht="51">
      <c r="A160" s="506"/>
      <c r="B160" s="541"/>
      <c r="C160" s="19">
        <v>5998501</v>
      </c>
      <c r="D160" s="20" t="s">
        <v>604</v>
      </c>
      <c r="E160" s="23">
        <v>6271</v>
      </c>
      <c r="F160" s="23">
        <v>6332</v>
      </c>
      <c r="G160" s="23">
        <v>5869</v>
      </c>
      <c r="H160" s="23">
        <v>5207</v>
      </c>
      <c r="I160" s="23">
        <v>8647</v>
      </c>
      <c r="J160" s="23">
        <v>5275</v>
      </c>
      <c r="K160" s="23">
        <v>41999</v>
      </c>
      <c r="L160" s="23">
        <v>43274</v>
      </c>
      <c r="M160" s="23">
        <v>298378</v>
      </c>
      <c r="N160" s="23">
        <v>53432</v>
      </c>
      <c r="O160" s="23">
        <v>45720</v>
      </c>
      <c r="P160" s="23">
        <v>41299</v>
      </c>
      <c r="Q160" s="21">
        <v>561704</v>
      </c>
      <c r="R160" s="43">
        <v>529377</v>
      </c>
      <c r="S160" s="47">
        <v>8316</v>
      </c>
      <c r="T160" s="47">
        <v>8031</v>
      </c>
      <c r="U160" s="47">
        <v>9083</v>
      </c>
      <c r="V160" s="47">
        <v>7759</v>
      </c>
      <c r="W160" s="47">
        <v>10757</v>
      </c>
      <c r="X160" s="43">
        <v>43946</v>
      </c>
      <c r="Y160" s="43">
        <v>573323</v>
      </c>
      <c r="Z160" s="179"/>
      <c r="AC160" s="180"/>
      <c r="AD160" s="180"/>
      <c r="AE160" s="180"/>
    </row>
    <row r="161" spans="1:25" ht="38.25">
      <c r="A161" s="506"/>
      <c r="B161" s="541"/>
      <c r="C161" s="19">
        <v>5998511</v>
      </c>
      <c r="D161" s="20" t="s">
        <v>605</v>
      </c>
      <c r="E161" s="24">
        <v>567</v>
      </c>
      <c r="F161" s="24">
        <v>574</v>
      </c>
      <c r="G161" s="24">
        <v>799</v>
      </c>
      <c r="H161" s="23">
        <v>1247</v>
      </c>
      <c r="I161" s="24">
        <v>441</v>
      </c>
      <c r="J161" s="23">
        <v>2029</v>
      </c>
      <c r="K161" s="23">
        <v>10700</v>
      </c>
      <c r="L161" s="23">
        <v>5035</v>
      </c>
      <c r="M161" s="23">
        <v>80894</v>
      </c>
      <c r="N161" s="23">
        <v>8829</v>
      </c>
      <c r="O161" s="23">
        <v>7194</v>
      </c>
      <c r="P161" s="23">
        <v>22033</v>
      </c>
      <c r="Q161" s="21">
        <v>140341</v>
      </c>
      <c r="R161" s="43">
        <v>136713</v>
      </c>
      <c r="S161" s="47"/>
      <c r="T161" s="47"/>
      <c r="U161" s="47"/>
      <c r="V161" s="47"/>
      <c r="W161" s="47"/>
      <c r="X161" s="43" t="s">
        <v>223</v>
      </c>
      <c r="Y161" s="43">
        <v>136713</v>
      </c>
    </row>
    <row r="162" spans="1:25" ht="63.75">
      <c r="A162" s="506"/>
      <c r="B162" s="541"/>
      <c r="C162" s="19">
        <v>5999050</v>
      </c>
      <c r="D162" s="20" t="s">
        <v>606</v>
      </c>
      <c r="E162" s="23">
        <v>1062</v>
      </c>
      <c r="F162" s="23">
        <v>1062</v>
      </c>
      <c r="G162" s="23">
        <v>1062</v>
      </c>
      <c r="H162" s="23">
        <v>1062</v>
      </c>
      <c r="I162" s="23">
        <v>1062</v>
      </c>
      <c r="J162" s="23">
        <v>1062</v>
      </c>
      <c r="K162" s="23">
        <v>1062</v>
      </c>
      <c r="L162" s="23">
        <v>1062</v>
      </c>
      <c r="M162" s="23">
        <v>1062</v>
      </c>
      <c r="N162" s="23">
        <v>1062</v>
      </c>
      <c r="O162" s="23">
        <v>1062</v>
      </c>
      <c r="P162" s="23">
        <v>1062</v>
      </c>
      <c r="Q162" s="21">
        <v>12742</v>
      </c>
      <c r="R162" s="43">
        <v>7433</v>
      </c>
      <c r="S162" s="47"/>
      <c r="T162" s="47"/>
      <c r="U162" s="47"/>
      <c r="V162" s="47"/>
      <c r="W162" s="47"/>
      <c r="X162" s="43" t="s">
        <v>223</v>
      </c>
      <c r="Y162" s="43">
        <v>7433</v>
      </c>
    </row>
    <row r="163" spans="1:25" ht="76.5">
      <c r="A163" s="506"/>
      <c r="B163" s="541"/>
      <c r="C163" s="19">
        <v>5999058</v>
      </c>
      <c r="D163" s="20" t="s">
        <v>607</v>
      </c>
      <c r="E163" s="23">
        <v>-20690</v>
      </c>
      <c r="F163" s="23">
        <v>-9589</v>
      </c>
      <c r="G163" s="23">
        <v>-4859</v>
      </c>
      <c r="H163" s="23">
        <v>-4998</v>
      </c>
      <c r="I163" s="23">
        <v>-13077</v>
      </c>
      <c r="J163" s="23">
        <v>-10517</v>
      </c>
      <c r="K163" s="23">
        <v>-3989</v>
      </c>
      <c r="L163" s="23">
        <v>-16241</v>
      </c>
      <c r="M163" s="23">
        <v>-52817</v>
      </c>
      <c r="N163" s="23">
        <v>-12795</v>
      </c>
      <c r="O163" s="24">
        <v>-410</v>
      </c>
      <c r="P163" s="23">
        <v>-5699</v>
      </c>
      <c r="Q163" s="21">
        <v>-155681</v>
      </c>
      <c r="R163" s="43">
        <v>-102468</v>
      </c>
      <c r="S163" s="47">
        <v>-17510</v>
      </c>
      <c r="T163" s="47">
        <v>-17510</v>
      </c>
      <c r="U163" s="47">
        <v>-17510</v>
      </c>
      <c r="V163" s="47">
        <v>-17510</v>
      </c>
      <c r="W163" s="47">
        <v>-17510</v>
      </c>
      <c r="X163" s="43">
        <v>-87550</v>
      </c>
      <c r="Y163" s="43">
        <v>-190018</v>
      </c>
    </row>
    <row r="164" spans="1:25" ht="63.75">
      <c r="A164" s="506"/>
      <c r="B164" s="541"/>
      <c r="C164" s="19">
        <v>5999059</v>
      </c>
      <c r="D164" s="20" t="s">
        <v>608</v>
      </c>
      <c r="E164" s="23">
        <v>-5932</v>
      </c>
      <c r="F164" s="23">
        <v>-2840</v>
      </c>
      <c r="G164" s="23">
        <v>-1153</v>
      </c>
      <c r="H164" s="24">
        <v>-949</v>
      </c>
      <c r="I164" s="23">
        <v>-2388</v>
      </c>
      <c r="J164" s="23">
        <v>-1701</v>
      </c>
      <c r="K164" s="24">
        <v>-647</v>
      </c>
      <c r="L164" s="23">
        <v>-2522</v>
      </c>
      <c r="M164" s="23">
        <v>-7332</v>
      </c>
      <c r="N164" s="23">
        <v>-1838</v>
      </c>
      <c r="O164" s="24">
        <v>-55</v>
      </c>
      <c r="P164" s="23">
        <v>-3969</v>
      </c>
      <c r="Q164" s="21">
        <v>-31328</v>
      </c>
      <c r="R164" s="43">
        <v>-18065</v>
      </c>
      <c r="S164" s="47"/>
      <c r="T164" s="47"/>
      <c r="U164" s="47"/>
      <c r="V164" s="47"/>
      <c r="W164" s="47"/>
      <c r="X164" s="43" t="s">
        <v>223</v>
      </c>
      <c r="Y164" s="43">
        <v>-18065</v>
      </c>
    </row>
    <row r="165" spans="1:25" ht="38.25">
      <c r="A165" s="506"/>
      <c r="B165" s="541"/>
      <c r="C165" s="19">
        <v>8203000</v>
      </c>
      <c r="D165" s="20" t="s">
        <v>609</v>
      </c>
      <c r="E165" s="24"/>
      <c r="F165" s="24"/>
      <c r="G165" s="24"/>
      <c r="H165" s="24"/>
      <c r="I165" s="24"/>
      <c r="J165" s="24"/>
      <c r="K165" s="24"/>
      <c r="L165" s="24"/>
      <c r="M165" s="24"/>
      <c r="N165" s="24"/>
      <c r="O165" s="24"/>
      <c r="P165" s="24"/>
      <c r="Q165" s="506" t="s">
        <v>223</v>
      </c>
      <c r="R165" s="43" t="s">
        <v>223</v>
      </c>
      <c r="S165" s="47">
        <v>-142044</v>
      </c>
      <c r="T165" s="47">
        <v>-135733</v>
      </c>
      <c r="U165" s="47">
        <v>-140603</v>
      </c>
      <c r="V165" s="47">
        <v>-140801</v>
      </c>
      <c r="W165" s="47">
        <v>-145301</v>
      </c>
      <c r="X165" s="43">
        <v>-704482</v>
      </c>
      <c r="Y165" s="43">
        <v>-704482</v>
      </c>
    </row>
    <row r="166" spans="1:25" ht="38.25">
      <c r="A166" s="506"/>
      <c r="B166" s="541"/>
      <c r="C166" s="19">
        <v>8203001</v>
      </c>
      <c r="D166" s="20" t="s">
        <v>610</v>
      </c>
      <c r="E166" s="24"/>
      <c r="F166" s="24"/>
      <c r="G166" s="24"/>
      <c r="H166" s="24"/>
      <c r="I166" s="24"/>
      <c r="J166" s="24"/>
      <c r="K166" s="24"/>
      <c r="L166" s="24"/>
      <c r="M166" s="24"/>
      <c r="N166" s="24"/>
      <c r="O166" s="24"/>
      <c r="P166" s="24"/>
      <c r="Q166" s="506" t="s">
        <v>223</v>
      </c>
      <c r="R166" s="43" t="s">
        <v>223</v>
      </c>
      <c r="S166" s="47">
        <v>-11012</v>
      </c>
      <c r="T166" s="47">
        <v>-11043</v>
      </c>
      <c r="U166" s="47">
        <v>-10951</v>
      </c>
      <c r="V166" s="47">
        <v>-11046</v>
      </c>
      <c r="W166" s="47">
        <v>-11064</v>
      </c>
      <c r="X166" s="43">
        <v>-55116</v>
      </c>
      <c r="Y166" s="43">
        <v>-55116</v>
      </c>
    </row>
    <row r="167" spans="1:25" ht="25.5">
      <c r="A167" s="506"/>
      <c r="B167" s="541"/>
      <c r="C167" s="19">
        <v>8204001</v>
      </c>
      <c r="D167" s="20" t="s">
        <v>611</v>
      </c>
      <c r="E167" s="24" t="s">
        <v>223</v>
      </c>
      <c r="F167" s="24">
        <v>-463</v>
      </c>
      <c r="G167" s="24">
        <v>-335</v>
      </c>
      <c r="H167" s="24">
        <v>-391</v>
      </c>
      <c r="I167" s="24">
        <v>-447</v>
      </c>
      <c r="J167" s="24" t="s">
        <v>223</v>
      </c>
      <c r="K167" s="24">
        <v>-335</v>
      </c>
      <c r="L167" s="24" t="s">
        <v>223</v>
      </c>
      <c r="M167" s="24" t="s">
        <v>223</v>
      </c>
      <c r="N167" s="24">
        <v>-335</v>
      </c>
      <c r="O167" s="24" t="s">
        <v>223</v>
      </c>
      <c r="P167" s="24" t="s">
        <v>223</v>
      </c>
      <c r="Q167" s="21">
        <v>-2308</v>
      </c>
      <c r="R167" s="43">
        <v>-671</v>
      </c>
      <c r="S167" s="47"/>
      <c r="T167" s="47"/>
      <c r="U167" s="47"/>
      <c r="V167" s="47"/>
      <c r="W167" s="47"/>
      <c r="X167" s="43" t="s">
        <v>223</v>
      </c>
      <c r="Y167" s="43">
        <v>-671</v>
      </c>
    </row>
    <row r="168" spans="1:25" ht="25.5">
      <c r="A168" s="506"/>
      <c r="B168" s="541"/>
      <c r="C168" s="19">
        <v>8204003</v>
      </c>
      <c r="D168" s="20" t="s">
        <v>612</v>
      </c>
      <c r="E168" s="24">
        <v>65</v>
      </c>
      <c r="F168" s="24">
        <v>58</v>
      </c>
      <c r="G168" s="24">
        <v>61</v>
      </c>
      <c r="H168" s="24">
        <v>57</v>
      </c>
      <c r="I168" s="24">
        <v>55</v>
      </c>
      <c r="J168" s="24">
        <v>55</v>
      </c>
      <c r="K168" s="24">
        <v>61</v>
      </c>
      <c r="L168" s="24">
        <v>50</v>
      </c>
      <c r="M168" s="24">
        <v>39</v>
      </c>
      <c r="N168" s="24">
        <v>55</v>
      </c>
      <c r="O168" s="24">
        <v>58</v>
      </c>
      <c r="P168" s="24">
        <v>63</v>
      </c>
      <c r="Q168" s="506">
        <v>679</v>
      </c>
      <c r="R168" s="43">
        <v>382</v>
      </c>
      <c r="S168" s="47"/>
      <c r="T168" s="47"/>
      <c r="U168" s="47"/>
      <c r="V168" s="47"/>
      <c r="W168" s="47"/>
      <c r="X168" s="43" t="s">
        <v>223</v>
      </c>
      <c r="Y168" s="43">
        <v>382</v>
      </c>
    </row>
    <row r="169" spans="1:25" ht="25.5">
      <c r="A169" s="506"/>
      <c r="B169" s="541"/>
      <c r="C169" s="19">
        <v>8204005</v>
      </c>
      <c r="D169" s="20" t="s">
        <v>613</v>
      </c>
      <c r="E169" s="24">
        <v>13</v>
      </c>
      <c r="F169" s="24">
        <v>12</v>
      </c>
      <c r="G169" s="24">
        <v>9</v>
      </c>
      <c r="H169" s="24">
        <v>15</v>
      </c>
      <c r="I169" s="24">
        <v>9</v>
      </c>
      <c r="J169" s="24">
        <v>14</v>
      </c>
      <c r="K169" s="24">
        <v>4</v>
      </c>
      <c r="L169" s="24">
        <v>16</v>
      </c>
      <c r="M169" s="24">
        <v>13</v>
      </c>
      <c r="N169" s="24">
        <v>9</v>
      </c>
      <c r="O169" s="24">
        <v>12</v>
      </c>
      <c r="P169" s="24">
        <v>13</v>
      </c>
      <c r="Q169" s="506">
        <v>140</v>
      </c>
      <c r="R169" s="43">
        <v>82</v>
      </c>
      <c r="S169" s="47"/>
      <c r="T169" s="47"/>
      <c r="U169" s="47"/>
      <c r="V169" s="47"/>
      <c r="W169" s="47"/>
      <c r="X169" s="43" t="s">
        <v>223</v>
      </c>
      <c r="Y169" s="43">
        <v>82</v>
      </c>
    </row>
    <row r="170" spans="1:25" ht="25.5">
      <c r="A170" s="506"/>
      <c r="B170" s="541"/>
      <c r="C170" s="19">
        <v>8204010</v>
      </c>
      <c r="D170" s="20" t="s">
        <v>614</v>
      </c>
      <c r="E170" s="23">
        <v>-9816</v>
      </c>
      <c r="F170" s="23">
        <v>-3296</v>
      </c>
      <c r="G170" s="23">
        <v>-1876</v>
      </c>
      <c r="H170" s="23">
        <v>-8588</v>
      </c>
      <c r="I170" s="23">
        <v>-10759</v>
      </c>
      <c r="J170" s="23">
        <v>-6786</v>
      </c>
      <c r="K170" s="23">
        <v>-2648</v>
      </c>
      <c r="L170" s="23">
        <v>-6768</v>
      </c>
      <c r="M170" s="23">
        <v>-3256</v>
      </c>
      <c r="N170" s="23">
        <v>-4313</v>
      </c>
      <c r="O170" s="23">
        <v>-2587</v>
      </c>
      <c r="P170" s="23">
        <v>-4110</v>
      </c>
      <c r="Q170" s="21">
        <v>-64802</v>
      </c>
      <c r="R170" s="43">
        <v>-30468</v>
      </c>
      <c r="S170" s="47"/>
      <c r="T170" s="47"/>
      <c r="U170" s="47"/>
      <c r="V170" s="47"/>
      <c r="W170" s="47"/>
      <c r="X170" s="43" t="s">
        <v>223</v>
      </c>
      <c r="Y170" s="43">
        <v>-30468</v>
      </c>
    </row>
    <row r="171" spans="1:25" ht="38.25">
      <c r="A171" s="506"/>
      <c r="B171" s="541"/>
      <c r="C171" s="19">
        <v>8204016</v>
      </c>
      <c r="D171" s="20" t="s">
        <v>615</v>
      </c>
      <c r="E171" s="24"/>
      <c r="F171" s="24"/>
      <c r="G171" s="24"/>
      <c r="H171" s="24"/>
      <c r="I171" s="23">
        <v>-1621</v>
      </c>
      <c r="J171" s="23">
        <v>1621</v>
      </c>
      <c r="K171" s="24"/>
      <c r="L171" s="24"/>
      <c r="M171" s="24"/>
      <c r="N171" s="24"/>
      <c r="O171" s="24"/>
      <c r="P171" s="24"/>
      <c r="Q171" s="506" t="s">
        <v>223</v>
      </c>
      <c r="R171" s="43">
        <v>1621</v>
      </c>
      <c r="S171" s="47"/>
      <c r="T171" s="47"/>
      <c r="U171" s="47"/>
      <c r="V171" s="47"/>
      <c r="W171" s="47"/>
      <c r="X171" s="43" t="s">
        <v>223</v>
      </c>
      <c r="Y171" s="43">
        <v>1621</v>
      </c>
    </row>
    <row r="172" spans="1:25" ht="25.5">
      <c r="A172" s="506"/>
      <c r="B172" s="541"/>
      <c r="C172" s="19">
        <v>8204042</v>
      </c>
      <c r="D172" s="20" t="s">
        <v>616</v>
      </c>
      <c r="E172" s="24" t="s">
        <v>223</v>
      </c>
      <c r="F172" s="24" t="s">
        <v>223</v>
      </c>
      <c r="G172" s="24">
        <v>66</v>
      </c>
      <c r="H172" s="24" t="s">
        <v>223</v>
      </c>
      <c r="I172" s="24" t="s">
        <v>223</v>
      </c>
      <c r="J172" s="24">
        <v>50</v>
      </c>
      <c r="K172" s="24" t="s">
        <v>223</v>
      </c>
      <c r="L172" s="24" t="s">
        <v>223</v>
      </c>
      <c r="M172" s="24" t="s">
        <v>223</v>
      </c>
      <c r="N172" s="24">
        <v>274</v>
      </c>
      <c r="O172" s="24" t="s">
        <v>223</v>
      </c>
      <c r="P172" s="24" t="s">
        <v>223</v>
      </c>
      <c r="Q172" s="506">
        <v>390</v>
      </c>
      <c r="R172" s="43">
        <v>324</v>
      </c>
      <c r="S172" s="47"/>
      <c r="T172" s="47"/>
      <c r="U172" s="47"/>
      <c r="V172" s="47"/>
      <c r="W172" s="47"/>
      <c r="X172" s="43" t="s">
        <v>223</v>
      </c>
      <c r="Y172" s="43">
        <v>324</v>
      </c>
    </row>
    <row r="173" spans="1:25" ht="38.25">
      <c r="A173" s="506"/>
      <c r="B173" s="541"/>
      <c r="C173" s="19">
        <v>8204049</v>
      </c>
      <c r="D173" s="20" t="s">
        <v>617</v>
      </c>
      <c r="E173" s="23">
        <v>-2334</v>
      </c>
      <c r="F173" s="23">
        <v>-2397</v>
      </c>
      <c r="G173" s="23">
        <v>-2733</v>
      </c>
      <c r="H173" s="23">
        <v>-1761</v>
      </c>
      <c r="I173" s="23">
        <v>-1937</v>
      </c>
      <c r="J173" s="23">
        <v>-1896</v>
      </c>
      <c r="K173" s="23">
        <v>-1640</v>
      </c>
      <c r="L173" s="23">
        <v>-1628</v>
      </c>
      <c r="M173" s="23">
        <v>-2648</v>
      </c>
      <c r="N173" s="23">
        <v>-2464</v>
      </c>
      <c r="O173" s="23">
        <v>-2294</v>
      </c>
      <c r="P173" s="23">
        <v>-2088</v>
      </c>
      <c r="Q173" s="21">
        <v>-25820</v>
      </c>
      <c r="R173" s="43">
        <v>-14658</v>
      </c>
      <c r="S173" s="47"/>
      <c r="T173" s="47"/>
      <c r="U173" s="47"/>
      <c r="V173" s="47"/>
      <c r="W173" s="47"/>
      <c r="X173" s="43" t="s">
        <v>223</v>
      </c>
      <c r="Y173" s="43">
        <v>-14658</v>
      </c>
    </row>
    <row r="174" spans="1:25" ht="25.5">
      <c r="A174" s="506"/>
      <c r="B174" s="541"/>
      <c r="C174" s="19">
        <v>8204060</v>
      </c>
      <c r="D174" s="20" t="s">
        <v>618</v>
      </c>
      <c r="E174" s="24" t="s">
        <v>223</v>
      </c>
      <c r="F174" s="24" t="s">
        <v>223</v>
      </c>
      <c r="G174" s="24" t="s">
        <v>223</v>
      </c>
      <c r="H174" s="24" t="s">
        <v>223</v>
      </c>
      <c r="I174" s="24" t="s">
        <v>223</v>
      </c>
      <c r="J174" s="24" t="s">
        <v>223</v>
      </c>
      <c r="K174" s="24" t="s">
        <v>223</v>
      </c>
      <c r="L174" s="24" t="s">
        <v>223</v>
      </c>
      <c r="M174" s="24">
        <v>-249</v>
      </c>
      <c r="N174" s="24" t="s">
        <v>223</v>
      </c>
      <c r="O174" s="24" t="s">
        <v>223</v>
      </c>
      <c r="P174" s="24" t="s">
        <v>223</v>
      </c>
      <c r="Q174" s="506">
        <v>-249</v>
      </c>
      <c r="R174" s="43">
        <v>-249</v>
      </c>
      <c r="S174" s="47"/>
      <c r="T174" s="47"/>
      <c r="U174" s="47"/>
      <c r="V174" s="47"/>
      <c r="W174" s="47"/>
      <c r="X174" s="43" t="s">
        <v>223</v>
      </c>
      <c r="Y174" s="43">
        <v>-249</v>
      </c>
    </row>
    <row r="175" spans="1:25" ht="25.5">
      <c r="A175" s="506"/>
      <c r="B175" s="541"/>
      <c r="C175" s="19">
        <v>8204142</v>
      </c>
      <c r="D175" s="20" t="s">
        <v>619</v>
      </c>
      <c r="E175" s="24" t="s">
        <v>223</v>
      </c>
      <c r="F175" s="24" t="s">
        <v>223</v>
      </c>
      <c r="G175" s="24">
        <v>129</v>
      </c>
      <c r="H175" s="24" t="s">
        <v>223</v>
      </c>
      <c r="I175" s="24" t="s">
        <v>223</v>
      </c>
      <c r="J175" s="24" t="s">
        <v>223</v>
      </c>
      <c r="K175" s="24" t="s">
        <v>223</v>
      </c>
      <c r="L175" s="24" t="s">
        <v>223</v>
      </c>
      <c r="M175" s="24" t="s">
        <v>223</v>
      </c>
      <c r="N175" s="24"/>
      <c r="O175" s="24"/>
      <c r="P175" s="24"/>
      <c r="Q175" s="506">
        <v>129</v>
      </c>
      <c r="R175" s="43" t="s">
        <v>223</v>
      </c>
      <c r="S175" s="48"/>
      <c r="T175" s="48"/>
      <c r="U175" s="48"/>
      <c r="V175" s="48"/>
      <c r="W175" s="48"/>
      <c r="X175" s="43" t="s">
        <v>223</v>
      </c>
      <c r="Y175" s="43" t="s">
        <v>223</v>
      </c>
    </row>
    <row r="176" spans="1:25" ht="25.5">
      <c r="A176" s="506"/>
      <c r="B176" s="541"/>
      <c r="C176" s="19">
        <v>8205001</v>
      </c>
      <c r="D176" s="20" t="s">
        <v>620</v>
      </c>
      <c r="E176" s="24">
        <v>134</v>
      </c>
      <c r="F176" s="24">
        <v>-27</v>
      </c>
      <c r="G176" s="24">
        <v>-1</v>
      </c>
      <c r="H176" s="24" t="s">
        <v>223</v>
      </c>
      <c r="I176" s="24" t="s">
        <v>223</v>
      </c>
      <c r="J176" s="24">
        <v>74</v>
      </c>
      <c r="K176" s="24" t="s">
        <v>223</v>
      </c>
      <c r="L176" s="24">
        <v>42</v>
      </c>
      <c r="M176" s="24">
        <v>-82</v>
      </c>
      <c r="N176" s="24">
        <v>58</v>
      </c>
      <c r="O176" s="24" t="s">
        <v>223</v>
      </c>
      <c r="P176" s="24" t="s">
        <v>223</v>
      </c>
      <c r="Q176" s="506">
        <v>197</v>
      </c>
      <c r="R176" s="43">
        <v>91</v>
      </c>
      <c r="S176" s="47"/>
      <c r="T176" s="47"/>
      <c r="U176" s="47"/>
      <c r="V176" s="47"/>
      <c r="W176" s="47"/>
      <c r="X176" s="43" t="s">
        <v>223</v>
      </c>
      <c r="Y176" s="43">
        <v>91</v>
      </c>
    </row>
    <row r="177" spans="1:25" ht="38.25">
      <c r="A177" s="506"/>
      <c r="B177" s="541"/>
      <c r="C177" s="19">
        <v>8205002</v>
      </c>
      <c r="D177" s="20" t="s">
        <v>621</v>
      </c>
      <c r="E177" s="24"/>
      <c r="F177" s="24"/>
      <c r="G177" s="24"/>
      <c r="H177" s="24"/>
      <c r="I177" s="24"/>
      <c r="J177" s="24"/>
      <c r="K177" s="24"/>
      <c r="L177" s="24"/>
      <c r="M177" s="24"/>
      <c r="N177" s="24">
        <v>49</v>
      </c>
      <c r="O177" s="24" t="s">
        <v>223</v>
      </c>
      <c r="P177" s="24" t="s">
        <v>223</v>
      </c>
      <c r="Q177" s="506">
        <v>49</v>
      </c>
      <c r="R177" s="43">
        <v>49</v>
      </c>
      <c r="S177" s="47"/>
      <c r="T177" s="47"/>
      <c r="U177" s="47"/>
      <c r="V177" s="47"/>
      <c r="W177" s="47"/>
      <c r="X177" s="43" t="s">
        <v>223</v>
      </c>
      <c r="Y177" s="43">
        <v>49</v>
      </c>
    </row>
    <row r="178" spans="1:25" ht="25.5">
      <c r="A178" s="506"/>
      <c r="B178" s="541"/>
      <c r="C178" s="19">
        <v>8360032</v>
      </c>
      <c r="D178" s="20" t="s">
        <v>622</v>
      </c>
      <c r="E178" s="24" t="s">
        <v>223</v>
      </c>
      <c r="F178" s="24" t="s">
        <v>223</v>
      </c>
      <c r="G178" s="24" t="s">
        <v>223</v>
      </c>
      <c r="H178" s="23">
        <v>-17740</v>
      </c>
      <c r="I178" s="23">
        <v>-13826</v>
      </c>
      <c r="J178" s="24" t="s">
        <v>223</v>
      </c>
      <c r="K178" s="24" t="s">
        <v>223</v>
      </c>
      <c r="L178" s="24" t="s">
        <v>223</v>
      </c>
      <c r="M178" s="24" t="s">
        <v>223</v>
      </c>
      <c r="N178" s="24"/>
      <c r="O178" s="24"/>
      <c r="P178" s="24"/>
      <c r="Q178" s="21">
        <v>-31566</v>
      </c>
      <c r="R178" s="43" t="s">
        <v>223</v>
      </c>
      <c r="S178" s="48"/>
      <c r="T178" s="48"/>
      <c r="U178" s="48"/>
      <c r="V178" s="48"/>
      <c r="W178" s="48"/>
      <c r="X178" s="43" t="s">
        <v>223</v>
      </c>
      <c r="Y178" s="43" t="s">
        <v>223</v>
      </c>
    </row>
    <row r="179" spans="1:25" ht="25.5">
      <c r="A179" s="506"/>
      <c r="B179" s="541"/>
      <c r="C179" s="19">
        <v>8400000</v>
      </c>
      <c r="D179" s="20" t="s">
        <v>623</v>
      </c>
      <c r="E179" s="24" t="s">
        <v>223</v>
      </c>
      <c r="F179" s="24" t="s">
        <v>223</v>
      </c>
      <c r="G179" s="24" t="s">
        <v>223</v>
      </c>
      <c r="H179" s="24" t="s">
        <v>223</v>
      </c>
      <c r="I179" s="24" t="s">
        <v>223</v>
      </c>
      <c r="J179" s="24" t="s">
        <v>223</v>
      </c>
      <c r="K179" s="24" t="s">
        <v>223</v>
      </c>
      <c r="L179" s="24" t="s">
        <v>223</v>
      </c>
      <c r="M179" s="24" t="s">
        <v>223</v>
      </c>
      <c r="N179" s="24" t="s">
        <v>223</v>
      </c>
      <c r="O179" s="24" t="s">
        <v>223</v>
      </c>
      <c r="P179" s="24" t="s">
        <v>223</v>
      </c>
      <c r="Q179" s="506" t="s">
        <v>223</v>
      </c>
      <c r="R179" s="43" t="s">
        <v>223</v>
      </c>
      <c r="S179" s="47">
        <v>-18330</v>
      </c>
      <c r="T179" s="47">
        <v>-18330</v>
      </c>
      <c r="U179" s="47">
        <v>-18330</v>
      </c>
      <c r="V179" s="47">
        <v>-18330</v>
      </c>
      <c r="W179" s="47">
        <v>-18330</v>
      </c>
      <c r="X179" s="43">
        <v>-91650</v>
      </c>
      <c r="Y179" s="43">
        <v>-91650</v>
      </c>
    </row>
    <row r="180" spans="1:25" ht="38.25">
      <c r="A180" s="506"/>
      <c r="B180" s="541"/>
      <c r="C180" s="19">
        <v>8400001</v>
      </c>
      <c r="D180" s="20" t="s">
        <v>624</v>
      </c>
      <c r="E180" s="24"/>
      <c r="F180" s="24"/>
      <c r="G180" s="24"/>
      <c r="H180" s="24"/>
      <c r="I180" s="24"/>
      <c r="J180" s="24"/>
      <c r="K180" s="24"/>
      <c r="L180" s="24"/>
      <c r="M180" s="24"/>
      <c r="N180" s="24"/>
      <c r="O180" s="24"/>
      <c r="P180" s="24"/>
      <c r="Q180" s="506" t="s">
        <v>223</v>
      </c>
      <c r="R180" s="43" t="s">
        <v>223</v>
      </c>
      <c r="S180" s="47">
        <v>-21670</v>
      </c>
      <c r="T180" s="47">
        <v>-21670</v>
      </c>
      <c r="U180" s="47">
        <v>-21670</v>
      </c>
      <c r="V180" s="47">
        <v>-21670</v>
      </c>
      <c r="W180" s="47">
        <v>-21670</v>
      </c>
      <c r="X180" s="43">
        <v>-108350</v>
      </c>
      <c r="Y180" s="43">
        <v>-108350</v>
      </c>
    </row>
    <row r="181" spans="1:25" ht="38.25">
      <c r="A181" s="506"/>
      <c r="B181" s="541"/>
      <c r="C181" s="19">
        <v>8402004</v>
      </c>
      <c r="D181" s="20" t="s">
        <v>625</v>
      </c>
      <c r="E181" s="23">
        <v>-2734</v>
      </c>
      <c r="F181" s="23">
        <v>-1385</v>
      </c>
      <c r="G181" s="23">
        <v>-1112</v>
      </c>
      <c r="H181" s="23">
        <v>-2417</v>
      </c>
      <c r="I181" s="23">
        <v>-2957</v>
      </c>
      <c r="J181" s="23">
        <v>-5057</v>
      </c>
      <c r="K181" s="23">
        <v>-1040</v>
      </c>
      <c r="L181" s="23">
        <v>-1889</v>
      </c>
      <c r="M181" s="23">
        <v>-1328</v>
      </c>
      <c r="N181" s="23">
        <v>-1031</v>
      </c>
      <c r="O181" s="24">
        <v>-708</v>
      </c>
      <c r="P181" s="24">
        <v>-899</v>
      </c>
      <c r="Q181" s="21">
        <v>-22558</v>
      </c>
      <c r="R181" s="43">
        <v>-11953</v>
      </c>
      <c r="S181" s="47">
        <v>-182768</v>
      </c>
      <c r="T181" s="47">
        <v>-182768</v>
      </c>
      <c r="U181" s="47">
        <v>-182768</v>
      </c>
      <c r="V181" s="47">
        <v>-182735</v>
      </c>
      <c r="W181" s="47">
        <v>-182768</v>
      </c>
      <c r="X181" s="43">
        <v>-913807</v>
      </c>
      <c r="Y181" s="43">
        <v>-925760</v>
      </c>
    </row>
    <row r="182" spans="1:25">
      <c r="A182" s="506"/>
      <c r="B182" s="541"/>
      <c r="C182" s="19">
        <v>8402014</v>
      </c>
      <c r="D182" s="20" t="s">
        <v>626</v>
      </c>
      <c r="E182" s="24" t="s">
        <v>223</v>
      </c>
      <c r="F182" s="24" t="s">
        <v>223</v>
      </c>
      <c r="G182" s="24" t="s">
        <v>223</v>
      </c>
      <c r="H182" s="24" t="s">
        <v>223</v>
      </c>
      <c r="I182" s="24" t="s">
        <v>223</v>
      </c>
      <c r="J182" s="24" t="s">
        <v>223</v>
      </c>
      <c r="K182" s="24" t="s">
        <v>223</v>
      </c>
      <c r="L182" s="24" t="s">
        <v>223</v>
      </c>
      <c r="M182" s="24" t="s">
        <v>223</v>
      </c>
      <c r="N182" s="24" t="s">
        <v>223</v>
      </c>
      <c r="O182" s="24" t="s">
        <v>223</v>
      </c>
      <c r="P182" s="24" t="s">
        <v>223</v>
      </c>
      <c r="Q182" s="506" t="s">
        <v>223</v>
      </c>
      <c r="R182" s="43" t="s">
        <v>223</v>
      </c>
      <c r="S182" s="47">
        <v>-91810</v>
      </c>
      <c r="T182" s="47">
        <v>-91810</v>
      </c>
      <c r="U182" s="47">
        <v>-91810</v>
      </c>
      <c r="V182" s="47">
        <v>-91810</v>
      </c>
      <c r="W182" s="47">
        <v>-91810</v>
      </c>
      <c r="X182" s="43">
        <v>-459050</v>
      </c>
      <c r="Y182" s="43">
        <v>-459050</v>
      </c>
    </row>
    <row r="183" spans="1:25" ht="25.5">
      <c r="A183" s="506"/>
      <c r="B183" s="542"/>
      <c r="C183" s="19">
        <v>8405000</v>
      </c>
      <c r="D183" s="20" t="s">
        <v>627</v>
      </c>
      <c r="E183" s="23">
        <v>-1166</v>
      </c>
      <c r="F183" s="24">
        <v>-591</v>
      </c>
      <c r="G183" s="24">
        <v>-475</v>
      </c>
      <c r="H183" s="23">
        <v>-1031</v>
      </c>
      <c r="I183" s="23">
        <v>-1262</v>
      </c>
      <c r="J183" s="24">
        <v>-833</v>
      </c>
      <c r="K183" s="24">
        <v>-444</v>
      </c>
      <c r="L183" s="24">
        <v>-806</v>
      </c>
      <c r="M183" s="24">
        <v>-567</v>
      </c>
      <c r="N183" s="24">
        <v>-654</v>
      </c>
      <c r="O183" s="24">
        <v>-449</v>
      </c>
      <c r="P183" s="24">
        <v>-570</v>
      </c>
      <c r="Q183" s="21">
        <v>-8849</v>
      </c>
      <c r="R183" s="43">
        <v>-4324</v>
      </c>
      <c r="S183" s="47"/>
      <c r="T183" s="47"/>
      <c r="U183" s="47"/>
      <c r="V183" s="47"/>
      <c r="W183" s="47"/>
      <c r="X183" s="43" t="s">
        <v>223</v>
      </c>
      <c r="Y183" s="43">
        <v>-4324</v>
      </c>
    </row>
    <row r="184" spans="1:25" ht="63.75">
      <c r="A184" s="506"/>
      <c r="B184" s="22" t="s">
        <v>628</v>
      </c>
      <c r="C184" s="19"/>
      <c r="D184" s="20"/>
      <c r="E184" s="23">
        <v>1209349</v>
      </c>
      <c r="F184" s="23">
        <v>1184082</v>
      </c>
      <c r="G184" s="23">
        <v>1160852</v>
      </c>
      <c r="H184" s="23">
        <v>1189172</v>
      </c>
      <c r="I184" s="23">
        <v>1172557</v>
      </c>
      <c r="J184" s="23">
        <v>1092467</v>
      </c>
      <c r="K184" s="23">
        <v>1061863</v>
      </c>
      <c r="L184" s="23">
        <v>1101136</v>
      </c>
      <c r="M184" s="23">
        <v>1555053</v>
      </c>
      <c r="N184" s="23">
        <v>1333391</v>
      </c>
      <c r="O184" s="23">
        <v>1454325</v>
      </c>
      <c r="P184" s="23">
        <v>1579320</v>
      </c>
      <c r="Q184" s="21">
        <v>15093567</v>
      </c>
      <c r="R184" s="43">
        <v>9177554</v>
      </c>
      <c r="S184" s="47">
        <v>1348588</v>
      </c>
      <c r="T184" s="47">
        <v>1304601</v>
      </c>
      <c r="U184" s="47">
        <v>1348584</v>
      </c>
      <c r="V184" s="47">
        <v>1330452</v>
      </c>
      <c r="W184" s="47">
        <v>1345234</v>
      </c>
      <c r="X184" s="43">
        <v>6677459</v>
      </c>
      <c r="Y184" s="43">
        <v>15855013</v>
      </c>
    </row>
    <row r="185" spans="1:25" ht="51">
      <c r="A185" s="506"/>
      <c r="B185" s="540" t="s">
        <v>629</v>
      </c>
      <c r="C185" s="19">
        <v>5501010</v>
      </c>
      <c r="D185" s="20" t="s">
        <v>630</v>
      </c>
      <c r="E185" s="24">
        <v>243</v>
      </c>
      <c r="F185" s="24">
        <v>243</v>
      </c>
      <c r="G185" s="24">
        <v>243</v>
      </c>
      <c r="H185" s="24">
        <v>243</v>
      </c>
      <c r="I185" s="24">
        <v>243</v>
      </c>
      <c r="J185" s="24">
        <v>243</v>
      </c>
      <c r="K185" s="24">
        <v>243</v>
      </c>
      <c r="L185" s="24">
        <v>243</v>
      </c>
      <c r="M185" s="24">
        <v>243</v>
      </c>
      <c r="N185" s="24">
        <v>243</v>
      </c>
      <c r="O185" s="24">
        <v>243</v>
      </c>
      <c r="P185" s="24">
        <v>243</v>
      </c>
      <c r="Q185" s="21">
        <v>2912</v>
      </c>
      <c r="R185" s="43">
        <v>1698</v>
      </c>
      <c r="S185" s="47">
        <v>200</v>
      </c>
      <c r="T185" s="47">
        <v>200</v>
      </c>
      <c r="U185" s="47">
        <v>200</v>
      </c>
      <c r="V185" s="47">
        <v>200</v>
      </c>
      <c r="W185" s="47">
        <v>300</v>
      </c>
      <c r="X185" s="43">
        <v>1100</v>
      </c>
      <c r="Y185" s="43">
        <v>2798</v>
      </c>
    </row>
    <row r="186" spans="1:25" ht="38.25">
      <c r="A186" s="506"/>
      <c r="B186" s="541"/>
      <c r="C186" s="19">
        <v>5501020</v>
      </c>
      <c r="D186" s="20" t="s">
        <v>631</v>
      </c>
      <c r="E186" s="23">
        <v>9961</v>
      </c>
      <c r="F186" s="23">
        <v>9961</v>
      </c>
      <c r="G186" s="23">
        <v>9961</v>
      </c>
      <c r="H186" s="23">
        <v>9961</v>
      </c>
      <c r="I186" s="23">
        <v>9991</v>
      </c>
      <c r="J186" s="23">
        <v>9953</v>
      </c>
      <c r="K186" s="23">
        <v>9953</v>
      </c>
      <c r="L186" s="23">
        <v>9953</v>
      </c>
      <c r="M186" s="23">
        <v>9953</v>
      </c>
      <c r="N186" s="23">
        <v>9953</v>
      </c>
      <c r="O186" s="23">
        <v>9960</v>
      </c>
      <c r="P186" s="23">
        <v>9948</v>
      </c>
      <c r="Q186" s="21">
        <v>119507</v>
      </c>
      <c r="R186" s="43">
        <v>69673</v>
      </c>
      <c r="S186" s="47">
        <v>10800</v>
      </c>
      <c r="T186" s="47">
        <v>10800</v>
      </c>
      <c r="U186" s="47">
        <v>10800</v>
      </c>
      <c r="V186" s="47">
        <v>10800</v>
      </c>
      <c r="W186" s="47">
        <v>10800</v>
      </c>
      <c r="X186" s="43">
        <v>54000</v>
      </c>
      <c r="Y186" s="43">
        <v>123673</v>
      </c>
    </row>
    <row r="187" spans="1:25" ht="63.75">
      <c r="A187" s="506"/>
      <c r="B187" s="541"/>
      <c r="C187" s="19">
        <v>5501030</v>
      </c>
      <c r="D187" s="20" t="s">
        <v>632</v>
      </c>
      <c r="E187" s="23">
        <v>7873</v>
      </c>
      <c r="F187" s="23">
        <v>7873</v>
      </c>
      <c r="G187" s="23">
        <v>7886</v>
      </c>
      <c r="H187" s="23">
        <v>8096</v>
      </c>
      <c r="I187" s="23">
        <v>8096</v>
      </c>
      <c r="J187" s="23">
        <v>8096</v>
      </c>
      <c r="K187" s="23">
        <v>8095</v>
      </c>
      <c r="L187" s="23">
        <v>8095</v>
      </c>
      <c r="M187" s="23">
        <v>8095</v>
      </c>
      <c r="N187" s="23">
        <v>8095</v>
      </c>
      <c r="O187" s="23">
        <v>8095</v>
      </c>
      <c r="P187" s="23">
        <v>8101</v>
      </c>
      <c r="Q187" s="21">
        <v>96497</v>
      </c>
      <c r="R187" s="43">
        <v>56674</v>
      </c>
      <c r="S187" s="47">
        <v>8000</v>
      </c>
      <c r="T187" s="47">
        <v>8000</v>
      </c>
      <c r="U187" s="47">
        <v>8000</v>
      </c>
      <c r="V187" s="47">
        <v>8000</v>
      </c>
      <c r="W187" s="47">
        <v>8100</v>
      </c>
      <c r="X187" s="43">
        <v>40100</v>
      </c>
      <c r="Y187" s="43">
        <v>96774</v>
      </c>
    </row>
    <row r="188" spans="1:25" ht="51">
      <c r="A188" s="506"/>
      <c r="B188" s="541"/>
      <c r="C188" s="19">
        <v>5501033</v>
      </c>
      <c r="D188" s="20" t="s">
        <v>633</v>
      </c>
      <c r="E188" s="23">
        <v>64035</v>
      </c>
      <c r="F188" s="23">
        <v>64039</v>
      </c>
      <c r="G188" s="23">
        <v>64037</v>
      </c>
      <c r="H188" s="23">
        <v>64037</v>
      </c>
      <c r="I188" s="23">
        <v>64037</v>
      </c>
      <c r="J188" s="23">
        <v>64037</v>
      </c>
      <c r="K188" s="23">
        <v>64037</v>
      </c>
      <c r="L188" s="23">
        <v>64037</v>
      </c>
      <c r="M188" s="23">
        <v>64037</v>
      </c>
      <c r="N188" s="23">
        <v>64037</v>
      </c>
      <c r="O188" s="23">
        <v>64037</v>
      </c>
      <c r="P188" s="23">
        <v>64037</v>
      </c>
      <c r="Q188" s="21">
        <v>768444</v>
      </c>
      <c r="R188" s="43">
        <v>448260</v>
      </c>
      <c r="S188" s="47">
        <v>64100</v>
      </c>
      <c r="T188" s="47">
        <v>64100</v>
      </c>
      <c r="U188" s="47">
        <v>64100</v>
      </c>
      <c r="V188" s="47">
        <v>64100</v>
      </c>
      <c r="W188" s="47">
        <v>64100</v>
      </c>
      <c r="X188" s="43">
        <v>320500</v>
      </c>
      <c r="Y188" s="43">
        <v>768760</v>
      </c>
    </row>
    <row r="189" spans="1:25" ht="38.25">
      <c r="A189" s="506"/>
      <c r="B189" s="541"/>
      <c r="C189" s="19">
        <v>5501040</v>
      </c>
      <c r="D189" s="20" t="s">
        <v>634</v>
      </c>
      <c r="E189" s="23">
        <v>127810</v>
      </c>
      <c r="F189" s="23">
        <v>127811</v>
      </c>
      <c r="G189" s="23">
        <v>127796</v>
      </c>
      <c r="H189" s="23">
        <v>127812</v>
      </c>
      <c r="I189" s="23">
        <v>127816</v>
      </c>
      <c r="J189" s="23">
        <v>128111</v>
      </c>
      <c r="K189" s="23">
        <v>130316</v>
      </c>
      <c r="L189" s="23">
        <v>130635</v>
      </c>
      <c r="M189" s="23">
        <v>130477</v>
      </c>
      <c r="N189" s="23">
        <v>129940</v>
      </c>
      <c r="O189" s="23">
        <v>129944</v>
      </c>
      <c r="P189" s="23">
        <v>129951</v>
      </c>
      <c r="Q189" s="21">
        <v>1548419</v>
      </c>
      <c r="R189" s="43">
        <v>909374</v>
      </c>
      <c r="S189" s="47">
        <v>135200</v>
      </c>
      <c r="T189" s="47">
        <v>135200</v>
      </c>
      <c r="U189" s="47">
        <v>135200</v>
      </c>
      <c r="V189" s="47">
        <v>135200</v>
      </c>
      <c r="W189" s="47">
        <v>135300</v>
      </c>
      <c r="X189" s="43">
        <v>676100</v>
      </c>
      <c r="Y189" s="43">
        <v>1585474</v>
      </c>
    </row>
    <row r="190" spans="1:25" ht="38.25">
      <c r="A190" s="506"/>
      <c r="B190" s="541"/>
      <c r="C190" s="19">
        <v>5501050</v>
      </c>
      <c r="D190" s="20" t="s">
        <v>635</v>
      </c>
      <c r="E190" s="23">
        <v>359835</v>
      </c>
      <c r="F190" s="23">
        <v>360331</v>
      </c>
      <c r="G190" s="23">
        <v>362297</v>
      </c>
      <c r="H190" s="23">
        <v>364759</v>
      </c>
      <c r="I190" s="23">
        <v>366534</v>
      </c>
      <c r="J190" s="23">
        <v>367904</v>
      </c>
      <c r="K190" s="23">
        <v>373030</v>
      </c>
      <c r="L190" s="23">
        <v>375185</v>
      </c>
      <c r="M190" s="23">
        <v>378219</v>
      </c>
      <c r="N190" s="23">
        <v>378300</v>
      </c>
      <c r="O190" s="23">
        <v>378726</v>
      </c>
      <c r="P190" s="23">
        <v>379922</v>
      </c>
      <c r="Q190" s="21">
        <v>4445044</v>
      </c>
      <c r="R190" s="43">
        <v>2631287</v>
      </c>
      <c r="S190" s="47">
        <v>392172</v>
      </c>
      <c r="T190" s="47">
        <v>392195</v>
      </c>
      <c r="U190" s="47">
        <v>392219</v>
      </c>
      <c r="V190" s="47">
        <v>392256</v>
      </c>
      <c r="W190" s="47">
        <v>392279</v>
      </c>
      <c r="X190" s="43">
        <v>1961121</v>
      </c>
      <c r="Y190" s="43">
        <v>4592408</v>
      </c>
    </row>
    <row r="191" spans="1:25" ht="51">
      <c r="A191" s="506"/>
      <c r="B191" s="541"/>
      <c r="C191" s="19">
        <v>5501060</v>
      </c>
      <c r="D191" s="20" t="s">
        <v>636</v>
      </c>
      <c r="E191" s="23">
        <v>43709</v>
      </c>
      <c r="F191" s="23">
        <v>44895</v>
      </c>
      <c r="G191" s="23">
        <v>44499</v>
      </c>
      <c r="H191" s="23">
        <v>45300</v>
      </c>
      <c r="I191" s="23">
        <v>45638</v>
      </c>
      <c r="J191" s="23">
        <v>45197</v>
      </c>
      <c r="K191" s="23">
        <v>45197</v>
      </c>
      <c r="L191" s="23">
        <v>45501</v>
      </c>
      <c r="M191" s="23">
        <v>45304</v>
      </c>
      <c r="N191" s="23">
        <v>45354</v>
      </c>
      <c r="O191" s="23">
        <v>45354</v>
      </c>
      <c r="P191" s="23">
        <v>45381</v>
      </c>
      <c r="Q191" s="21">
        <v>541331</v>
      </c>
      <c r="R191" s="43">
        <v>317290</v>
      </c>
      <c r="S191" s="47">
        <v>51991</v>
      </c>
      <c r="T191" s="47">
        <v>52049</v>
      </c>
      <c r="U191" s="47">
        <v>52295</v>
      </c>
      <c r="V191" s="47">
        <v>52389</v>
      </c>
      <c r="W191" s="47">
        <v>52435</v>
      </c>
      <c r="X191" s="43">
        <v>261159</v>
      </c>
      <c r="Y191" s="43">
        <v>578449</v>
      </c>
    </row>
    <row r="192" spans="1:25" ht="51">
      <c r="A192" s="506"/>
      <c r="B192" s="541"/>
      <c r="C192" s="19">
        <v>5501070</v>
      </c>
      <c r="D192" s="20" t="s">
        <v>637</v>
      </c>
      <c r="E192" s="23">
        <v>14068</v>
      </c>
      <c r="F192" s="23">
        <v>14091</v>
      </c>
      <c r="G192" s="23">
        <v>13449</v>
      </c>
      <c r="H192" s="23">
        <v>13478</v>
      </c>
      <c r="I192" s="23">
        <v>14016</v>
      </c>
      <c r="J192" s="23">
        <v>14023</v>
      </c>
      <c r="K192" s="23">
        <v>12858</v>
      </c>
      <c r="L192" s="23">
        <v>12467</v>
      </c>
      <c r="M192" s="23">
        <v>12556</v>
      </c>
      <c r="N192" s="23">
        <v>12639</v>
      </c>
      <c r="O192" s="23">
        <v>12639</v>
      </c>
      <c r="P192" s="23">
        <v>12689</v>
      </c>
      <c r="Q192" s="21">
        <v>158974</v>
      </c>
      <c r="R192" s="43">
        <v>89872</v>
      </c>
      <c r="S192" s="47">
        <v>15555</v>
      </c>
      <c r="T192" s="47">
        <v>15583</v>
      </c>
      <c r="U192" s="47">
        <v>15611</v>
      </c>
      <c r="V192" s="47">
        <v>15639</v>
      </c>
      <c r="W192" s="47">
        <v>15673</v>
      </c>
      <c r="X192" s="43">
        <v>78061</v>
      </c>
      <c r="Y192" s="43">
        <v>167933</v>
      </c>
    </row>
    <row r="193" spans="1:25" ht="51">
      <c r="A193" s="506"/>
      <c r="B193" s="541"/>
      <c r="C193" s="19">
        <v>5505010</v>
      </c>
      <c r="D193" s="20" t="s">
        <v>638</v>
      </c>
      <c r="E193" s="23">
        <v>29006</v>
      </c>
      <c r="F193" s="23">
        <v>31434</v>
      </c>
      <c r="G193" s="23">
        <v>31404</v>
      </c>
      <c r="H193" s="23">
        <v>31234</v>
      </c>
      <c r="I193" s="23">
        <v>31294</v>
      </c>
      <c r="J193" s="23">
        <v>31263</v>
      </c>
      <c r="K193" s="23">
        <v>31129</v>
      </c>
      <c r="L193" s="23">
        <v>31496</v>
      </c>
      <c r="M193" s="23">
        <v>33908</v>
      </c>
      <c r="N193" s="23">
        <v>32931</v>
      </c>
      <c r="O193" s="23">
        <v>32936</v>
      </c>
      <c r="P193" s="23">
        <v>33585</v>
      </c>
      <c r="Q193" s="21">
        <v>381618</v>
      </c>
      <c r="R193" s="43">
        <v>227247</v>
      </c>
      <c r="S193" s="47">
        <v>37306</v>
      </c>
      <c r="T193" s="47">
        <v>37331</v>
      </c>
      <c r="U193" s="47">
        <v>37331</v>
      </c>
      <c r="V193" s="47">
        <v>37383</v>
      </c>
      <c r="W193" s="47">
        <v>37395</v>
      </c>
      <c r="X193" s="43">
        <v>186746</v>
      </c>
      <c r="Y193" s="43">
        <v>413993</v>
      </c>
    </row>
    <row r="194" spans="1:25" ht="51">
      <c r="A194" s="506"/>
      <c r="B194" s="542"/>
      <c r="C194" s="19">
        <v>5505300</v>
      </c>
      <c r="D194" s="20" t="s">
        <v>639</v>
      </c>
      <c r="E194" s="23">
        <v>1326</v>
      </c>
      <c r="F194" s="23">
        <v>1326</v>
      </c>
      <c r="G194" s="23">
        <v>1326</v>
      </c>
      <c r="H194" s="23">
        <v>1326</v>
      </c>
      <c r="I194" s="23">
        <v>1326</v>
      </c>
      <c r="J194" s="23">
        <v>1326</v>
      </c>
      <c r="K194" s="23">
        <v>1326</v>
      </c>
      <c r="L194" s="23">
        <v>1326</v>
      </c>
      <c r="M194" s="23">
        <v>1326</v>
      </c>
      <c r="N194" s="23">
        <v>1326</v>
      </c>
      <c r="O194" s="23">
        <v>1326</v>
      </c>
      <c r="P194" s="23">
        <v>1326</v>
      </c>
      <c r="Q194" s="21">
        <v>15917</v>
      </c>
      <c r="R194" s="43">
        <v>9285</v>
      </c>
      <c r="S194" s="47">
        <v>1300</v>
      </c>
      <c r="T194" s="47">
        <v>1300</v>
      </c>
      <c r="U194" s="47">
        <v>1300</v>
      </c>
      <c r="V194" s="47">
        <v>1300</v>
      </c>
      <c r="W194" s="47">
        <v>1300</v>
      </c>
      <c r="X194" s="43">
        <v>6500</v>
      </c>
      <c r="Y194" s="43">
        <v>15785</v>
      </c>
    </row>
    <row r="195" spans="1:25" ht="63.75">
      <c r="A195" s="506"/>
      <c r="B195" s="22" t="s">
        <v>640</v>
      </c>
      <c r="C195" s="19"/>
      <c r="D195" s="20"/>
      <c r="E195" s="23">
        <v>657865</v>
      </c>
      <c r="F195" s="23">
        <v>662004</v>
      </c>
      <c r="G195" s="23">
        <v>662899</v>
      </c>
      <c r="H195" s="23">
        <v>666245</v>
      </c>
      <c r="I195" s="23">
        <v>668989</v>
      </c>
      <c r="J195" s="23">
        <v>670153</v>
      </c>
      <c r="K195" s="23">
        <v>676185</v>
      </c>
      <c r="L195" s="23">
        <v>678939</v>
      </c>
      <c r="M195" s="23">
        <v>684119</v>
      </c>
      <c r="N195" s="23">
        <v>682820</v>
      </c>
      <c r="O195" s="23">
        <v>683262</v>
      </c>
      <c r="P195" s="23">
        <v>685183</v>
      </c>
      <c r="Q195" s="21">
        <v>8078662</v>
      </c>
      <c r="R195" s="43">
        <v>4760660</v>
      </c>
      <c r="S195" s="47">
        <v>716624</v>
      </c>
      <c r="T195" s="47">
        <v>716758</v>
      </c>
      <c r="U195" s="47">
        <v>717056</v>
      </c>
      <c r="V195" s="47">
        <v>717267</v>
      </c>
      <c r="W195" s="47">
        <v>717682</v>
      </c>
      <c r="X195" s="43">
        <v>3585387</v>
      </c>
      <c r="Y195" s="43">
        <v>8346047</v>
      </c>
    </row>
    <row r="196" spans="1:25" ht="25.5">
      <c r="A196" s="506"/>
      <c r="B196" s="540" t="s">
        <v>641</v>
      </c>
      <c r="C196" s="19">
        <v>5702100</v>
      </c>
      <c r="D196" s="20" t="s">
        <v>642</v>
      </c>
      <c r="E196" s="23">
        <v>259200</v>
      </c>
      <c r="F196" s="23">
        <v>259200</v>
      </c>
      <c r="G196" s="23">
        <v>280000</v>
      </c>
      <c r="H196" s="23">
        <v>259000</v>
      </c>
      <c r="I196" s="23">
        <v>259000</v>
      </c>
      <c r="J196" s="23">
        <v>259000</v>
      </c>
      <c r="K196" s="23">
        <v>259000</v>
      </c>
      <c r="L196" s="23">
        <v>259000</v>
      </c>
      <c r="M196" s="23">
        <v>259000</v>
      </c>
      <c r="N196" s="23">
        <v>73200</v>
      </c>
      <c r="O196" s="23">
        <v>258200</v>
      </c>
      <c r="P196" s="23">
        <v>257400</v>
      </c>
      <c r="Q196" s="21">
        <v>2941200</v>
      </c>
      <c r="R196" s="43">
        <v>1624800</v>
      </c>
      <c r="S196" s="47">
        <v>248350</v>
      </c>
      <c r="T196" s="47">
        <v>248350</v>
      </c>
      <c r="U196" s="47">
        <v>248350</v>
      </c>
      <c r="V196" s="47">
        <v>248350</v>
      </c>
      <c r="W196" s="47">
        <v>248350</v>
      </c>
      <c r="X196" s="43">
        <v>1241750</v>
      </c>
      <c r="Y196" s="43">
        <v>2866550</v>
      </c>
    </row>
    <row r="197" spans="1:25" ht="25.5">
      <c r="A197" s="506"/>
      <c r="B197" s="541"/>
      <c r="C197" s="19">
        <v>5703100</v>
      </c>
      <c r="D197" s="20" t="s">
        <v>643</v>
      </c>
      <c r="E197" s="23">
        <v>56901</v>
      </c>
      <c r="F197" s="23">
        <v>54017</v>
      </c>
      <c r="G197" s="23">
        <v>53790</v>
      </c>
      <c r="H197" s="23">
        <v>44924</v>
      </c>
      <c r="I197" s="23">
        <v>49409</v>
      </c>
      <c r="J197" s="23">
        <v>51285</v>
      </c>
      <c r="K197" s="23">
        <v>50187</v>
      </c>
      <c r="L197" s="23">
        <v>39110</v>
      </c>
      <c r="M197" s="23">
        <v>50796</v>
      </c>
      <c r="N197" s="23">
        <v>55178</v>
      </c>
      <c r="O197" s="23">
        <v>53753</v>
      </c>
      <c r="P197" s="23">
        <v>42479</v>
      </c>
      <c r="Q197" s="21">
        <v>601829</v>
      </c>
      <c r="R197" s="43">
        <v>342788</v>
      </c>
      <c r="S197" s="47">
        <v>71813</v>
      </c>
      <c r="T197" s="47">
        <v>68859</v>
      </c>
      <c r="U197" s="47">
        <v>71246</v>
      </c>
      <c r="V197" s="47">
        <v>71596</v>
      </c>
      <c r="W197" s="47">
        <v>72714</v>
      </c>
      <c r="X197" s="43">
        <v>356228</v>
      </c>
      <c r="Y197" s="43">
        <v>699016</v>
      </c>
    </row>
    <row r="198" spans="1:25" ht="25.5">
      <c r="A198" s="506"/>
      <c r="B198" s="541"/>
      <c r="C198" s="19">
        <v>5703101</v>
      </c>
      <c r="D198" s="20" t="s">
        <v>644</v>
      </c>
      <c r="E198" s="23">
        <v>3005</v>
      </c>
      <c r="F198" s="23">
        <v>2650</v>
      </c>
      <c r="G198" s="23">
        <v>3925</v>
      </c>
      <c r="H198" s="23">
        <v>4095</v>
      </c>
      <c r="I198" s="23">
        <v>3340</v>
      </c>
      <c r="J198" s="23">
        <v>2790</v>
      </c>
      <c r="K198" s="23">
        <v>2123</v>
      </c>
      <c r="L198" s="23">
        <v>1793</v>
      </c>
      <c r="M198" s="23">
        <v>2499</v>
      </c>
      <c r="N198" s="23">
        <v>5746</v>
      </c>
      <c r="O198" s="23">
        <v>6799</v>
      </c>
      <c r="P198" s="23">
        <v>2839</v>
      </c>
      <c r="Q198" s="21">
        <v>41605</v>
      </c>
      <c r="R198" s="43">
        <v>24590</v>
      </c>
      <c r="S198" s="47">
        <v>3775</v>
      </c>
      <c r="T198" s="47">
        <v>3578</v>
      </c>
      <c r="U198" s="47">
        <v>3731</v>
      </c>
      <c r="V198" s="47">
        <v>3734</v>
      </c>
      <c r="W198" s="47">
        <v>3727</v>
      </c>
      <c r="X198" s="43">
        <v>18545</v>
      </c>
      <c r="Y198" s="43">
        <v>43135</v>
      </c>
    </row>
    <row r="199" spans="1:25" ht="25.5">
      <c r="A199" s="506"/>
      <c r="B199" s="541"/>
      <c r="C199" s="19">
        <v>5706100</v>
      </c>
      <c r="D199" s="20" t="s">
        <v>645</v>
      </c>
      <c r="E199" s="24" t="s">
        <v>223</v>
      </c>
      <c r="F199" s="24" t="s">
        <v>223</v>
      </c>
      <c r="G199" s="24" t="s">
        <v>223</v>
      </c>
      <c r="H199" s="24" t="s">
        <v>223</v>
      </c>
      <c r="I199" s="24">
        <v>550</v>
      </c>
      <c r="J199" s="24" t="s">
        <v>223</v>
      </c>
      <c r="K199" s="24" t="s">
        <v>223</v>
      </c>
      <c r="L199" s="24" t="s">
        <v>223</v>
      </c>
      <c r="M199" s="24" t="s">
        <v>223</v>
      </c>
      <c r="N199" s="24"/>
      <c r="O199" s="24"/>
      <c r="P199" s="24"/>
      <c r="Q199" s="506">
        <v>550</v>
      </c>
      <c r="R199" s="43" t="s">
        <v>223</v>
      </c>
      <c r="S199" s="47">
        <v>83</v>
      </c>
      <c r="T199" s="47">
        <v>83</v>
      </c>
      <c r="U199" s="47">
        <v>83</v>
      </c>
      <c r="V199" s="47">
        <v>83</v>
      </c>
      <c r="W199" s="47">
        <v>83</v>
      </c>
      <c r="X199" s="43">
        <v>415</v>
      </c>
      <c r="Y199" s="43">
        <v>415</v>
      </c>
    </row>
    <row r="200" spans="1:25" ht="38.25">
      <c r="A200" s="506"/>
      <c r="B200" s="541"/>
      <c r="C200" s="19">
        <v>5709100</v>
      </c>
      <c r="D200" s="20" t="s">
        <v>646</v>
      </c>
      <c r="E200" s="24">
        <v>162</v>
      </c>
      <c r="F200" s="24" t="s">
        <v>223</v>
      </c>
      <c r="G200" s="24" t="s">
        <v>223</v>
      </c>
      <c r="H200" s="24" t="s">
        <v>223</v>
      </c>
      <c r="I200" s="24" t="s">
        <v>223</v>
      </c>
      <c r="J200" s="24" t="s">
        <v>223</v>
      </c>
      <c r="K200" s="24" t="s">
        <v>223</v>
      </c>
      <c r="L200" s="24" t="s">
        <v>223</v>
      </c>
      <c r="M200" s="24" t="s">
        <v>223</v>
      </c>
      <c r="N200" s="24">
        <v>333</v>
      </c>
      <c r="O200" s="24" t="s">
        <v>223</v>
      </c>
      <c r="P200" s="24" t="s">
        <v>223</v>
      </c>
      <c r="Q200" s="506">
        <v>495</v>
      </c>
      <c r="R200" s="43">
        <v>333</v>
      </c>
      <c r="S200" s="47"/>
      <c r="T200" s="47"/>
      <c r="U200" s="47"/>
      <c r="V200" s="47"/>
      <c r="W200" s="47"/>
      <c r="X200" s="43" t="s">
        <v>223</v>
      </c>
      <c r="Y200" s="43">
        <v>333</v>
      </c>
    </row>
    <row r="201" spans="1:25" ht="63.75">
      <c r="A201" s="506"/>
      <c r="B201" s="542"/>
      <c r="C201" s="19">
        <v>5709999</v>
      </c>
      <c r="D201" s="20" t="s">
        <v>647</v>
      </c>
      <c r="E201" s="24" t="s">
        <v>223</v>
      </c>
      <c r="F201" s="24" t="s">
        <v>223</v>
      </c>
      <c r="G201" s="24" t="s">
        <v>223</v>
      </c>
      <c r="H201" s="24" t="s">
        <v>223</v>
      </c>
      <c r="I201" s="24" t="s">
        <v>223</v>
      </c>
      <c r="J201" s="24" t="s">
        <v>223</v>
      </c>
      <c r="K201" s="24" t="s">
        <v>223</v>
      </c>
      <c r="L201" s="24" t="s">
        <v>223</v>
      </c>
      <c r="M201" s="23">
        <v>-1304</v>
      </c>
      <c r="N201" s="24"/>
      <c r="O201" s="24"/>
      <c r="P201" s="24"/>
      <c r="Q201" s="21">
        <v>-1304</v>
      </c>
      <c r="R201" s="43">
        <v>-1304</v>
      </c>
      <c r="S201" s="48"/>
      <c r="T201" s="48"/>
      <c r="U201" s="48"/>
      <c r="V201" s="48"/>
      <c r="W201" s="48"/>
      <c r="X201" s="43" t="s">
        <v>223</v>
      </c>
      <c r="Y201" s="43">
        <v>-1304</v>
      </c>
    </row>
    <row r="202" spans="1:25" ht="25.5">
      <c r="A202" s="506"/>
      <c r="B202" s="22" t="s">
        <v>648</v>
      </c>
      <c r="C202" s="19"/>
      <c r="D202" s="20"/>
      <c r="E202" s="23">
        <v>319268</v>
      </c>
      <c r="F202" s="23">
        <v>315867</v>
      </c>
      <c r="G202" s="23">
        <v>337715</v>
      </c>
      <c r="H202" s="23">
        <v>308019</v>
      </c>
      <c r="I202" s="23">
        <v>312299</v>
      </c>
      <c r="J202" s="23">
        <v>313075</v>
      </c>
      <c r="K202" s="23">
        <v>311310</v>
      </c>
      <c r="L202" s="23">
        <v>299903</v>
      </c>
      <c r="M202" s="23">
        <v>310991</v>
      </c>
      <c r="N202" s="23">
        <v>134457</v>
      </c>
      <c r="O202" s="23">
        <v>318752</v>
      </c>
      <c r="P202" s="23">
        <v>302718</v>
      </c>
      <c r="Q202" s="21">
        <v>3584375</v>
      </c>
      <c r="R202" s="43">
        <v>1991207</v>
      </c>
      <c r="S202" s="48">
        <v>324021</v>
      </c>
      <c r="T202" s="48">
        <v>320870</v>
      </c>
      <c r="U202" s="48">
        <v>323410</v>
      </c>
      <c r="V202" s="48">
        <v>323763</v>
      </c>
      <c r="W202" s="48">
        <v>324874</v>
      </c>
      <c r="X202" s="43">
        <v>1616938</v>
      </c>
      <c r="Y202" s="43">
        <v>3608145</v>
      </c>
    </row>
    <row r="203" spans="1:25" ht="51">
      <c r="A203" s="506"/>
      <c r="B203" s="540" t="s">
        <v>649</v>
      </c>
      <c r="C203" s="19">
        <v>6101900</v>
      </c>
      <c r="D203" s="20" t="s">
        <v>650</v>
      </c>
      <c r="E203" s="24" t="s">
        <v>223</v>
      </c>
      <c r="F203" s="24" t="s">
        <v>223</v>
      </c>
      <c r="G203" s="23">
        <v>-148109</v>
      </c>
      <c r="H203" s="24" t="s">
        <v>223</v>
      </c>
      <c r="I203" s="24" t="s">
        <v>223</v>
      </c>
      <c r="J203" s="23">
        <v>-65458</v>
      </c>
      <c r="K203" s="24" t="s">
        <v>223</v>
      </c>
      <c r="L203" s="24" t="s">
        <v>223</v>
      </c>
      <c r="M203" s="23">
        <v>-129096</v>
      </c>
      <c r="N203" s="24" t="s">
        <v>223</v>
      </c>
      <c r="O203" s="24" t="s">
        <v>223</v>
      </c>
      <c r="P203" s="23">
        <v>-43226</v>
      </c>
      <c r="Q203" s="21">
        <v>-385888</v>
      </c>
      <c r="R203" s="43">
        <v>-237779</v>
      </c>
      <c r="S203" s="47"/>
      <c r="T203" s="47"/>
      <c r="U203" s="47"/>
      <c r="V203" s="47"/>
      <c r="W203" s="47"/>
      <c r="X203" s="43" t="s">
        <v>223</v>
      </c>
      <c r="Y203" s="43">
        <v>-237779</v>
      </c>
    </row>
    <row r="204" spans="1:25" ht="51">
      <c r="A204" s="506"/>
      <c r="B204" s="541"/>
      <c r="C204" s="19">
        <v>6199900</v>
      </c>
      <c r="D204" s="20" t="s">
        <v>651</v>
      </c>
      <c r="E204" s="24">
        <v>-175</v>
      </c>
      <c r="F204" s="24">
        <v>-205</v>
      </c>
      <c r="G204" s="24">
        <v>-70</v>
      </c>
      <c r="H204" s="24">
        <v>-718</v>
      </c>
      <c r="I204" s="24">
        <v>-270</v>
      </c>
      <c r="J204" s="24">
        <v>-140</v>
      </c>
      <c r="K204" s="24">
        <v>-774</v>
      </c>
      <c r="L204" s="24">
        <v>-718</v>
      </c>
      <c r="M204" s="23">
        <v>-1085</v>
      </c>
      <c r="N204" s="24">
        <v>-456</v>
      </c>
      <c r="O204" s="23">
        <v>-1841</v>
      </c>
      <c r="P204" s="24">
        <v>-169</v>
      </c>
      <c r="Q204" s="21">
        <v>-6621</v>
      </c>
      <c r="R204" s="43">
        <v>-5183</v>
      </c>
      <c r="S204" s="47"/>
      <c r="T204" s="47"/>
      <c r="U204" s="47"/>
      <c r="V204" s="47"/>
      <c r="W204" s="47"/>
      <c r="X204" s="43" t="s">
        <v>223</v>
      </c>
      <c r="Y204" s="43">
        <v>-5183</v>
      </c>
    </row>
    <row r="205" spans="1:25" ht="25.5">
      <c r="A205" s="506"/>
      <c r="B205" s="541"/>
      <c r="C205" s="19">
        <v>6201010</v>
      </c>
      <c r="D205" s="20" t="s">
        <v>652</v>
      </c>
      <c r="E205" s="23">
        <v>1000</v>
      </c>
      <c r="F205" s="24" t="s">
        <v>223</v>
      </c>
      <c r="G205" s="24" t="s">
        <v>223</v>
      </c>
      <c r="H205" s="24" t="s">
        <v>223</v>
      </c>
      <c r="I205" s="24" t="s">
        <v>223</v>
      </c>
      <c r="J205" s="24" t="s">
        <v>223</v>
      </c>
      <c r="K205" s="24" t="s">
        <v>223</v>
      </c>
      <c r="L205" s="24">
        <v>225</v>
      </c>
      <c r="M205" s="24" t="s">
        <v>223</v>
      </c>
      <c r="N205" s="24">
        <v>53</v>
      </c>
      <c r="O205" s="24" t="s">
        <v>223</v>
      </c>
      <c r="P205" s="24" t="s">
        <v>223</v>
      </c>
      <c r="Q205" s="21">
        <v>1278</v>
      </c>
      <c r="R205" s="43">
        <v>278</v>
      </c>
      <c r="S205" s="47">
        <v>300</v>
      </c>
      <c r="T205" s="47">
        <v>300</v>
      </c>
      <c r="U205" s="47">
        <v>300</v>
      </c>
      <c r="V205" s="47">
        <v>300</v>
      </c>
      <c r="W205" s="47">
        <v>300</v>
      </c>
      <c r="X205" s="43">
        <v>1500</v>
      </c>
      <c r="Y205" s="43">
        <v>1778</v>
      </c>
    </row>
    <row r="206" spans="1:25" ht="25.5">
      <c r="A206" s="506"/>
      <c r="B206" s="541"/>
      <c r="C206" s="19">
        <v>6201040</v>
      </c>
      <c r="D206" s="20" t="s">
        <v>653</v>
      </c>
      <c r="E206" s="24" t="s">
        <v>223</v>
      </c>
      <c r="F206" s="24" t="s">
        <v>223</v>
      </c>
      <c r="G206" s="24" t="s">
        <v>223</v>
      </c>
      <c r="H206" s="24" t="s">
        <v>223</v>
      </c>
      <c r="I206" s="24" t="s">
        <v>223</v>
      </c>
      <c r="J206" s="23">
        <v>1200</v>
      </c>
      <c r="K206" s="24">
        <v>30</v>
      </c>
      <c r="L206" s="24">
        <v>100</v>
      </c>
      <c r="M206" s="24" t="s">
        <v>223</v>
      </c>
      <c r="N206" s="24" t="s">
        <v>223</v>
      </c>
      <c r="O206" s="24">
        <v>300</v>
      </c>
      <c r="P206" s="24">
        <v>75</v>
      </c>
      <c r="Q206" s="21">
        <v>1705</v>
      </c>
      <c r="R206" s="43">
        <v>1705</v>
      </c>
      <c r="S206" s="47">
        <v>565</v>
      </c>
      <c r="T206" s="47">
        <v>565</v>
      </c>
      <c r="U206" s="47">
        <v>565</v>
      </c>
      <c r="V206" s="47">
        <v>565</v>
      </c>
      <c r="W206" s="47">
        <v>565</v>
      </c>
      <c r="X206" s="43">
        <v>2825</v>
      </c>
      <c r="Y206" s="43">
        <v>4530</v>
      </c>
    </row>
    <row r="207" spans="1:25" ht="38.25">
      <c r="A207" s="506"/>
      <c r="B207" s="541"/>
      <c r="C207" s="19">
        <v>6201070</v>
      </c>
      <c r="D207" s="20" t="s">
        <v>654</v>
      </c>
      <c r="E207" s="24" t="s">
        <v>223</v>
      </c>
      <c r="F207" s="24" t="s">
        <v>223</v>
      </c>
      <c r="G207" s="24" t="s">
        <v>223</v>
      </c>
      <c r="H207" s="24" t="s">
        <v>223</v>
      </c>
      <c r="I207" s="24" t="s">
        <v>223</v>
      </c>
      <c r="J207" s="24" t="s">
        <v>223</v>
      </c>
      <c r="K207" s="24" t="s">
        <v>223</v>
      </c>
      <c r="L207" s="24" t="s">
        <v>223</v>
      </c>
      <c r="M207" s="24" t="s">
        <v>223</v>
      </c>
      <c r="N207" s="24" t="s">
        <v>223</v>
      </c>
      <c r="O207" s="23">
        <v>45000</v>
      </c>
      <c r="P207" s="24" t="s">
        <v>223</v>
      </c>
      <c r="Q207" s="21">
        <v>45000</v>
      </c>
      <c r="R207" s="43">
        <v>45000</v>
      </c>
      <c r="S207" s="47">
        <v>4040</v>
      </c>
      <c r="T207" s="47">
        <v>4040</v>
      </c>
      <c r="U207" s="47">
        <v>4040</v>
      </c>
      <c r="V207" s="47">
        <v>4040</v>
      </c>
      <c r="W207" s="47">
        <v>4040</v>
      </c>
      <c r="X207" s="43">
        <v>20200</v>
      </c>
      <c r="Y207" s="43">
        <v>65200</v>
      </c>
    </row>
    <row r="208" spans="1:25" ht="25.5">
      <c r="A208" s="506"/>
      <c r="B208" s="541"/>
      <c r="C208" s="19">
        <v>6202020</v>
      </c>
      <c r="D208" s="20" t="s">
        <v>655</v>
      </c>
      <c r="E208" s="24">
        <v>489</v>
      </c>
      <c r="F208" s="24" t="s">
        <v>223</v>
      </c>
      <c r="G208" s="24" t="s">
        <v>223</v>
      </c>
      <c r="H208" s="24">
        <v>32</v>
      </c>
      <c r="I208" s="24" t="s">
        <v>223</v>
      </c>
      <c r="J208" s="23">
        <v>1003</v>
      </c>
      <c r="K208" s="24">
        <v>489</v>
      </c>
      <c r="L208" s="24">
        <v>-83</v>
      </c>
      <c r="M208" s="24" t="s">
        <v>223</v>
      </c>
      <c r="N208" s="24" t="s">
        <v>223</v>
      </c>
      <c r="O208" s="24">
        <v>413</v>
      </c>
      <c r="P208" s="24">
        <v>413</v>
      </c>
      <c r="Q208" s="21">
        <v>2756</v>
      </c>
      <c r="R208" s="43">
        <v>2235</v>
      </c>
      <c r="S208" s="47">
        <v>150</v>
      </c>
      <c r="T208" s="47">
        <v>151</v>
      </c>
      <c r="U208" s="47">
        <v>150</v>
      </c>
      <c r="V208" s="47">
        <v>150</v>
      </c>
      <c r="W208" s="47">
        <v>151</v>
      </c>
      <c r="X208" s="43">
        <v>752</v>
      </c>
      <c r="Y208" s="43">
        <v>2987</v>
      </c>
    </row>
    <row r="209" spans="1:25" ht="25.5">
      <c r="A209" s="506"/>
      <c r="B209" s="541"/>
      <c r="C209" s="19">
        <v>6203020</v>
      </c>
      <c r="D209" s="20" t="s">
        <v>656</v>
      </c>
      <c r="E209" s="23">
        <v>10800</v>
      </c>
      <c r="F209" s="23">
        <v>-10800</v>
      </c>
      <c r="G209" s="24" t="s">
        <v>223</v>
      </c>
      <c r="H209" s="24" t="s">
        <v>223</v>
      </c>
      <c r="I209" s="24">
        <v>42</v>
      </c>
      <c r="J209" s="24" t="s">
        <v>223</v>
      </c>
      <c r="K209" s="24">
        <v>24</v>
      </c>
      <c r="L209" s="24" t="s">
        <v>223</v>
      </c>
      <c r="M209" s="24" t="s">
        <v>223</v>
      </c>
      <c r="N209" s="24" t="s">
        <v>223</v>
      </c>
      <c r="O209" s="24" t="s">
        <v>223</v>
      </c>
      <c r="P209" s="24" t="s">
        <v>223</v>
      </c>
      <c r="Q209" s="506">
        <v>66</v>
      </c>
      <c r="R209" s="43">
        <v>24</v>
      </c>
      <c r="S209" s="48"/>
      <c r="T209" s="48"/>
      <c r="U209" s="48"/>
      <c r="V209" s="48"/>
      <c r="W209" s="48"/>
      <c r="X209" s="43" t="s">
        <v>223</v>
      </c>
      <c r="Y209" s="43">
        <v>24</v>
      </c>
    </row>
    <row r="210" spans="1:25" ht="51">
      <c r="A210" s="506"/>
      <c r="B210" s="541"/>
      <c r="C210" s="19">
        <v>6204000</v>
      </c>
      <c r="D210" s="20" t="s">
        <v>657</v>
      </c>
      <c r="E210" s="24" t="s">
        <v>223</v>
      </c>
      <c r="F210" s="24">
        <v>359</v>
      </c>
      <c r="G210" s="24">
        <v>-238</v>
      </c>
      <c r="H210" s="24">
        <v>70</v>
      </c>
      <c r="I210" s="24" t="s">
        <v>223</v>
      </c>
      <c r="J210" s="24">
        <v>127</v>
      </c>
      <c r="K210" s="24">
        <v>70</v>
      </c>
      <c r="L210" s="24">
        <v>70</v>
      </c>
      <c r="M210" s="24" t="s">
        <v>223</v>
      </c>
      <c r="N210" s="24" t="s">
        <v>223</v>
      </c>
      <c r="O210" s="24" t="s">
        <v>223</v>
      </c>
      <c r="P210" s="24" t="s">
        <v>223</v>
      </c>
      <c r="Q210" s="506">
        <v>458</v>
      </c>
      <c r="R210" s="43">
        <v>267</v>
      </c>
      <c r="S210" s="48"/>
      <c r="T210" s="48"/>
      <c r="U210" s="48"/>
      <c r="V210" s="48"/>
      <c r="W210" s="48"/>
      <c r="X210" s="43" t="s">
        <v>223</v>
      </c>
      <c r="Y210" s="43">
        <v>267</v>
      </c>
    </row>
    <row r="211" spans="1:25" ht="25.5">
      <c r="A211" s="506"/>
      <c r="B211" s="541"/>
      <c r="C211" s="19">
        <v>6299020</v>
      </c>
      <c r="D211" s="20" t="s">
        <v>658</v>
      </c>
      <c r="E211" s="24" t="s">
        <v>223</v>
      </c>
      <c r="F211" s="24" t="s">
        <v>223</v>
      </c>
      <c r="G211" s="23">
        <v>-71868</v>
      </c>
      <c r="H211" s="24" t="s">
        <v>223</v>
      </c>
      <c r="I211" s="24" t="s">
        <v>223</v>
      </c>
      <c r="J211" s="23">
        <v>-35734</v>
      </c>
      <c r="K211" s="24" t="s">
        <v>223</v>
      </c>
      <c r="L211" s="24" t="s">
        <v>223</v>
      </c>
      <c r="M211" s="23">
        <v>-61126</v>
      </c>
      <c r="N211" s="24" t="s">
        <v>223</v>
      </c>
      <c r="O211" s="24" t="s">
        <v>223</v>
      </c>
      <c r="P211" s="23">
        <v>-12055</v>
      </c>
      <c r="Q211" s="21">
        <v>-180783</v>
      </c>
      <c r="R211" s="43">
        <v>-108915</v>
      </c>
      <c r="S211" s="47"/>
      <c r="T211" s="47"/>
      <c r="U211" s="47"/>
      <c r="V211" s="47"/>
      <c r="W211" s="47"/>
      <c r="X211" s="43" t="s">
        <v>223</v>
      </c>
      <c r="Y211" s="43">
        <v>-108915</v>
      </c>
    </row>
    <row r="212" spans="1:25" ht="63.75">
      <c r="A212" s="506"/>
      <c r="B212" s="541"/>
      <c r="C212" s="19">
        <v>6299100</v>
      </c>
      <c r="D212" s="20" t="s">
        <v>659</v>
      </c>
      <c r="E212" s="23">
        <v>-38225</v>
      </c>
      <c r="F212" s="23">
        <v>-56580</v>
      </c>
      <c r="G212" s="23">
        <v>-105987</v>
      </c>
      <c r="H212" s="23">
        <v>-73049</v>
      </c>
      <c r="I212" s="23">
        <v>-73049</v>
      </c>
      <c r="J212" s="23">
        <v>-73049</v>
      </c>
      <c r="K212" s="23">
        <v>-73049</v>
      </c>
      <c r="L212" s="23">
        <v>-73049</v>
      </c>
      <c r="M212" s="23">
        <v>-72579</v>
      </c>
      <c r="N212" s="23">
        <v>-72878</v>
      </c>
      <c r="O212" s="23">
        <v>-72878</v>
      </c>
      <c r="P212" s="23">
        <v>-55398</v>
      </c>
      <c r="Q212" s="21">
        <v>-839769</v>
      </c>
      <c r="R212" s="43">
        <v>-492879</v>
      </c>
      <c r="S212" s="47">
        <v>-42245</v>
      </c>
      <c r="T212" s="47">
        <v>-42243</v>
      </c>
      <c r="U212" s="47">
        <v>-42244</v>
      </c>
      <c r="V212" s="47">
        <v>-42243</v>
      </c>
      <c r="W212" s="47">
        <v>-42245</v>
      </c>
      <c r="X212" s="43">
        <v>-211220</v>
      </c>
      <c r="Y212" s="43">
        <v>-704099</v>
      </c>
    </row>
    <row r="213" spans="1:25" ht="25.5">
      <c r="A213" s="506"/>
      <c r="B213" s="542"/>
      <c r="C213" s="19">
        <v>6299101</v>
      </c>
      <c r="D213" s="20" t="s">
        <v>660</v>
      </c>
      <c r="E213" s="24"/>
      <c r="F213" s="24"/>
      <c r="G213" s="24"/>
      <c r="H213" s="24"/>
      <c r="I213" s="24"/>
      <c r="J213" s="24"/>
      <c r="K213" s="24"/>
      <c r="L213" s="24"/>
      <c r="M213" s="24"/>
      <c r="N213" s="24" t="s">
        <v>223</v>
      </c>
      <c r="O213" s="24" t="s">
        <v>223</v>
      </c>
      <c r="P213" s="23">
        <v>2584</v>
      </c>
      <c r="Q213" s="21">
        <v>2584</v>
      </c>
      <c r="R213" s="43">
        <v>2584</v>
      </c>
      <c r="S213" s="47"/>
      <c r="T213" s="47"/>
      <c r="U213" s="47"/>
      <c r="V213" s="47"/>
      <c r="W213" s="47"/>
      <c r="X213" s="43" t="s">
        <v>223</v>
      </c>
      <c r="Y213" s="43">
        <v>2584</v>
      </c>
    </row>
    <row r="214" spans="1:25" ht="51">
      <c r="A214" s="506"/>
      <c r="B214" s="22" t="s">
        <v>661</v>
      </c>
      <c r="C214" s="19"/>
      <c r="D214" s="20"/>
      <c r="E214" s="23">
        <v>-26111</v>
      </c>
      <c r="F214" s="23">
        <v>-67227</v>
      </c>
      <c r="G214" s="23">
        <v>-326272</v>
      </c>
      <c r="H214" s="23">
        <v>-73664</v>
      </c>
      <c r="I214" s="23">
        <v>-73277</v>
      </c>
      <c r="J214" s="23">
        <v>-172051</v>
      </c>
      <c r="K214" s="23">
        <v>-73210</v>
      </c>
      <c r="L214" s="23">
        <v>-73455</v>
      </c>
      <c r="M214" s="23">
        <v>-263886</v>
      </c>
      <c r="N214" s="23">
        <v>-73281</v>
      </c>
      <c r="O214" s="23">
        <v>-29005</v>
      </c>
      <c r="P214" s="23">
        <v>-107775</v>
      </c>
      <c r="Q214" s="21">
        <v>-1359215</v>
      </c>
      <c r="R214" s="43">
        <v>-792665</v>
      </c>
      <c r="S214" s="47">
        <v>-37190</v>
      </c>
      <c r="T214" s="47">
        <v>-37187</v>
      </c>
      <c r="U214" s="47">
        <v>-37189</v>
      </c>
      <c r="V214" s="47">
        <v>-37188</v>
      </c>
      <c r="W214" s="47">
        <v>-37189</v>
      </c>
      <c r="X214" s="43">
        <v>-185943</v>
      </c>
      <c r="Y214" s="43">
        <v>-978608</v>
      </c>
    </row>
    <row r="215" spans="1:25" ht="38.25">
      <c r="A215" s="506"/>
      <c r="B215" s="540" t="s">
        <v>662</v>
      </c>
      <c r="C215" s="19">
        <v>6402410</v>
      </c>
      <c r="D215" s="20" t="s">
        <v>663</v>
      </c>
      <c r="E215" s="23">
        <v>16967</v>
      </c>
      <c r="F215" s="23">
        <v>16967</v>
      </c>
      <c r="G215" s="23">
        <v>16967</v>
      </c>
      <c r="H215" s="23">
        <v>16967</v>
      </c>
      <c r="I215" s="23">
        <v>16967</v>
      </c>
      <c r="J215" s="23">
        <v>16967</v>
      </c>
      <c r="K215" s="23">
        <v>16933</v>
      </c>
      <c r="L215" s="23">
        <v>16933</v>
      </c>
      <c r="M215" s="23">
        <v>16933</v>
      </c>
      <c r="N215" s="23">
        <v>16433</v>
      </c>
      <c r="O215" s="23">
        <v>16433</v>
      </c>
      <c r="P215" s="23">
        <v>16433</v>
      </c>
      <c r="Q215" s="21">
        <v>201900</v>
      </c>
      <c r="R215" s="43">
        <v>117067</v>
      </c>
      <c r="S215" s="47">
        <v>16416</v>
      </c>
      <c r="T215" s="47">
        <v>16416</v>
      </c>
      <c r="U215" s="47">
        <v>16416</v>
      </c>
      <c r="V215" s="47">
        <v>16416</v>
      </c>
      <c r="W215" s="47">
        <v>16416</v>
      </c>
      <c r="X215" s="43">
        <v>82080</v>
      </c>
      <c r="Y215" s="43">
        <v>199147</v>
      </c>
    </row>
    <row r="216" spans="1:25" ht="51">
      <c r="A216" s="506"/>
      <c r="B216" s="541"/>
      <c r="C216" s="19">
        <v>6404000</v>
      </c>
      <c r="D216" s="20" t="s">
        <v>664</v>
      </c>
      <c r="E216" s="24">
        <v>-155</v>
      </c>
      <c r="F216" s="24">
        <v>-116</v>
      </c>
      <c r="G216" s="24">
        <v>-116</v>
      </c>
      <c r="H216" s="24">
        <v>-123</v>
      </c>
      <c r="I216" s="24">
        <v>-131</v>
      </c>
      <c r="J216" s="24">
        <v>-130</v>
      </c>
      <c r="K216" s="24">
        <v>-141</v>
      </c>
      <c r="L216" s="24">
        <v>-141</v>
      </c>
      <c r="M216" s="24">
        <v>-160</v>
      </c>
      <c r="N216" s="24">
        <v>-26</v>
      </c>
      <c r="O216" s="24">
        <v>-28</v>
      </c>
      <c r="P216" s="24">
        <v>-34</v>
      </c>
      <c r="Q216" s="21">
        <v>-1301</v>
      </c>
      <c r="R216" s="43">
        <v>-659</v>
      </c>
      <c r="S216" s="47">
        <v>-62</v>
      </c>
      <c r="T216" s="47">
        <v>-62</v>
      </c>
      <c r="U216" s="47">
        <v>-62</v>
      </c>
      <c r="V216" s="47">
        <v>-62</v>
      </c>
      <c r="W216" s="47">
        <v>-62</v>
      </c>
      <c r="X216" s="43">
        <v>-310</v>
      </c>
      <c r="Y216" s="43">
        <v>-969</v>
      </c>
    </row>
    <row r="217" spans="1:25" ht="76.5">
      <c r="A217" s="506"/>
      <c r="B217" s="541"/>
      <c r="C217" s="19">
        <v>6406040</v>
      </c>
      <c r="D217" s="20" t="s">
        <v>665</v>
      </c>
      <c r="E217" s="23">
        <v>165466</v>
      </c>
      <c r="F217" s="23">
        <v>164312</v>
      </c>
      <c r="G217" s="23">
        <v>165874</v>
      </c>
      <c r="H217" s="23">
        <v>167620</v>
      </c>
      <c r="I217" s="23">
        <v>168679</v>
      </c>
      <c r="J217" s="23">
        <v>169862</v>
      </c>
      <c r="K217" s="23">
        <v>170189</v>
      </c>
      <c r="L217" s="23">
        <v>170347</v>
      </c>
      <c r="M217" s="23">
        <v>169816</v>
      </c>
      <c r="N217" s="23">
        <v>174516</v>
      </c>
      <c r="O217" s="23">
        <v>171300</v>
      </c>
      <c r="P217" s="23">
        <v>167684</v>
      </c>
      <c r="Q217" s="21">
        <v>2025666</v>
      </c>
      <c r="R217" s="43">
        <v>1193715</v>
      </c>
      <c r="S217" s="47">
        <v>189663</v>
      </c>
      <c r="T217" s="47">
        <v>190544</v>
      </c>
      <c r="U217" s="47">
        <v>198512</v>
      </c>
      <c r="V217" s="47">
        <v>201428</v>
      </c>
      <c r="W217" s="47">
        <v>203952</v>
      </c>
      <c r="X217" s="43">
        <v>984099</v>
      </c>
      <c r="Y217" s="43">
        <v>2177814</v>
      </c>
    </row>
    <row r="218" spans="1:25" ht="38.25">
      <c r="A218" s="506"/>
      <c r="B218" s="541"/>
      <c r="C218" s="19">
        <v>6499040</v>
      </c>
      <c r="D218" s="20" t="s">
        <v>666</v>
      </c>
      <c r="E218" s="23">
        <v>1129</v>
      </c>
      <c r="F218" s="23">
        <v>1094</v>
      </c>
      <c r="G218" s="24">
        <v>800</v>
      </c>
      <c r="H218" s="23">
        <v>1027</v>
      </c>
      <c r="I218" s="23">
        <v>1044</v>
      </c>
      <c r="J218" s="23">
        <v>1067</v>
      </c>
      <c r="K218" s="23">
        <v>1096</v>
      </c>
      <c r="L218" s="23">
        <v>1133</v>
      </c>
      <c r="M218" s="23">
        <v>1204</v>
      </c>
      <c r="N218" s="24">
        <v>1</v>
      </c>
      <c r="O218" s="24" t="s">
        <v>223</v>
      </c>
      <c r="P218" s="24">
        <v>-28</v>
      </c>
      <c r="Q218" s="21">
        <v>9566</v>
      </c>
      <c r="R218" s="43">
        <v>4472</v>
      </c>
      <c r="S218" s="47">
        <v>24</v>
      </c>
      <c r="T218" s="47">
        <v>24</v>
      </c>
      <c r="U218" s="47">
        <v>24</v>
      </c>
      <c r="V218" s="47">
        <v>24</v>
      </c>
      <c r="W218" s="47">
        <v>24</v>
      </c>
      <c r="X218" s="43">
        <v>120</v>
      </c>
      <c r="Y218" s="43">
        <v>4592</v>
      </c>
    </row>
    <row r="219" spans="1:25" ht="51">
      <c r="A219" s="506"/>
      <c r="B219" s="542"/>
      <c r="C219" s="19">
        <v>6499900</v>
      </c>
      <c r="D219" s="20" t="s">
        <v>667</v>
      </c>
      <c r="E219" s="24" t="s">
        <v>223</v>
      </c>
      <c r="F219" s="24" t="s">
        <v>223</v>
      </c>
      <c r="G219" s="24" t="s">
        <v>223</v>
      </c>
      <c r="H219" s="24" t="s">
        <v>223</v>
      </c>
      <c r="I219" s="24">
        <v>6</v>
      </c>
      <c r="J219" s="24" t="s">
        <v>223</v>
      </c>
      <c r="K219" s="24">
        <v>0</v>
      </c>
      <c r="L219" s="24" t="s">
        <v>223</v>
      </c>
      <c r="M219" s="24" t="s">
        <v>223</v>
      </c>
      <c r="N219" s="24"/>
      <c r="O219" s="24"/>
      <c r="P219" s="24"/>
      <c r="Q219" s="506">
        <v>6</v>
      </c>
      <c r="R219" s="43">
        <v>0</v>
      </c>
      <c r="S219" s="47">
        <v>602</v>
      </c>
      <c r="T219" s="47">
        <v>602</v>
      </c>
      <c r="U219" s="47">
        <v>602</v>
      </c>
      <c r="V219" s="47">
        <v>602</v>
      </c>
      <c r="W219" s="47">
        <v>602</v>
      </c>
      <c r="X219" s="43">
        <v>3010</v>
      </c>
      <c r="Y219" s="43">
        <v>3010</v>
      </c>
    </row>
    <row r="220" spans="1:25" ht="51">
      <c r="A220" s="506"/>
      <c r="B220" s="22" t="s">
        <v>668</v>
      </c>
      <c r="C220" s="19"/>
      <c r="D220" s="20"/>
      <c r="E220" s="23">
        <v>183407</v>
      </c>
      <c r="F220" s="23">
        <v>182256</v>
      </c>
      <c r="G220" s="23">
        <v>183524</v>
      </c>
      <c r="H220" s="23">
        <v>185491</v>
      </c>
      <c r="I220" s="23">
        <v>186565</v>
      </c>
      <c r="J220" s="23">
        <v>187765</v>
      </c>
      <c r="K220" s="23">
        <v>188077</v>
      </c>
      <c r="L220" s="23">
        <v>188272</v>
      </c>
      <c r="M220" s="23">
        <v>187794</v>
      </c>
      <c r="N220" s="23">
        <v>190924</v>
      </c>
      <c r="O220" s="23">
        <v>187706</v>
      </c>
      <c r="P220" s="23">
        <v>184056</v>
      </c>
      <c r="Q220" s="21">
        <v>2235837</v>
      </c>
      <c r="R220" s="43">
        <v>1314595</v>
      </c>
      <c r="S220" s="47">
        <v>206643</v>
      </c>
      <c r="T220" s="47">
        <v>207524</v>
      </c>
      <c r="U220" s="47">
        <v>215492</v>
      </c>
      <c r="V220" s="47">
        <v>218408</v>
      </c>
      <c r="W220" s="47">
        <v>220932</v>
      </c>
      <c r="X220" s="43">
        <v>1068999</v>
      </c>
      <c r="Y220" s="43">
        <v>2383594</v>
      </c>
    </row>
    <row r="221" spans="1:25" ht="38.25">
      <c r="A221" s="506"/>
      <c r="B221" s="540" t="s">
        <v>669</v>
      </c>
      <c r="C221" s="19">
        <v>6310010</v>
      </c>
      <c r="D221" s="20" t="s">
        <v>670</v>
      </c>
      <c r="E221" s="23">
        <v>-172451</v>
      </c>
      <c r="F221" s="23">
        <v>-89177</v>
      </c>
      <c r="G221" s="23">
        <v>-261105</v>
      </c>
      <c r="H221" s="23">
        <v>-259748</v>
      </c>
      <c r="I221" s="23">
        <v>-395330</v>
      </c>
      <c r="J221" s="23">
        <v>-20354</v>
      </c>
      <c r="K221" s="23">
        <v>-233277</v>
      </c>
      <c r="L221" s="23">
        <v>-234073</v>
      </c>
      <c r="M221" s="23">
        <v>1604963</v>
      </c>
      <c r="N221" s="24"/>
      <c r="O221" s="24"/>
      <c r="P221" s="24"/>
      <c r="Q221" s="21">
        <v>-60552</v>
      </c>
      <c r="R221" s="43">
        <v>1117259</v>
      </c>
      <c r="S221" s="48"/>
      <c r="T221" s="48"/>
      <c r="U221" s="48"/>
      <c r="V221" s="48"/>
      <c r="W221" s="48"/>
      <c r="X221" s="43" t="s">
        <v>223</v>
      </c>
      <c r="Y221" s="43">
        <v>1117259</v>
      </c>
    </row>
    <row r="222" spans="1:25" ht="25.5">
      <c r="A222" s="506"/>
      <c r="B222" s="541"/>
      <c r="C222" s="19">
        <v>6311010</v>
      </c>
      <c r="D222" s="20" t="s">
        <v>671</v>
      </c>
      <c r="E222" s="23">
        <v>-43282</v>
      </c>
      <c r="F222" s="23">
        <v>-22289</v>
      </c>
      <c r="G222" s="23">
        <v>-65439</v>
      </c>
      <c r="H222" s="23">
        <v>-65100</v>
      </c>
      <c r="I222" s="23">
        <v>-99080</v>
      </c>
      <c r="J222" s="23">
        <v>-5164</v>
      </c>
      <c r="K222" s="23">
        <v>-58465</v>
      </c>
      <c r="L222" s="23">
        <v>-58665</v>
      </c>
      <c r="M222" s="23">
        <v>463195</v>
      </c>
      <c r="N222" s="24"/>
      <c r="O222" s="24"/>
      <c r="P222" s="24"/>
      <c r="Q222" s="21">
        <v>45711</v>
      </c>
      <c r="R222" s="43">
        <v>340901</v>
      </c>
      <c r="S222" s="48"/>
      <c r="T222" s="48"/>
      <c r="U222" s="48"/>
      <c r="V222" s="48"/>
      <c r="W222" s="48"/>
      <c r="X222" s="43" t="s">
        <v>223</v>
      </c>
      <c r="Y222" s="43">
        <v>340901</v>
      </c>
    </row>
    <row r="223" spans="1:25" ht="63.75">
      <c r="A223" s="506"/>
      <c r="B223" s="541"/>
      <c r="C223" s="19">
        <v>6320040</v>
      </c>
      <c r="D223" s="20" t="s">
        <v>672</v>
      </c>
      <c r="E223" s="23">
        <v>224511</v>
      </c>
      <c r="F223" s="23">
        <v>144026</v>
      </c>
      <c r="G223" s="23">
        <v>147388</v>
      </c>
      <c r="H223" s="23">
        <v>148308</v>
      </c>
      <c r="I223" s="23">
        <v>272581</v>
      </c>
      <c r="J223" s="23">
        <v>19887</v>
      </c>
      <c r="K223" s="23">
        <v>272581</v>
      </c>
      <c r="L223" s="23">
        <v>272581</v>
      </c>
      <c r="M223" s="23">
        <v>-1014581</v>
      </c>
      <c r="N223" s="24"/>
      <c r="O223" s="24"/>
      <c r="P223" s="24"/>
      <c r="Q223" s="21">
        <v>487282</v>
      </c>
      <c r="R223" s="43">
        <v>-449532</v>
      </c>
      <c r="S223" s="48"/>
      <c r="T223" s="48"/>
      <c r="U223" s="48"/>
      <c r="V223" s="48"/>
      <c r="W223" s="48"/>
      <c r="X223" s="43" t="s">
        <v>223</v>
      </c>
      <c r="Y223" s="43">
        <v>-449532</v>
      </c>
    </row>
    <row r="224" spans="1:25" ht="63.75">
      <c r="A224" s="506"/>
      <c r="B224" s="541"/>
      <c r="C224" s="19">
        <v>6320045</v>
      </c>
      <c r="D224" s="20" t="s">
        <v>673</v>
      </c>
      <c r="E224" s="23">
        <v>-394891</v>
      </c>
      <c r="F224" s="23">
        <v>-23539</v>
      </c>
      <c r="G224" s="23">
        <v>-23539</v>
      </c>
      <c r="H224" s="23">
        <v>-23538</v>
      </c>
      <c r="I224" s="23">
        <v>-23538</v>
      </c>
      <c r="J224" s="23">
        <v>-23538</v>
      </c>
      <c r="K224" s="23">
        <v>-23538</v>
      </c>
      <c r="L224" s="23">
        <v>17723</v>
      </c>
      <c r="M224" s="23">
        <v>-87832</v>
      </c>
      <c r="N224" s="24"/>
      <c r="O224" s="24"/>
      <c r="P224" s="24"/>
      <c r="Q224" s="21">
        <v>-606230</v>
      </c>
      <c r="R224" s="43">
        <v>-117185</v>
      </c>
      <c r="S224" s="48"/>
      <c r="T224" s="48"/>
      <c r="U224" s="48"/>
      <c r="V224" s="48"/>
      <c r="W224" s="48"/>
      <c r="X224" s="43" t="s">
        <v>223</v>
      </c>
      <c r="Y224" s="43">
        <v>-117185</v>
      </c>
    </row>
    <row r="225" spans="1:34" ht="63.75">
      <c r="A225" s="506"/>
      <c r="B225" s="541"/>
      <c r="C225" s="19">
        <v>6320050</v>
      </c>
      <c r="D225" s="20" t="s">
        <v>674</v>
      </c>
      <c r="E225" s="23">
        <v>-26916</v>
      </c>
      <c r="F225" s="23">
        <v>-67412</v>
      </c>
      <c r="G225" s="23">
        <v>16560</v>
      </c>
      <c r="H225" s="23">
        <v>-9981</v>
      </c>
      <c r="I225" s="23">
        <v>17560</v>
      </c>
      <c r="J225" s="23">
        <v>-72330</v>
      </c>
      <c r="K225" s="23">
        <v>-39944</v>
      </c>
      <c r="L225" s="23">
        <v>69755</v>
      </c>
      <c r="M225" s="23">
        <v>-202791</v>
      </c>
      <c r="N225" s="24"/>
      <c r="O225" s="24"/>
      <c r="P225" s="24"/>
      <c r="Q225" s="21">
        <v>-315499</v>
      </c>
      <c r="R225" s="43">
        <v>-245310</v>
      </c>
      <c r="S225" s="48"/>
      <c r="T225" s="48"/>
      <c r="U225" s="48"/>
      <c r="V225" s="48"/>
      <c r="W225" s="48"/>
      <c r="X225" s="43" t="s">
        <v>223</v>
      </c>
      <c r="Y225" s="43">
        <v>-245310</v>
      </c>
      <c r="Z225" s="179"/>
      <c r="AC225" s="180"/>
      <c r="AD225" s="180"/>
      <c r="AE225" s="180"/>
      <c r="AF225" s="180"/>
      <c r="AG225" s="180"/>
      <c r="AH225" s="180"/>
    </row>
    <row r="226" spans="1:34" ht="63.75">
      <c r="A226" s="506"/>
      <c r="B226" s="541"/>
      <c r="C226" s="19">
        <v>6321040</v>
      </c>
      <c r="D226" s="20" t="s">
        <v>675</v>
      </c>
      <c r="E226" s="23">
        <v>56142</v>
      </c>
      <c r="F226" s="23">
        <v>35971</v>
      </c>
      <c r="G226" s="23">
        <v>36814</v>
      </c>
      <c r="H226" s="23">
        <v>37043</v>
      </c>
      <c r="I226" s="23">
        <v>68189</v>
      </c>
      <c r="J226" s="23">
        <v>4857</v>
      </c>
      <c r="K226" s="23">
        <v>68189</v>
      </c>
      <c r="L226" s="23">
        <v>68189</v>
      </c>
      <c r="M226" s="23">
        <v>-254872</v>
      </c>
      <c r="N226" s="24"/>
      <c r="O226" s="24"/>
      <c r="P226" s="24"/>
      <c r="Q226" s="21">
        <v>120522</v>
      </c>
      <c r="R226" s="43">
        <v>-113637</v>
      </c>
      <c r="S226" s="48"/>
      <c r="T226" s="48"/>
      <c r="U226" s="48"/>
      <c r="V226" s="48"/>
      <c r="W226" s="48"/>
      <c r="X226" s="43" t="s">
        <v>223</v>
      </c>
      <c r="Y226" s="43">
        <v>-113637</v>
      </c>
      <c r="Z226" s="179"/>
      <c r="AC226" s="180"/>
      <c r="AD226" s="180"/>
      <c r="AE226" s="180"/>
      <c r="AF226" s="180"/>
      <c r="AG226" s="180"/>
      <c r="AH226" s="180"/>
    </row>
    <row r="227" spans="1:34" ht="63.75">
      <c r="A227" s="506"/>
      <c r="B227" s="542"/>
      <c r="C227" s="19">
        <v>6321050</v>
      </c>
      <c r="D227" s="20" t="s">
        <v>676</v>
      </c>
      <c r="E227" s="23">
        <v>-6685</v>
      </c>
      <c r="F227" s="23">
        <v>-16956</v>
      </c>
      <c r="G227" s="23">
        <v>4150</v>
      </c>
      <c r="H227" s="23">
        <v>-2501</v>
      </c>
      <c r="I227" s="23">
        <v>4401</v>
      </c>
      <c r="J227" s="23">
        <v>-18041</v>
      </c>
      <c r="K227" s="23">
        <v>-10012</v>
      </c>
      <c r="L227" s="23">
        <v>17483</v>
      </c>
      <c r="M227" s="23">
        <v>-51466</v>
      </c>
      <c r="N227" s="24"/>
      <c r="O227" s="24"/>
      <c r="P227" s="24"/>
      <c r="Q227" s="21">
        <v>-79627</v>
      </c>
      <c r="R227" s="43">
        <v>-62036</v>
      </c>
      <c r="S227" s="48"/>
      <c r="T227" s="48"/>
      <c r="U227" s="48"/>
      <c r="V227" s="48"/>
      <c r="W227" s="48"/>
      <c r="X227" s="43" t="s">
        <v>223</v>
      </c>
      <c r="Y227" s="43">
        <v>-62036</v>
      </c>
      <c r="Z227" s="179"/>
      <c r="AC227" s="180"/>
      <c r="AD227" s="180"/>
      <c r="AE227" s="180"/>
      <c r="AF227" s="180"/>
      <c r="AG227" s="180"/>
      <c r="AH227" s="180"/>
    </row>
    <row r="228" spans="1:34" ht="51">
      <c r="A228" s="506"/>
      <c r="B228" s="25" t="s">
        <v>677</v>
      </c>
      <c r="C228" s="26"/>
      <c r="D228" s="27"/>
      <c r="E228" s="28">
        <v>-363572</v>
      </c>
      <c r="F228" s="28">
        <v>-39376</v>
      </c>
      <c r="G228" s="28">
        <v>-145171</v>
      </c>
      <c r="H228" s="28">
        <v>-175517</v>
      </c>
      <c r="I228" s="28">
        <v>-155217</v>
      </c>
      <c r="J228" s="28">
        <v>-114683</v>
      </c>
      <c r="K228" s="28">
        <v>-24466</v>
      </c>
      <c r="L228" s="28">
        <v>152993</v>
      </c>
      <c r="M228" s="28">
        <v>456616</v>
      </c>
      <c r="N228" s="29" t="s">
        <v>223</v>
      </c>
      <c r="O228" s="29" t="s">
        <v>223</v>
      </c>
      <c r="P228" s="29" t="s">
        <v>223</v>
      </c>
      <c r="Q228" s="21">
        <v>-408393</v>
      </c>
      <c r="R228" s="43">
        <v>470460</v>
      </c>
      <c r="S228" s="49" t="s">
        <v>223</v>
      </c>
      <c r="T228" s="49" t="s">
        <v>223</v>
      </c>
      <c r="U228" s="49" t="s">
        <v>223</v>
      </c>
      <c r="V228" s="49" t="s">
        <v>223</v>
      </c>
      <c r="W228" s="49" t="s">
        <v>223</v>
      </c>
      <c r="X228" s="43" t="s">
        <v>223</v>
      </c>
      <c r="Y228" s="43">
        <v>470460</v>
      </c>
      <c r="Z228" s="179"/>
      <c r="AC228" s="180"/>
      <c r="AD228" s="180"/>
      <c r="AE228" s="180"/>
      <c r="AF228" s="180"/>
      <c r="AG228" s="180"/>
      <c r="AH228" s="180"/>
    </row>
    <row r="229" spans="1:34">
      <c r="A229" s="506"/>
      <c r="B229" s="25" t="s">
        <v>678</v>
      </c>
      <c r="C229" s="26"/>
      <c r="D229" s="27"/>
      <c r="E229" s="28">
        <v>-448103</v>
      </c>
      <c r="F229" s="28">
        <v>16869</v>
      </c>
      <c r="G229" s="28">
        <v>277990</v>
      </c>
      <c r="H229" s="28">
        <v>441298</v>
      </c>
      <c r="I229" s="28">
        <v>372176</v>
      </c>
      <c r="J229" s="28">
        <v>215122</v>
      </c>
      <c r="K229" s="28">
        <v>-15531</v>
      </c>
      <c r="L229" s="28">
        <v>-381598</v>
      </c>
      <c r="M229" s="28">
        <v>-1676174</v>
      </c>
      <c r="N229" s="28">
        <v>-2116807</v>
      </c>
      <c r="O229" s="28">
        <v>-2000642</v>
      </c>
      <c r="P229" s="28">
        <v>-763534</v>
      </c>
      <c r="Q229" s="21">
        <v>-6078934</v>
      </c>
      <c r="R229" s="43">
        <v>-6739164</v>
      </c>
      <c r="S229" s="49">
        <v>60781</v>
      </c>
      <c r="T229" s="49">
        <v>591203</v>
      </c>
      <c r="U229" s="49">
        <v>649236</v>
      </c>
      <c r="V229" s="49">
        <v>754239</v>
      </c>
      <c r="W229" s="49">
        <v>743587</v>
      </c>
      <c r="X229" s="43">
        <v>2799046</v>
      </c>
      <c r="Y229" s="43">
        <v>-3940118</v>
      </c>
      <c r="Z229" s="179"/>
      <c r="AC229" s="180"/>
      <c r="AD229" s="180"/>
      <c r="AE229" s="180"/>
      <c r="AF229" s="180"/>
      <c r="AG229" s="180"/>
      <c r="AH229" s="180"/>
    </row>
    <row r="230" spans="1:34">
      <c r="A230" s="546"/>
      <c r="B230" s="546"/>
      <c r="C230" s="190"/>
      <c r="D230" s="30"/>
      <c r="E230" s="190"/>
      <c r="F230" s="190"/>
      <c r="G230" s="190"/>
      <c r="H230" s="190"/>
      <c r="I230" s="190"/>
      <c r="J230" s="190"/>
      <c r="K230" s="190"/>
      <c r="L230" s="190"/>
      <c r="M230" s="190"/>
      <c r="N230" s="190"/>
      <c r="O230" s="190"/>
      <c r="P230" s="190"/>
      <c r="Q230" s="506" t="s">
        <v>223</v>
      </c>
      <c r="R230" s="43" t="s">
        <v>223</v>
      </c>
      <c r="S230" s="50"/>
      <c r="T230" s="50"/>
      <c r="U230" s="50"/>
      <c r="V230" s="50"/>
      <c r="W230" s="50"/>
      <c r="X230" s="43" t="s">
        <v>223</v>
      </c>
      <c r="Y230" s="43" t="s">
        <v>223</v>
      </c>
      <c r="Z230" s="179"/>
      <c r="AC230" s="180"/>
      <c r="AD230" s="180"/>
      <c r="AE230" s="180"/>
      <c r="AF230" s="180"/>
      <c r="AG230" s="180"/>
      <c r="AH230" s="180"/>
    </row>
    <row r="231" spans="1:34" s="37" customFormat="1">
      <c r="A231" s="32"/>
      <c r="B231" s="33" t="s">
        <v>679</v>
      </c>
      <c r="C231" s="32"/>
      <c r="D231" s="34"/>
      <c r="E231" s="35">
        <v>-84531</v>
      </c>
      <c r="F231" s="35">
        <v>56245</v>
      </c>
      <c r="G231" s="35">
        <v>423161</v>
      </c>
      <c r="H231" s="35">
        <v>616815</v>
      </c>
      <c r="I231" s="35">
        <v>527393</v>
      </c>
      <c r="J231" s="35">
        <v>329805</v>
      </c>
      <c r="K231" s="35">
        <v>8935</v>
      </c>
      <c r="L231" s="35">
        <v>-534591</v>
      </c>
      <c r="M231" s="35">
        <v>-2132790</v>
      </c>
      <c r="N231" s="35">
        <v>-2116807</v>
      </c>
      <c r="O231" s="35">
        <v>-2000642</v>
      </c>
      <c r="P231" s="35">
        <v>-763534</v>
      </c>
      <c r="Q231" s="36">
        <v>-5670541</v>
      </c>
      <c r="R231" s="51">
        <v>-7209624</v>
      </c>
      <c r="S231" s="52">
        <v>60781</v>
      </c>
      <c r="T231" s="52">
        <v>591203</v>
      </c>
      <c r="U231" s="52">
        <v>649236</v>
      </c>
      <c r="V231" s="52">
        <v>754239</v>
      </c>
      <c r="W231" s="52">
        <v>743587</v>
      </c>
      <c r="X231" s="51">
        <v>2799046</v>
      </c>
      <c r="Y231" s="51">
        <v>-4410578</v>
      </c>
      <c r="AA231" s="42">
        <f>SUM(AA4:AA230)</f>
        <v>181164</v>
      </c>
      <c r="AB231" s="42">
        <f>SUM(AB4:AB230)</f>
        <v>-29150</v>
      </c>
      <c r="AC231" s="42"/>
      <c r="AD231" s="42"/>
      <c r="AE231" s="42"/>
      <c r="AF231" s="42"/>
      <c r="AG231" s="42"/>
      <c r="AH231" s="42"/>
    </row>
    <row r="232" spans="1:34">
      <c r="A232" s="546"/>
      <c r="B232" s="546"/>
      <c r="C232" s="190"/>
      <c r="D232" s="30"/>
      <c r="E232" s="190"/>
      <c r="F232" s="190"/>
      <c r="G232" s="190"/>
      <c r="H232" s="190"/>
      <c r="I232" s="190"/>
      <c r="J232" s="190"/>
      <c r="K232" s="190"/>
      <c r="L232" s="190"/>
      <c r="M232" s="190"/>
      <c r="N232" s="190"/>
      <c r="O232" s="190"/>
      <c r="P232" s="31">
        <v>-5670541</v>
      </c>
      <c r="Q232" s="190"/>
      <c r="R232" s="43"/>
      <c r="S232" s="50"/>
      <c r="T232" s="50"/>
      <c r="U232" s="50"/>
      <c r="V232" s="50"/>
      <c r="W232" s="50"/>
      <c r="X232" s="50"/>
      <c r="Y232" s="50"/>
      <c r="Z232" s="179"/>
      <c r="AC232" s="180"/>
      <c r="AD232" s="180"/>
      <c r="AE232" s="180"/>
      <c r="AF232" s="180"/>
      <c r="AG232" s="180"/>
      <c r="AH232" s="180"/>
    </row>
    <row r="233" spans="1:34">
      <c r="A233" s="546"/>
      <c r="B233" s="546"/>
      <c r="C233" s="190"/>
      <c r="D233" s="30"/>
      <c r="E233" s="190"/>
      <c r="F233" s="190"/>
      <c r="G233" s="190"/>
      <c r="H233" s="190"/>
      <c r="I233" s="190"/>
      <c r="J233" s="190"/>
      <c r="K233" s="190"/>
      <c r="L233" s="190"/>
      <c r="M233" s="190"/>
      <c r="N233" s="190"/>
      <c r="O233" s="190"/>
      <c r="P233" s="190"/>
      <c r="Q233" s="190"/>
      <c r="R233" s="43"/>
      <c r="S233" s="50"/>
      <c r="T233" s="50"/>
      <c r="U233" s="50"/>
      <c r="V233" s="50"/>
      <c r="W233" s="50"/>
      <c r="X233" s="50"/>
      <c r="Y233" s="50">
        <v>-4410578</v>
      </c>
      <c r="Z233" s="179"/>
      <c r="AC233" s="180"/>
      <c r="AD233" s="180"/>
      <c r="AE233" s="180"/>
      <c r="AF233" s="180"/>
      <c r="AG233" s="180"/>
      <c r="AH233" s="180"/>
    </row>
    <row r="234" spans="1:34">
      <c r="A234" s="546"/>
      <c r="B234" s="546"/>
      <c r="C234" s="190"/>
      <c r="D234" s="30"/>
      <c r="E234" s="190"/>
      <c r="F234" s="190"/>
      <c r="G234" s="190"/>
      <c r="H234" s="190"/>
      <c r="I234" s="190"/>
      <c r="J234" s="190"/>
      <c r="K234" s="190"/>
      <c r="L234" s="190"/>
      <c r="M234" s="190"/>
      <c r="N234" s="190"/>
      <c r="O234" s="190"/>
      <c r="P234" s="31">
        <v>990520</v>
      </c>
      <c r="Q234" s="190"/>
      <c r="R234" s="43"/>
      <c r="S234" s="50"/>
      <c r="T234" s="50"/>
      <c r="U234" s="50"/>
      <c r="V234" s="50"/>
      <c r="W234" s="50"/>
      <c r="X234" s="50"/>
      <c r="Y234" s="50"/>
      <c r="Z234" s="179"/>
      <c r="AC234" s="180"/>
      <c r="AD234" s="180"/>
      <c r="AE234" s="180"/>
      <c r="AF234" s="180"/>
      <c r="AG234" s="180"/>
      <c r="AH234" s="180"/>
    </row>
    <row r="235" spans="1:34">
      <c r="A235" s="546"/>
      <c r="B235" s="546"/>
      <c r="C235" s="190"/>
      <c r="D235" s="30"/>
      <c r="E235" s="190"/>
      <c r="F235" s="190"/>
      <c r="G235" s="190"/>
      <c r="H235" s="190"/>
      <c r="I235" s="190"/>
      <c r="J235" s="190"/>
      <c r="K235" s="190"/>
      <c r="L235" s="190"/>
      <c r="M235" s="190"/>
      <c r="N235" s="190"/>
      <c r="O235" s="190"/>
      <c r="P235" s="31">
        <v>-6661062</v>
      </c>
      <c r="Q235" s="190"/>
      <c r="R235" s="43"/>
      <c r="S235" s="50"/>
      <c r="T235" s="50"/>
      <c r="U235" s="50"/>
      <c r="V235" s="50"/>
      <c r="W235" s="50"/>
      <c r="X235" s="50"/>
      <c r="Y235" s="50"/>
      <c r="Z235" s="179"/>
      <c r="AC235" s="180"/>
      <c r="AD235" s="180"/>
      <c r="AE235" s="180"/>
      <c r="AF235" s="180"/>
      <c r="AG235" s="180"/>
      <c r="AH235" s="180"/>
    </row>
    <row r="236" spans="1:34">
      <c r="A236" s="546"/>
      <c r="B236" s="546"/>
      <c r="C236" s="190"/>
      <c r="D236" s="30"/>
      <c r="E236" s="190"/>
      <c r="F236" s="190"/>
      <c r="G236" s="190"/>
      <c r="H236" s="31">
        <v>616815</v>
      </c>
      <c r="I236" s="31">
        <v>527393</v>
      </c>
      <c r="J236" s="190"/>
      <c r="K236" s="190"/>
      <c r="L236" s="190"/>
      <c r="M236" s="190"/>
      <c r="N236" s="190"/>
      <c r="O236" s="190"/>
      <c r="P236" s="31">
        <v>-5670542</v>
      </c>
      <c r="Q236" s="190"/>
      <c r="R236" s="43"/>
      <c r="S236" s="50"/>
      <c r="T236" s="50"/>
      <c r="U236" s="50"/>
      <c r="V236" s="50"/>
      <c r="W236" s="50"/>
      <c r="X236" s="50"/>
      <c r="Y236" s="50"/>
      <c r="Z236" s="179"/>
      <c r="AC236" s="180"/>
      <c r="AD236" s="180"/>
      <c r="AE236" s="180"/>
      <c r="AF236" s="180"/>
      <c r="AG236" s="180"/>
      <c r="AH236" s="180"/>
    </row>
    <row r="237" spans="1:34">
      <c r="A237" s="546"/>
      <c r="B237" s="546"/>
      <c r="C237" s="190"/>
      <c r="D237" s="30"/>
      <c r="E237" s="190"/>
      <c r="F237" s="190"/>
      <c r="G237" s="190"/>
      <c r="H237" s="190"/>
      <c r="I237" s="190"/>
      <c r="J237" s="190"/>
      <c r="K237" s="190"/>
      <c r="L237" s="190"/>
      <c r="M237" s="190"/>
      <c r="N237" s="190"/>
      <c r="O237" s="190"/>
      <c r="P237" s="190"/>
      <c r="Q237" s="190"/>
      <c r="R237" s="43" t="s">
        <v>223</v>
      </c>
      <c r="S237" s="50"/>
      <c r="T237" s="50"/>
      <c r="U237" s="50"/>
      <c r="V237" s="50"/>
      <c r="W237" s="50"/>
      <c r="X237" s="50"/>
      <c r="Y237" s="50"/>
      <c r="Z237" s="179"/>
      <c r="AC237" s="180"/>
      <c r="AD237" s="180"/>
      <c r="AE237" s="180"/>
      <c r="AF237" s="180"/>
      <c r="AG237" s="180"/>
      <c r="AH237" s="180"/>
    </row>
    <row r="238" spans="1:34">
      <c r="A238" s="546"/>
      <c r="B238" s="546"/>
      <c r="C238" s="190"/>
      <c r="D238" s="30"/>
      <c r="E238" s="190"/>
      <c r="F238" s="190"/>
      <c r="G238" s="190"/>
      <c r="H238" s="190">
        <v>0</v>
      </c>
      <c r="I238" s="190">
        <v>0</v>
      </c>
      <c r="J238" s="190"/>
      <c r="K238" s="190"/>
      <c r="L238" s="190"/>
      <c r="M238" s="190"/>
      <c r="N238" s="190"/>
      <c r="O238" s="190"/>
      <c r="P238" s="190">
        <v>1</v>
      </c>
      <c r="Q238" s="190"/>
      <c r="R238" s="43"/>
      <c r="S238" s="50"/>
      <c r="T238" s="50"/>
      <c r="U238" s="50"/>
      <c r="V238" s="50"/>
      <c r="W238" s="50"/>
      <c r="X238" s="50"/>
      <c r="Y238" s="50"/>
      <c r="Z238" s="179"/>
      <c r="AC238" s="180"/>
      <c r="AD238" s="180"/>
      <c r="AE238" s="180"/>
      <c r="AF238" s="180"/>
      <c r="AG238" s="180"/>
      <c r="AH238" s="180"/>
    </row>
    <row r="239" spans="1:34">
      <c r="A239" s="546"/>
      <c r="B239" s="546"/>
      <c r="C239" s="190"/>
      <c r="D239" s="30"/>
      <c r="E239" s="190"/>
      <c r="F239" s="190"/>
      <c r="G239" s="190"/>
      <c r="H239" s="190"/>
      <c r="I239" s="190"/>
      <c r="J239" s="190"/>
      <c r="K239" s="190"/>
      <c r="L239" s="190"/>
      <c r="M239" s="190"/>
      <c r="N239" s="190"/>
      <c r="O239" s="190"/>
      <c r="P239" s="190"/>
      <c r="Q239" s="190"/>
      <c r="R239" s="43" t="s">
        <v>223</v>
      </c>
      <c r="S239" s="50"/>
      <c r="T239" s="50"/>
      <c r="U239" s="50"/>
      <c r="V239" s="50"/>
      <c r="W239" s="50"/>
      <c r="X239" s="50"/>
      <c r="Y239" s="50"/>
      <c r="Z239" s="179"/>
      <c r="AC239" s="180"/>
      <c r="AD239" s="180"/>
      <c r="AE239" s="180"/>
      <c r="AF239" s="180"/>
      <c r="AG239" s="180"/>
      <c r="AH239" s="180"/>
    </row>
  </sheetData>
  <mergeCells count="21">
    <mergeCell ref="A237:B237"/>
    <mergeCell ref="A238:B238"/>
    <mergeCell ref="A239:B239"/>
    <mergeCell ref="A230:B230"/>
    <mergeCell ref="A232:B232"/>
    <mergeCell ref="A233:B233"/>
    <mergeCell ref="A234:B234"/>
    <mergeCell ref="A235:B235"/>
    <mergeCell ref="A236:B236"/>
    <mergeCell ref="B221:B227"/>
    <mergeCell ref="A1:B1"/>
    <mergeCell ref="A2:B2"/>
    <mergeCell ref="A3:B3"/>
    <mergeCell ref="A4:B4"/>
    <mergeCell ref="B5:B20"/>
    <mergeCell ref="B22:B25"/>
    <mergeCell ref="B27:B183"/>
    <mergeCell ref="B185:B194"/>
    <mergeCell ref="B196:B201"/>
    <mergeCell ref="B203:B213"/>
    <mergeCell ref="B215:B219"/>
  </mergeCells>
  <pageMargins left="0.7" right="0.7" top="0.75" bottom="0.75" header="0.3" footer="0.3"/>
  <pageSetup scale="58"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workbookViewId="0">
      <pane xSplit="13" ySplit="2" topLeftCell="N3" activePane="bottomRight" state="frozen"/>
      <selection pane="topRight" activeCell="N1" sqref="N1"/>
      <selection pane="bottomLeft" activeCell="A3" sqref="A3"/>
      <selection pane="bottomRight" activeCell="AA29" sqref="AA29"/>
    </sheetView>
  </sheetViews>
  <sheetFormatPr defaultColWidth="9.140625" defaultRowHeight="15"/>
  <cols>
    <col min="1" max="1" width="33.5703125" style="228" bestFit="1" customWidth="1"/>
    <col min="2" max="2" width="12.140625" style="228" hidden="1" customWidth="1"/>
    <col min="3" max="13" width="9.5703125" style="228" hidden="1" customWidth="1"/>
    <col min="14" max="14" width="12.28515625" style="228" bestFit="1" customWidth="1"/>
    <col min="15" max="15" width="9.5703125" style="228" bestFit="1" customWidth="1"/>
    <col min="16" max="16" width="12.85546875" style="228" customWidth="1"/>
    <col min="17" max="17" width="10.85546875" style="228" bestFit="1" customWidth="1"/>
    <col min="18" max="18" width="10.85546875" style="228" customWidth="1"/>
    <col min="19" max="19" width="10.42578125" style="228" bestFit="1" customWidth="1"/>
    <col min="20" max="20" width="10.42578125" style="228" customWidth="1"/>
    <col min="21" max="21" width="10.42578125" style="228" bestFit="1" customWidth="1"/>
    <col min="22" max="22" width="8.28515625" style="228" bestFit="1" customWidth="1"/>
    <col min="23" max="23" width="12.28515625" style="228" bestFit="1" customWidth="1"/>
    <col min="24" max="24" width="10.42578125" style="228" bestFit="1" customWidth="1"/>
    <col min="25" max="25" width="9.5703125" style="228" bestFit="1" customWidth="1"/>
    <col min="26" max="26" width="9.140625" style="228"/>
    <col min="27" max="27" width="11.85546875" style="228" bestFit="1" customWidth="1"/>
    <col min="28" max="28" width="12.5703125" style="228" bestFit="1" customWidth="1"/>
    <col min="29" max="16384" width="9.140625" style="228"/>
  </cols>
  <sheetData>
    <row r="1" spans="1:28" ht="16.5">
      <c r="A1" s="303"/>
      <c r="B1" s="303" t="s">
        <v>205</v>
      </c>
      <c r="C1" s="303"/>
      <c r="D1" s="303"/>
      <c r="E1" s="303"/>
      <c r="F1" s="303"/>
      <c r="G1" s="303"/>
      <c r="H1" s="303"/>
      <c r="I1" s="303"/>
      <c r="J1" s="303"/>
      <c r="K1" s="303"/>
      <c r="L1" s="303"/>
      <c r="M1" s="303"/>
      <c r="N1" s="547" t="s">
        <v>205</v>
      </c>
      <c r="O1" s="547"/>
      <c r="P1" s="303"/>
      <c r="Q1" s="303"/>
      <c r="R1" s="303"/>
      <c r="S1" s="303"/>
      <c r="T1" s="339" t="s">
        <v>680</v>
      </c>
      <c r="U1" s="303"/>
      <c r="V1" s="303"/>
      <c r="W1" s="303"/>
      <c r="X1" s="303" t="s">
        <v>236</v>
      </c>
      <c r="Y1" s="303"/>
    </row>
    <row r="2" spans="1:28" ht="26.25" customHeight="1">
      <c r="A2" s="291"/>
      <c r="B2" s="306" t="s">
        <v>681</v>
      </c>
      <c r="C2" s="306" t="s">
        <v>682</v>
      </c>
      <c r="D2" s="306" t="s">
        <v>683</v>
      </c>
      <c r="E2" s="306" t="s">
        <v>684</v>
      </c>
      <c r="F2" s="306" t="s">
        <v>685</v>
      </c>
      <c r="G2" s="306" t="s">
        <v>686</v>
      </c>
      <c r="H2" s="306" t="s">
        <v>687</v>
      </c>
      <c r="I2" s="306" t="s">
        <v>688</v>
      </c>
      <c r="J2" s="306" t="s">
        <v>689</v>
      </c>
      <c r="K2" s="306" t="s">
        <v>690</v>
      </c>
      <c r="L2" s="306" t="s">
        <v>691</v>
      </c>
      <c r="M2" s="306" t="s">
        <v>692</v>
      </c>
      <c r="N2" s="307" t="s">
        <v>206</v>
      </c>
      <c r="O2" s="290" t="s">
        <v>207</v>
      </c>
      <c r="P2" s="290" t="s">
        <v>208</v>
      </c>
      <c r="Q2" s="315" t="s">
        <v>209</v>
      </c>
      <c r="R2" s="315" t="s">
        <v>13</v>
      </c>
      <c r="S2" s="290" t="s">
        <v>210</v>
      </c>
      <c r="T2" s="290" t="s">
        <v>693</v>
      </c>
      <c r="U2" s="290" t="s">
        <v>212</v>
      </c>
      <c r="V2" s="290" t="s">
        <v>694</v>
      </c>
      <c r="W2" s="290" t="s">
        <v>214</v>
      </c>
      <c r="X2" s="307" t="s">
        <v>695</v>
      </c>
      <c r="Y2" s="290" t="s">
        <v>216</v>
      </c>
      <c r="AA2" s="290" t="s">
        <v>696</v>
      </c>
      <c r="AB2" s="290" t="s">
        <v>12</v>
      </c>
    </row>
    <row r="3" spans="1:28" ht="26.25" customHeight="1">
      <c r="A3" s="308" t="s">
        <v>217</v>
      </c>
      <c r="B3" s="309">
        <v>-3216582</v>
      </c>
      <c r="C3" s="309">
        <v>-3551419</v>
      </c>
      <c r="D3" s="309">
        <v>-3044874</v>
      </c>
      <c r="E3" s="309">
        <v>-2267835</v>
      </c>
      <c r="F3" s="309">
        <v>-1845620</v>
      </c>
      <c r="G3" s="309">
        <v>-1566655</v>
      </c>
      <c r="H3" s="309">
        <v>-1005492</v>
      </c>
      <c r="I3" s="309">
        <v>-974609</v>
      </c>
      <c r="J3" s="309">
        <v>-948380</v>
      </c>
      <c r="K3" s="309">
        <v>-991714</v>
      </c>
      <c r="L3" s="309">
        <v>-1297683</v>
      </c>
      <c r="M3" s="309">
        <v>-1951229</v>
      </c>
      <c r="N3" s="310">
        <v>-22662092</v>
      </c>
      <c r="O3" s="292">
        <v>-1286216</v>
      </c>
      <c r="P3" s="292">
        <v>-23948308</v>
      </c>
      <c r="Q3" s="292">
        <v>119852</v>
      </c>
      <c r="R3" s="292">
        <f>+P3+Q3</f>
        <v>-23828456</v>
      </c>
      <c r="S3" s="292">
        <v>-1100776.5685764046</v>
      </c>
      <c r="T3" s="292">
        <f>-'Prime Group Revenue Calc'!G22</f>
        <v>196606</v>
      </c>
      <c r="U3" s="292">
        <v>70158.35100000001</v>
      </c>
      <c r="V3" s="292"/>
      <c r="W3" s="292">
        <f>SUM(R3:V3)</f>
        <v>-24662468.217576403</v>
      </c>
      <c r="X3" s="310">
        <v>-23549385</v>
      </c>
      <c r="Y3" s="292">
        <f>+W3-X3</f>
        <v>-1113083.2175764032</v>
      </c>
    </row>
    <row r="4" spans="1:28">
      <c r="A4" s="308" t="s">
        <v>218</v>
      </c>
      <c r="B4" s="309">
        <v>-1031225</v>
      </c>
      <c r="C4" s="309">
        <v>-1149303</v>
      </c>
      <c r="D4" s="309">
        <v>-987954</v>
      </c>
      <c r="E4" s="309">
        <v>-683502</v>
      </c>
      <c r="F4" s="309">
        <v>-474197</v>
      </c>
      <c r="G4" s="309">
        <v>-392450</v>
      </c>
      <c r="H4" s="309">
        <v>-258526</v>
      </c>
      <c r="I4" s="309">
        <v>-258048</v>
      </c>
      <c r="J4" s="309">
        <v>-246748</v>
      </c>
      <c r="K4" s="309">
        <v>-258069</v>
      </c>
      <c r="L4" s="309">
        <v>-325746</v>
      </c>
      <c r="M4" s="309">
        <v>-522142</v>
      </c>
      <c r="N4" s="310">
        <v>-6587910</v>
      </c>
      <c r="O4" s="292"/>
      <c r="P4" s="292">
        <v>-6587910</v>
      </c>
      <c r="Q4" s="292"/>
      <c r="R4" s="292">
        <f t="shared" ref="R4:R38" si="0">+P4+Q4</f>
        <v>-6587910</v>
      </c>
      <c r="S4" s="292">
        <v>-300175.32047881838</v>
      </c>
      <c r="T4" s="292"/>
      <c r="U4" s="292">
        <v>16762.739521182139</v>
      </c>
      <c r="V4" s="292"/>
      <c r="W4" s="292">
        <f t="shared" ref="W4:W22" si="1">SUM(R4:V4)</f>
        <v>-6871322.5809576362</v>
      </c>
      <c r="X4" s="310">
        <v>-9500383</v>
      </c>
      <c r="Y4" s="292">
        <f>+W4-X4</f>
        <v>2629060.4190423638</v>
      </c>
    </row>
    <row r="5" spans="1:28" ht="16.5">
      <c r="A5" s="308" t="s">
        <v>219</v>
      </c>
      <c r="B5" s="301">
        <v>-1206790</v>
      </c>
      <c r="C5" s="301">
        <v>-1214923</v>
      </c>
      <c r="D5" s="301">
        <v>-1185678</v>
      </c>
      <c r="E5" s="301">
        <v>-834585</v>
      </c>
      <c r="F5" s="301">
        <v>-642338</v>
      </c>
      <c r="G5" s="301">
        <v>-572701</v>
      </c>
      <c r="H5" s="301">
        <v>-392498</v>
      </c>
      <c r="I5" s="301">
        <v>-364943</v>
      </c>
      <c r="J5" s="301">
        <v>-342740</v>
      </c>
      <c r="K5" s="301">
        <v>-368853</v>
      </c>
      <c r="L5" s="301">
        <v>-475798</v>
      </c>
      <c r="M5" s="301">
        <v>-679112</v>
      </c>
      <c r="N5" s="302">
        <v>-8280960</v>
      </c>
      <c r="O5" s="294"/>
      <c r="P5" s="294">
        <v>-8280960</v>
      </c>
      <c r="Q5" s="294">
        <v>0</v>
      </c>
      <c r="R5" s="294">
        <f t="shared" si="0"/>
        <v>-8280960</v>
      </c>
      <c r="S5" s="294">
        <v>-33433.699999999953</v>
      </c>
      <c r="T5" s="294">
        <v>0</v>
      </c>
      <c r="U5" s="294">
        <v>0</v>
      </c>
      <c r="V5" s="294">
        <v>0</v>
      </c>
      <c r="W5" s="292">
        <f t="shared" si="1"/>
        <v>-8314393.7000000002</v>
      </c>
      <c r="X5" s="302">
        <v>-5886670</v>
      </c>
      <c r="Y5" s="292">
        <f>+W5-X5</f>
        <v>-2427723.7000000002</v>
      </c>
    </row>
    <row r="6" spans="1:28">
      <c r="A6" s="308" t="s">
        <v>220</v>
      </c>
      <c r="B6" s="309">
        <v>-5454598</v>
      </c>
      <c r="C6" s="309">
        <v>-5915644</v>
      </c>
      <c r="D6" s="309">
        <v>-5218506</v>
      </c>
      <c r="E6" s="309">
        <v>-3785922</v>
      </c>
      <c r="F6" s="309">
        <v>-2962155</v>
      </c>
      <c r="G6" s="309">
        <v>-2531807</v>
      </c>
      <c r="H6" s="309">
        <v>-1656516</v>
      </c>
      <c r="I6" s="309">
        <v>-1597600</v>
      </c>
      <c r="J6" s="309">
        <v>-1537868</v>
      </c>
      <c r="K6" s="309">
        <v>-1618635</v>
      </c>
      <c r="L6" s="309">
        <v>-2099227</v>
      </c>
      <c r="M6" s="309">
        <v>-3152483</v>
      </c>
      <c r="N6" s="309">
        <f>SUM(N3:N5)</f>
        <v>-37530962</v>
      </c>
      <c r="O6" s="309">
        <f>SUM(O3:O5)</f>
        <v>-1286216</v>
      </c>
      <c r="P6" s="309">
        <f>SUM(P3:P5)</f>
        <v>-38817178</v>
      </c>
      <c r="Q6" s="309">
        <f>SUM(Q3:Q5)</f>
        <v>119852</v>
      </c>
      <c r="R6" s="292">
        <f t="shared" si="0"/>
        <v>-38697326</v>
      </c>
      <c r="S6" s="309">
        <f>SUM(S3:S5)</f>
        <v>-1434385.5890552229</v>
      </c>
      <c r="T6" s="309">
        <f>SUM(T3:T5)</f>
        <v>196606</v>
      </c>
      <c r="U6" s="309">
        <f>SUM(U3:U5)</f>
        <v>86921.090521182152</v>
      </c>
      <c r="V6" s="309">
        <f>SUM(V3:V5)</f>
        <v>0</v>
      </c>
      <c r="W6" s="292">
        <f t="shared" si="1"/>
        <v>-39848184.498534046</v>
      </c>
      <c r="X6" s="309">
        <f>SUM(X3:X5)</f>
        <v>-38936438</v>
      </c>
      <c r="Y6" s="292"/>
    </row>
    <row r="7" spans="1:28" ht="16.5">
      <c r="A7" s="308" t="s">
        <v>221</v>
      </c>
      <c r="B7" s="301">
        <v>221059</v>
      </c>
      <c r="C7" s="301">
        <v>221189</v>
      </c>
      <c r="D7" s="301">
        <v>222223</v>
      </c>
      <c r="E7" s="301">
        <v>221218</v>
      </c>
      <c r="F7" s="301">
        <v>220671</v>
      </c>
      <c r="G7" s="301">
        <v>216037</v>
      </c>
      <c r="H7" s="301">
        <v>213501</v>
      </c>
      <c r="I7" s="301">
        <v>211785</v>
      </c>
      <c r="J7" s="301">
        <v>211392</v>
      </c>
      <c r="K7" s="301">
        <v>212084</v>
      </c>
      <c r="L7" s="301">
        <v>215785</v>
      </c>
      <c r="M7" s="301">
        <v>220492</v>
      </c>
      <c r="N7" s="302">
        <v>2382636</v>
      </c>
      <c r="O7" s="292"/>
      <c r="P7" s="292">
        <f>+O7+N7</f>
        <v>2382636</v>
      </c>
      <c r="Q7" s="294">
        <v>0</v>
      </c>
      <c r="R7" s="294">
        <f t="shared" si="0"/>
        <v>2382636</v>
      </c>
      <c r="S7" s="294">
        <v>0</v>
      </c>
      <c r="T7" s="294">
        <v>0</v>
      </c>
      <c r="U7" s="294">
        <v>0</v>
      </c>
      <c r="V7" s="294">
        <v>0</v>
      </c>
      <c r="W7" s="292">
        <f t="shared" si="1"/>
        <v>2382636</v>
      </c>
      <c r="X7" s="302">
        <v>2699420</v>
      </c>
      <c r="Y7" s="292">
        <f t="shared" ref="Y7:Y18" si="2">+W7-X7</f>
        <v>-316784</v>
      </c>
    </row>
    <row r="8" spans="1:28">
      <c r="A8" s="308" t="s">
        <v>222</v>
      </c>
      <c r="B8" s="309">
        <v>-5233539</v>
      </c>
      <c r="C8" s="309">
        <v>-5694455</v>
      </c>
      <c r="D8" s="309">
        <v>-4996283</v>
      </c>
      <c r="E8" s="309">
        <v>-3564704</v>
      </c>
      <c r="F8" s="309">
        <v>-2741484</v>
      </c>
      <c r="G8" s="309">
        <v>-2315770</v>
      </c>
      <c r="H8" s="309">
        <v>-1443016</v>
      </c>
      <c r="I8" s="309">
        <v>-1385815</v>
      </c>
      <c r="J8" s="309">
        <v>-1326476</v>
      </c>
      <c r="K8" s="309">
        <v>-1406551</v>
      </c>
      <c r="L8" s="309">
        <v>-1883442</v>
      </c>
      <c r="M8" s="309">
        <v>-2931991</v>
      </c>
      <c r="N8" s="309">
        <f>+N7+N6</f>
        <v>-35148326</v>
      </c>
      <c r="O8" s="309">
        <f>+O7+O6</f>
        <v>-1286216</v>
      </c>
      <c r="P8" s="309">
        <f>+P7+P6</f>
        <v>-36434542</v>
      </c>
      <c r="Q8" s="309">
        <f>+Q7+Q6</f>
        <v>119852</v>
      </c>
      <c r="R8" s="292">
        <f t="shared" si="0"/>
        <v>-36314690</v>
      </c>
      <c r="S8" s="309">
        <f>+S7+S6</f>
        <v>-1434385.5890552229</v>
      </c>
      <c r="T8" s="309">
        <f>+T7+T6</f>
        <v>196606</v>
      </c>
      <c r="U8" s="309">
        <f>+U7+U6</f>
        <v>86921.090521182152</v>
      </c>
      <c r="V8" s="309">
        <f>+V7+V6</f>
        <v>0</v>
      </c>
      <c r="W8" s="292">
        <f t="shared" si="1"/>
        <v>-37465548.498534046</v>
      </c>
      <c r="X8" s="309">
        <f>+X7+X6</f>
        <v>-36237018</v>
      </c>
      <c r="Y8" s="309"/>
    </row>
    <row r="9" spans="1:28">
      <c r="A9" s="308"/>
      <c r="B9" s="309"/>
      <c r="C9" s="309"/>
      <c r="D9" s="309"/>
      <c r="E9" s="309"/>
      <c r="F9" s="309"/>
      <c r="G9" s="309"/>
      <c r="H9" s="309"/>
      <c r="I9" s="309"/>
      <c r="J9" s="309"/>
      <c r="K9" s="309"/>
      <c r="L9" s="309"/>
      <c r="M9" s="309"/>
      <c r="N9" s="309"/>
      <c r="O9" s="292"/>
      <c r="P9" s="292" t="s">
        <v>223</v>
      </c>
      <c r="Q9" s="292"/>
      <c r="R9" s="292"/>
      <c r="S9" s="292"/>
      <c r="T9" s="292"/>
      <c r="U9" s="292"/>
      <c r="V9" s="292"/>
      <c r="W9" s="292"/>
      <c r="X9" s="309"/>
      <c r="Y9" s="292"/>
    </row>
    <row r="10" spans="1:28">
      <c r="A10" s="308" t="s">
        <v>224</v>
      </c>
      <c r="B10" s="309">
        <v>-16247</v>
      </c>
      <c r="C10" s="309">
        <v>-16169</v>
      </c>
      <c r="D10" s="309">
        <v>-11762</v>
      </c>
      <c r="E10" s="309">
        <v>-8465</v>
      </c>
      <c r="F10" s="309">
        <v>-6199</v>
      </c>
      <c r="G10" s="309">
        <v>-3975</v>
      </c>
      <c r="H10" s="309">
        <v>-3929</v>
      </c>
      <c r="I10" s="309">
        <v>-3931</v>
      </c>
      <c r="J10" s="309">
        <v>-4073</v>
      </c>
      <c r="K10" s="309">
        <v>-5832</v>
      </c>
      <c r="L10" s="309">
        <v>-9822</v>
      </c>
      <c r="M10" s="309">
        <v>-17721</v>
      </c>
      <c r="N10" s="310">
        <v>-108126</v>
      </c>
      <c r="O10" s="292"/>
      <c r="P10" s="292">
        <v>-108126</v>
      </c>
      <c r="Q10" s="292"/>
      <c r="R10" s="292">
        <f t="shared" si="0"/>
        <v>-108126</v>
      </c>
      <c r="S10" s="292"/>
      <c r="T10" s="292"/>
      <c r="U10" s="292"/>
      <c r="V10" s="292"/>
      <c r="W10" s="292">
        <f t="shared" si="1"/>
        <v>-108126</v>
      </c>
      <c r="X10" s="310">
        <v>-114098</v>
      </c>
      <c r="Y10" s="292">
        <f t="shared" si="2"/>
        <v>5972</v>
      </c>
    </row>
    <row r="11" spans="1:28">
      <c r="A11" s="308" t="s">
        <v>225</v>
      </c>
      <c r="B11" s="309">
        <v>-382099</v>
      </c>
      <c r="C11" s="309">
        <v>-384585</v>
      </c>
      <c r="D11" s="309">
        <v>-327795</v>
      </c>
      <c r="E11" s="309">
        <v>-286414</v>
      </c>
      <c r="F11" s="309">
        <v>-280758</v>
      </c>
      <c r="G11" s="309">
        <v>-272427</v>
      </c>
      <c r="H11" s="309">
        <v>-251116</v>
      </c>
      <c r="I11" s="309">
        <v>-279275</v>
      </c>
      <c r="J11" s="309">
        <v>-286685</v>
      </c>
      <c r="K11" s="309">
        <v>-335342</v>
      </c>
      <c r="L11" s="309">
        <v>-387244</v>
      </c>
      <c r="M11" s="309">
        <v>-411085</v>
      </c>
      <c r="N11" s="310">
        <v>-3884825</v>
      </c>
      <c r="O11" s="292"/>
      <c r="P11" s="292">
        <v>-3884825</v>
      </c>
      <c r="Q11" s="292"/>
      <c r="R11" s="292">
        <f t="shared" si="0"/>
        <v>-3884825</v>
      </c>
      <c r="S11" s="292"/>
      <c r="T11" s="292"/>
      <c r="U11" s="292"/>
      <c r="V11" s="292"/>
      <c r="W11" s="292">
        <f t="shared" si="1"/>
        <v>-3884825</v>
      </c>
      <c r="X11" s="310">
        <v>-4243148</v>
      </c>
      <c r="Y11" s="292">
        <f t="shared" si="2"/>
        <v>358323</v>
      </c>
    </row>
    <row r="12" spans="1:28">
      <c r="A12" s="308" t="s">
        <v>226</v>
      </c>
      <c r="B12" s="309">
        <v>-124</v>
      </c>
      <c r="C12" s="309">
        <v>-124</v>
      </c>
      <c r="D12" s="309">
        <v>-111</v>
      </c>
      <c r="E12" s="309">
        <v>-108</v>
      </c>
      <c r="F12" s="309">
        <v>-115</v>
      </c>
      <c r="G12" s="309">
        <v>-106</v>
      </c>
      <c r="H12" s="309">
        <v>-106</v>
      </c>
      <c r="I12" s="309">
        <v>-106</v>
      </c>
      <c r="J12" s="309">
        <v>-106</v>
      </c>
      <c r="K12" s="309">
        <v>-107</v>
      </c>
      <c r="L12" s="309">
        <v>-141</v>
      </c>
      <c r="M12" s="309">
        <v>-221</v>
      </c>
      <c r="N12" s="310">
        <v>-1477</v>
      </c>
      <c r="O12" s="292"/>
      <c r="P12" s="292">
        <v>-1477</v>
      </c>
      <c r="Q12" s="292"/>
      <c r="R12" s="292">
        <f t="shared" si="0"/>
        <v>-1477</v>
      </c>
      <c r="S12" s="292"/>
      <c r="T12" s="292"/>
      <c r="U12" s="292"/>
      <c r="V12" s="292"/>
      <c r="W12" s="292">
        <f t="shared" si="1"/>
        <v>-1477</v>
      </c>
      <c r="X12" s="310">
        <v>-1676</v>
      </c>
      <c r="Y12" s="292">
        <f t="shared" si="2"/>
        <v>199</v>
      </c>
    </row>
    <row r="13" spans="1:28">
      <c r="A13" s="308" t="s">
        <v>221</v>
      </c>
      <c r="B13" s="309"/>
      <c r="C13" s="309"/>
      <c r="D13" s="309"/>
      <c r="E13" s="309"/>
      <c r="F13" s="309"/>
      <c r="G13" s="309"/>
      <c r="H13" s="309"/>
      <c r="I13" s="309"/>
      <c r="J13" s="309"/>
      <c r="K13" s="309"/>
      <c r="L13" s="309"/>
      <c r="M13" s="309"/>
      <c r="N13" s="310">
        <v>224800</v>
      </c>
      <c r="O13" s="292"/>
      <c r="P13" s="292">
        <f>+N13+O13</f>
        <v>224800</v>
      </c>
      <c r="Q13" s="292"/>
      <c r="R13" s="292">
        <f t="shared" si="0"/>
        <v>224800</v>
      </c>
      <c r="S13" s="292"/>
      <c r="T13" s="292"/>
      <c r="U13" s="292"/>
      <c r="V13" s="292"/>
      <c r="W13" s="292">
        <f t="shared" si="1"/>
        <v>224800</v>
      </c>
      <c r="X13" s="310">
        <v>0</v>
      </c>
      <c r="Y13" s="292">
        <f t="shared" ref="Y13" si="3">+W13-X13</f>
        <v>224800</v>
      </c>
    </row>
    <row r="14" spans="1:28" ht="16.5">
      <c r="A14" s="308" t="s">
        <v>227</v>
      </c>
      <c r="B14" s="301">
        <v>-143756</v>
      </c>
      <c r="C14" s="301">
        <v>-144126</v>
      </c>
      <c r="D14" s="301">
        <v>-98876</v>
      </c>
      <c r="E14" s="301">
        <v>-89864</v>
      </c>
      <c r="F14" s="301">
        <v>-74596</v>
      </c>
      <c r="G14" s="301">
        <v>-67125</v>
      </c>
      <c r="H14" s="301">
        <v>-65507</v>
      </c>
      <c r="I14" s="301">
        <v>-71082</v>
      </c>
      <c r="J14" s="301">
        <v>-71670</v>
      </c>
      <c r="K14" s="301">
        <v>-90237</v>
      </c>
      <c r="L14" s="301">
        <v>-127206</v>
      </c>
      <c r="M14" s="301">
        <v>-164756</v>
      </c>
      <c r="N14" s="302">
        <v>-1208800</v>
      </c>
      <c r="O14" s="292"/>
      <c r="P14" s="294">
        <v>-1208800</v>
      </c>
      <c r="Q14" s="294"/>
      <c r="R14" s="294">
        <f t="shared" si="0"/>
        <v>-1208800</v>
      </c>
      <c r="S14" s="292"/>
      <c r="T14" s="292"/>
      <c r="U14" s="292"/>
      <c r="V14" s="294">
        <v>-459042.85642139456</v>
      </c>
      <c r="W14" s="292">
        <f t="shared" si="1"/>
        <v>-1667842.8564213945</v>
      </c>
      <c r="X14" s="302">
        <v>-1378573</v>
      </c>
      <c r="Y14" s="292">
        <f t="shared" si="2"/>
        <v>-289269.85642139451</v>
      </c>
    </row>
    <row r="15" spans="1:28">
      <c r="A15" s="308" t="s">
        <v>228</v>
      </c>
      <c r="B15" s="295">
        <v>-542226</v>
      </c>
      <c r="C15" s="295">
        <v>-545005</v>
      </c>
      <c r="D15" s="295">
        <v>-438545</v>
      </c>
      <c r="E15" s="295">
        <v>-384850</v>
      </c>
      <c r="F15" s="295">
        <v>-361668</v>
      </c>
      <c r="G15" s="295">
        <v>-343633</v>
      </c>
      <c r="H15" s="295">
        <v>-320658</v>
      </c>
      <c r="I15" s="295">
        <v>-354394</v>
      </c>
      <c r="J15" s="295">
        <v>-362534</v>
      </c>
      <c r="K15" s="295">
        <v>-431518</v>
      </c>
      <c r="L15" s="295">
        <v>-524413</v>
      </c>
      <c r="M15" s="295">
        <v>-593783</v>
      </c>
      <c r="N15" s="295">
        <f>SUM(N10:N14)</f>
        <v>-4978428</v>
      </c>
      <c r="O15" s="295">
        <f>SUM(O10:O14)</f>
        <v>0</v>
      </c>
      <c r="P15" s="295">
        <f>SUM(P10:P14)</f>
        <v>-4978428</v>
      </c>
      <c r="Q15" s="295"/>
      <c r="R15" s="292">
        <f t="shared" si="0"/>
        <v>-4978428</v>
      </c>
      <c r="S15" s="295">
        <f>SUM(S10:S14)</f>
        <v>0</v>
      </c>
      <c r="T15" s="295">
        <f>SUM(T10:T14)</f>
        <v>0</v>
      </c>
      <c r="U15" s="295">
        <f>SUM(U10:U14)</f>
        <v>0</v>
      </c>
      <c r="V15" s="295">
        <f>SUM(V10:V14)</f>
        <v>-459042.85642139456</v>
      </c>
      <c r="W15" s="292">
        <f t="shared" si="1"/>
        <v>-5437470.8564213943</v>
      </c>
      <c r="X15" s="295">
        <f>SUM(X10:X14)</f>
        <v>-5737495</v>
      </c>
      <c r="Y15" s="295"/>
    </row>
    <row r="16" spans="1:28">
      <c r="A16" s="295"/>
      <c r="B16" s="295"/>
      <c r="C16" s="295"/>
      <c r="D16" s="295"/>
      <c r="E16" s="295"/>
      <c r="F16" s="295"/>
      <c r="G16" s="295"/>
      <c r="H16" s="295"/>
      <c r="I16" s="295"/>
      <c r="J16" s="295"/>
      <c r="K16" s="295"/>
      <c r="L16" s="295"/>
      <c r="M16" s="295"/>
      <c r="N16" s="295"/>
      <c r="O16" s="295"/>
      <c r="P16" s="292" t="s">
        <v>223</v>
      </c>
      <c r="Q16" s="292"/>
      <c r="R16" s="292"/>
      <c r="S16" s="296"/>
      <c r="T16" s="296"/>
      <c r="U16" s="296"/>
      <c r="V16" s="296"/>
      <c r="W16" s="292"/>
      <c r="X16" s="295"/>
      <c r="Y16" s="292"/>
    </row>
    <row r="17" spans="1:28">
      <c r="A17" s="308" t="s">
        <v>229</v>
      </c>
      <c r="B17" s="309">
        <v>-93783</v>
      </c>
      <c r="C17" s="309">
        <v>-94243</v>
      </c>
      <c r="D17" s="309">
        <v>-69077</v>
      </c>
      <c r="E17" s="309">
        <v>-118719</v>
      </c>
      <c r="F17" s="309">
        <v>-81598</v>
      </c>
      <c r="G17" s="309">
        <v>-56386</v>
      </c>
      <c r="H17" s="309">
        <v>-58236</v>
      </c>
      <c r="I17" s="309">
        <v>-73915</v>
      </c>
      <c r="J17" s="309">
        <v>-85089</v>
      </c>
      <c r="K17" s="309">
        <v>-80070</v>
      </c>
      <c r="L17" s="309">
        <v>-68821</v>
      </c>
      <c r="M17" s="309">
        <v>-49616</v>
      </c>
      <c r="N17" s="310">
        <v>-929552</v>
      </c>
      <c r="O17" s="292"/>
      <c r="P17" s="292">
        <v>-929552</v>
      </c>
      <c r="Q17" s="292"/>
      <c r="R17" s="292">
        <f t="shared" si="0"/>
        <v>-929552</v>
      </c>
      <c r="S17" s="292"/>
      <c r="T17" s="292"/>
      <c r="U17" s="292"/>
      <c r="V17" s="292"/>
      <c r="W17" s="292">
        <f t="shared" si="1"/>
        <v>-929552</v>
      </c>
      <c r="X17" s="310">
        <v>-1021911</v>
      </c>
      <c r="Y17" s="292">
        <f t="shared" si="2"/>
        <v>92359</v>
      </c>
    </row>
    <row r="18" spans="1:28" ht="16.5">
      <c r="A18" s="308" t="s">
        <v>227</v>
      </c>
      <c r="B18" s="301">
        <v>-207639</v>
      </c>
      <c r="C18" s="301">
        <v>-154133</v>
      </c>
      <c r="D18" s="301">
        <v>-163794</v>
      </c>
      <c r="E18" s="301">
        <v>-124345</v>
      </c>
      <c r="F18" s="301">
        <v>-128188</v>
      </c>
      <c r="G18" s="301">
        <v>-123978</v>
      </c>
      <c r="H18" s="301">
        <v>-128059</v>
      </c>
      <c r="I18" s="301">
        <v>-128058</v>
      </c>
      <c r="J18" s="301">
        <v>-123961</v>
      </c>
      <c r="K18" s="301">
        <v>-128229</v>
      </c>
      <c r="L18" s="301">
        <v>-124681</v>
      </c>
      <c r="M18" s="301">
        <v>-235107</v>
      </c>
      <c r="N18" s="302">
        <v>-1770171</v>
      </c>
      <c r="O18" s="292"/>
      <c r="P18" s="294">
        <v>-1770171</v>
      </c>
      <c r="Q18" s="294"/>
      <c r="R18" s="294">
        <f t="shared" si="0"/>
        <v>-1770171</v>
      </c>
      <c r="S18" s="292"/>
      <c r="T18" s="292"/>
      <c r="U18" s="292"/>
      <c r="W18" s="292">
        <f t="shared" si="1"/>
        <v>-1770171</v>
      </c>
      <c r="X18" s="302">
        <v>-2335387</v>
      </c>
      <c r="Y18" s="292">
        <f t="shared" si="2"/>
        <v>565216</v>
      </c>
    </row>
    <row r="19" spans="1:28" ht="16.5">
      <c r="A19" s="295" t="s">
        <v>230</v>
      </c>
      <c r="B19" s="297">
        <v>-301422</v>
      </c>
      <c r="C19" s="297">
        <v>-248376</v>
      </c>
      <c r="D19" s="297">
        <v>-232872</v>
      </c>
      <c r="E19" s="297">
        <v>-243064</v>
      </c>
      <c r="F19" s="297">
        <v>-209786</v>
      </c>
      <c r="G19" s="297">
        <v>-180363</v>
      </c>
      <c r="H19" s="297">
        <v>-186294</v>
      </c>
      <c r="I19" s="297">
        <v>-201973</v>
      </c>
      <c r="J19" s="297">
        <v>-209050</v>
      </c>
      <c r="K19" s="297">
        <v>-208299</v>
      </c>
      <c r="L19" s="297">
        <v>-193501</v>
      </c>
      <c r="M19" s="297">
        <v>-284723</v>
      </c>
      <c r="N19" s="297">
        <v>-2699723</v>
      </c>
      <c r="O19" s="297">
        <v>0</v>
      </c>
      <c r="P19" s="294">
        <v>-2699723</v>
      </c>
      <c r="Q19" s="294"/>
      <c r="R19" s="294">
        <f t="shared" si="0"/>
        <v>-2699723</v>
      </c>
      <c r="S19" s="296"/>
      <c r="T19" s="296"/>
      <c r="U19" s="296"/>
      <c r="V19" s="296"/>
      <c r="W19" s="292">
        <f t="shared" si="1"/>
        <v>-2699723</v>
      </c>
      <c r="X19" s="297">
        <v>-3357298</v>
      </c>
      <c r="Y19" s="292"/>
    </row>
    <row r="20" spans="1:28">
      <c r="A20" s="295"/>
      <c r="B20" s="295"/>
      <c r="C20" s="295"/>
      <c r="D20" s="295"/>
      <c r="E20" s="295"/>
      <c r="F20" s="295"/>
      <c r="G20" s="295"/>
      <c r="H20" s="295"/>
      <c r="I20" s="295"/>
      <c r="J20" s="295"/>
      <c r="K20" s="295"/>
      <c r="L20" s="295"/>
      <c r="M20" s="295"/>
      <c r="N20" s="295"/>
      <c r="O20" s="295"/>
      <c r="P20" s="292" t="s">
        <v>223</v>
      </c>
      <c r="Q20" s="292"/>
      <c r="R20" s="292"/>
      <c r="S20" s="296"/>
      <c r="T20" s="296"/>
      <c r="U20" s="296"/>
      <c r="V20" s="296"/>
      <c r="W20" s="292"/>
      <c r="X20" s="295"/>
      <c r="Y20" s="292"/>
    </row>
    <row r="21" spans="1:28" ht="16.5">
      <c r="A21" s="295" t="s">
        <v>231</v>
      </c>
      <c r="B21" s="298">
        <v>-6077187</v>
      </c>
      <c r="C21" s="298">
        <v>-6487836</v>
      </c>
      <c r="D21" s="298">
        <v>-5667700</v>
      </c>
      <c r="E21" s="298">
        <v>-4192618</v>
      </c>
      <c r="F21" s="298">
        <v>-3312939</v>
      </c>
      <c r="G21" s="298">
        <v>-2839766</v>
      </c>
      <c r="H21" s="298">
        <v>-1949968</v>
      </c>
      <c r="I21" s="298">
        <v>-1942183</v>
      </c>
      <c r="J21" s="298">
        <v>-1898060</v>
      </c>
      <c r="K21" s="298">
        <v>-2046368</v>
      </c>
      <c r="L21" s="298">
        <v>-2601355</v>
      </c>
      <c r="M21" s="298">
        <v>-3810497</v>
      </c>
      <c r="N21" s="295">
        <f>+N19+N15+N8</f>
        <v>-42826477</v>
      </c>
      <c r="O21" s="295">
        <f>+O19+O15+O8</f>
        <v>-1286216</v>
      </c>
      <c r="P21" s="295">
        <f>+P19+P15+P8</f>
        <v>-44112693</v>
      </c>
      <c r="Q21" s="295">
        <f>+Q19+Q15+Q8</f>
        <v>119852</v>
      </c>
      <c r="R21" s="292">
        <f t="shared" si="0"/>
        <v>-43992841</v>
      </c>
      <c r="S21" s="295">
        <f>+S19+S15+S8</f>
        <v>-1434385.5890552229</v>
      </c>
      <c r="T21" s="295">
        <f>+T19+T15+T8</f>
        <v>196606</v>
      </c>
      <c r="U21" s="295">
        <f>+U19+U15+U8</f>
        <v>86921.090521182152</v>
      </c>
      <c r="V21" s="295">
        <f>+V19+V15+V8</f>
        <v>-459042.85642139456</v>
      </c>
      <c r="W21" s="292">
        <f t="shared" si="1"/>
        <v>-45602742.354955442</v>
      </c>
      <c r="X21" s="295">
        <f>+X19+X15+X8</f>
        <v>-45331811</v>
      </c>
      <c r="Y21" s="292"/>
      <c r="AB21" s="336"/>
    </row>
    <row r="22" spans="1:28" ht="16.5">
      <c r="A22" s="303" t="s">
        <v>232</v>
      </c>
      <c r="B22" s="303"/>
      <c r="C22" s="303"/>
      <c r="D22" s="303"/>
      <c r="E22" s="303"/>
      <c r="F22" s="303"/>
      <c r="G22" s="303"/>
      <c r="H22" s="303"/>
      <c r="I22" s="303"/>
      <c r="J22" s="303"/>
      <c r="K22" s="303"/>
      <c r="L22" s="303"/>
      <c r="M22" s="303"/>
      <c r="N22" s="311">
        <v>-125705</v>
      </c>
      <c r="O22" s="311">
        <v>-7433</v>
      </c>
      <c r="P22" s="311">
        <f>+O22+N22</f>
        <v>-133138</v>
      </c>
      <c r="Q22" s="311">
        <v>0</v>
      </c>
      <c r="R22" s="294">
        <f t="shared" si="0"/>
        <v>-133138</v>
      </c>
      <c r="S22" s="311">
        <v>50718</v>
      </c>
      <c r="T22" s="311">
        <v>0</v>
      </c>
      <c r="U22" s="311"/>
      <c r="V22" s="311"/>
      <c r="W22" s="292">
        <f t="shared" si="1"/>
        <v>-82420</v>
      </c>
      <c r="X22" s="311">
        <v>-82420</v>
      </c>
      <c r="Y22" s="292">
        <f t="shared" ref="Y22" si="4">+W22-X22</f>
        <v>0</v>
      </c>
    </row>
    <row r="23" spans="1:28">
      <c r="A23" s="303" t="s">
        <v>233</v>
      </c>
      <c r="B23" s="303"/>
      <c r="C23" s="303"/>
      <c r="D23" s="303"/>
      <c r="E23" s="303"/>
      <c r="F23" s="303"/>
      <c r="G23" s="303"/>
      <c r="H23" s="303"/>
      <c r="I23" s="303"/>
      <c r="J23" s="303"/>
      <c r="K23" s="303"/>
      <c r="L23" s="303"/>
      <c r="M23" s="303"/>
      <c r="N23" s="303"/>
      <c r="O23" s="303"/>
      <c r="P23" s="303"/>
      <c r="Q23" s="303"/>
      <c r="R23" s="292">
        <f t="shared" si="0"/>
        <v>0</v>
      </c>
      <c r="S23" s="303"/>
      <c r="T23" s="303"/>
      <c r="U23" s="303"/>
      <c r="V23" s="303"/>
      <c r="W23" s="304" t="s">
        <v>697</v>
      </c>
      <c r="X23" s="303"/>
      <c r="Y23" s="292"/>
    </row>
    <row r="24" spans="1:28">
      <c r="A24" s="287" t="s">
        <v>234</v>
      </c>
      <c r="B24" s="288"/>
      <c r="C24" s="288"/>
      <c r="D24" s="288"/>
      <c r="E24" s="288"/>
      <c r="F24" s="288"/>
      <c r="G24" s="288"/>
      <c r="H24" s="288"/>
      <c r="I24" s="288"/>
      <c r="J24" s="288"/>
      <c r="K24" s="288"/>
      <c r="L24" s="288"/>
      <c r="M24" s="288"/>
      <c r="N24" s="288">
        <f>+N22+N21</f>
        <v>-42952182</v>
      </c>
      <c r="O24" s="288">
        <f>+O22+O21</f>
        <v>-1293649</v>
      </c>
      <c r="P24" s="288">
        <f>+P22+P21</f>
        <v>-44245831</v>
      </c>
      <c r="Q24" s="288">
        <f>+Q22+Q21</f>
        <v>119852</v>
      </c>
      <c r="R24" s="319">
        <f t="shared" si="0"/>
        <v>-44125979</v>
      </c>
      <c r="S24" s="288">
        <f t="shared" ref="S24:X24" si="5">+S22+S21</f>
        <v>-1383667.5890552229</v>
      </c>
      <c r="T24" s="288">
        <f t="shared" si="5"/>
        <v>196606</v>
      </c>
      <c r="U24" s="288">
        <f t="shared" si="5"/>
        <v>86921.090521182152</v>
      </c>
      <c r="V24" s="288">
        <f t="shared" si="5"/>
        <v>-459042.85642139456</v>
      </c>
      <c r="W24" s="288">
        <f t="shared" si="5"/>
        <v>-45685162.354955442</v>
      </c>
      <c r="X24" s="288">
        <f t="shared" si="5"/>
        <v>-45414231</v>
      </c>
      <c r="Y24" s="289">
        <f>SUM(Y3:Y22)</f>
        <v>-270931.3549554341</v>
      </c>
      <c r="AA24" s="317"/>
    </row>
    <row r="25" spans="1:28">
      <c r="A25" s="305" t="s">
        <v>698</v>
      </c>
      <c r="B25" s="303"/>
      <c r="C25" s="303"/>
      <c r="D25" s="303"/>
      <c r="E25" s="303"/>
      <c r="F25" s="303"/>
      <c r="G25" s="303"/>
      <c r="H25" s="303"/>
      <c r="I25" s="303"/>
      <c r="J25" s="303"/>
      <c r="K25" s="303"/>
      <c r="L25" s="303"/>
      <c r="M25" s="303"/>
      <c r="N25" s="303"/>
      <c r="O25" s="303"/>
      <c r="P25" s="303"/>
      <c r="Q25" s="303"/>
      <c r="R25" s="292">
        <f t="shared" si="0"/>
        <v>0</v>
      </c>
      <c r="S25" s="303"/>
      <c r="T25" s="303"/>
      <c r="U25" s="303"/>
      <c r="V25" s="303"/>
      <c r="W25" s="303"/>
      <c r="X25" s="303"/>
      <c r="Y25" s="313"/>
    </row>
    <row r="26" spans="1:28">
      <c r="A26" s="305" t="s">
        <v>699</v>
      </c>
      <c r="B26" s="303"/>
      <c r="C26" s="303"/>
      <c r="D26" s="303"/>
      <c r="E26" s="303"/>
      <c r="F26" s="303"/>
      <c r="G26" s="303"/>
      <c r="H26" s="303"/>
      <c r="I26" s="303"/>
      <c r="J26" s="303"/>
      <c r="K26" s="303"/>
      <c r="L26" s="303"/>
      <c r="M26" s="303"/>
      <c r="N26" s="303"/>
      <c r="O26" s="303"/>
      <c r="P26" s="303">
        <v>-517676</v>
      </c>
      <c r="Q26" s="303"/>
      <c r="R26" s="292"/>
      <c r="S26" s="303"/>
      <c r="T26" s="303"/>
      <c r="U26" s="303"/>
      <c r="V26" s="303"/>
      <c r="W26" s="303"/>
      <c r="X26" s="303">
        <v>-332509</v>
      </c>
      <c r="Y26" s="313"/>
    </row>
    <row r="27" spans="1:28">
      <c r="A27" s="305" t="s">
        <v>700</v>
      </c>
      <c r="B27" s="303"/>
      <c r="C27" s="303"/>
      <c r="D27" s="303"/>
      <c r="E27" s="303"/>
      <c r="F27" s="303"/>
      <c r="G27" s="303"/>
      <c r="H27" s="303"/>
      <c r="I27" s="303"/>
      <c r="J27" s="303"/>
      <c r="K27" s="303"/>
      <c r="L27" s="303"/>
      <c r="M27" s="303"/>
      <c r="N27" s="303"/>
      <c r="O27" s="303"/>
      <c r="P27" s="303">
        <v>-171664</v>
      </c>
      <c r="Q27" s="303"/>
      <c r="R27" s="292"/>
      <c r="S27" s="303"/>
      <c r="T27" s="303"/>
      <c r="U27" s="303"/>
      <c r="V27" s="303"/>
      <c r="W27" s="303"/>
      <c r="X27" s="303">
        <v>-442306</v>
      </c>
      <c r="Y27" s="313"/>
    </row>
    <row r="28" spans="1:28">
      <c r="A28" s="305" t="s">
        <v>701</v>
      </c>
      <c r="B28" s="303"/>
      <c r="C28" s="303"/>
      <c r="D28" s="303"/>
      <c r="E28" s="303"/>
      <c r="F28" s="303"/>
      <c r="G28" s="303"/>
      <c r="H28" s="303"/>
      <c r="I28" s="303"/>
      <c r="J28" s="303"/>
      <c r="K28" s="303"/>
      <c r="L28" s="303"/>
      <c r="M28" s="303"/>
      <c r="N28" s="303"/>
      <c r="O28" s="303"/>
      <c r="P28" s="303">
        <v>-257287</v>
      </c>
      <c r="Q28" s="303"/>
      <c r="R28" s="292"/>
      <c r="S28" s="303"/>
      <c r="T28" s="303"/>
      <c r="U28" s="303"/>
      <c r="V28" s="303"/>
      <c r="W28" s="303"/>
      <c r="X28" s="303">
        <v>277527</v>
      </c>
      <c r="Y28" s="313"/>
    </row>
    <row r="29" spans="1:28" ht="16.5">
      <c r="A29" s="305" t="s">
        <v>702</v>
      </c>
      <c r="B29" s="303"/>
      <c r="C29" s="303"/>
      <c r="D29" s="303"/>
      <c r="E29" s="303"/>
      <c r="F29" s="303"/>
      <c r="G29" s="303"/>
      <c r="H29" s="303"/>
      <c r="I29" s="303"/>
      <c r="J29" s="303"/>
      <c r="K29" s="303"/>
      <c r="L29" s="303"/>
      <c r="M29" s="303"/>
      <c r="N29" s="303"/>
      <c r="O29" s="303"/>
      <c r="P29" s="311">
        <v>-161</v>
      </c>
      <c r="Q29" s="311"/>
      <c r="R29" s="294"/>
      <c r="S29" s="311"/>
      <c r="T29" s="311"/>
      <c r="U29" s="311"/>
      <c r="V29" s="311"/>
      <c r="W29" s="311"/>
      <c r="X29" s="311">
        <f>-'Income Statement Detail'!H10</f>
        <v>-1244</v>
      </c>
      <c r="Y29" s="313"/>
    </row>
    <row r="30" spans="1:28" ht="16.5">
      <c r="A30" s="305"/>
      <c r="B30" s="303"/>
      <c r="C30" s="303"/>
      <c r="D30" s="303"/>
      <c r="E30" s="303"/>
      <c r="F30" s="303"/>
      <c r="G30" s="303"/>
      <c r="H30" s="303"/>
      <c r="I30" s="303"/>
      <c r="J30" s="303"/>
      <c r="K30" s="303"/>
      <c r="L30" s="303"/>
      <c r="M30" s="303"/>
      <c r="N30" s="303"/>
      <c r="O30" s="303"/>
      <c r="P30" s="312">
        <f>SUM(P24:P29)</f>
        <v>-45192619</v>
      </c>
      <c r="Q30" s="312"/>
      <c r="R30" s="292"/>
      <c r="S30" s="303"/>
      <c r="T30" s="303"/>
      <c r="U30" s="303"/>
      <c r="V30" s="303"/>
      <c r="W30" s="303"/>
      <c r="X30" s="312">
        <f>SUM(X24:X29)</f>
        <v>-45912763</v>
      </c>
      <c r="Y30" s="313"/>
    </row>
    <row r="31" spans="1:28" ht="16.5">
      <c r="A31" s="305" t="s">
        <v>703</v>
      </c>
      <c r="B31" s="303"/>
      <c r="C31" s="303"/>
      <c r="D31" s="303"/>
      <c r="E31" s="303"/>
      <c r="F31" s="303"/>
      <c r="G31" s="303"/>
      <c r="H31" s="303"/>
      <c r="I31" s="303"/>
      <c r="J31" s="303"/>
      <c r="K31" s="303"/>
      <c r="L31" s="303"/>
      <c r="M31" s="303"/>
      <c r="N31" s="303"/>
      <c r="O31" s="303"/>
      <c r="P31" s="312">
        <v>-45192620</v>
      </c>
      <c r="Q31" s="312"/>
      <c r="R31" s="292"/>
      <c r="S31" s="303"/>
      <c r="T31" s="303"/>
      <c r="U31" s="303"/>
      <c r="V31" s="303"/>
      <c r="W31" s="303"/>
      <c r="X31" s="312">
        <v>-45912763</v>
      </c>
      <c r="Y31" s="313"/>
    </row>
    <row r="32" spans="1:28">
      <c r="A32" s="299" t="s">
        <v>12</v>
      </c>
      <c r="B32" s="300"/>
      <c r="C32" s="300"/>
      <c r="D32" s="300"/>
      <c r="E32" s="300"/>
      <c r="F32" s="300"/>
      <c r="G32" s="300"/>
      <c r="H32" s="300"/>
      <c r="I32" s="300"/>
      <c r="J32" s="300"/>
      <c r="K32" s="300"/>
      <c r="L32" s="300"/>
      <c r="M32" s="300"/>
      <c r="N32" s="300"/>
      <c r="O32" s="300"/>
      <c r="P32" s="300">
        <f>+P30-P31</f>
        <v>1</v>
      </c>
      <c r="Q32" s="300"/>
      <c r="R32" s="320"/>
      <c r="S32" s="300"/>
      <c r="T32" s="300"/>
      <c r="U32" s="300"/>
      <c r="V32" s="300"/>
      <c r="W32" s="300"/>
      <c r="X32" s="300">
        <f>+X30-X31</f>
        <v>0</v>
      </c>
      <c r="Y32" s="314"/>
    </row>
    <row r="33" spans="1:28" ht="8.25" customHeight="1">
      <c r="A33" s="303"/>
      <c r="B33" s="303"/>
      <c r="C33" s="303"/>
      <c r="D33" s="303"/>
      <c r="E33" s="303"/>
      <c r="F33" s="303"/>
      <c r="G33" s="303"/>
      <c r="H33" s="303"/>
      <c r="I33" s="303"/>
      <c r="J33" s="303"/>
      <c r="K33" s="303"/>
      <c r="L33" s="303"/>
      <c r="M33" s="303"/>
      <c r="N33" s="303"/>
      <c r="O33" s="303"/>
      <c r="P33" s="303"/>
      <c r="Q33" s="303"/>
      <c r="R33" s="292">
        <f t="shared" si="0"/>
        <v>0</v>
      </c>
      <c r="S33" s="303"/>
      <c r="T33" s="303"/>
      <c r="U33" s="303"/>
      <c r="V33" s="303"/>
      <c r="W33" s="303"/>
      <c r="X33" s="303"/>
      <c r="Y33" s="292"/>
    </row>
    <row r="34" spans="1:28">
      <c r="A34" s="287" t="s">
        <v>234</v>
      </c>
      <c r="B34" s="288"/>
      <c r="C34" s="288"/>
      <c r="D34" s="288"/>
      <c r="E34" s="288"/>
      <c r="F34" s="288"/>
      <c r="G34" s="288"/>
      <c r="H34" s="288"/>
      <c r="I34" s="288"/>
      <c r="J34" s="288"/>
      <c r="K34" s="288"/>
      <c r="L34" s="288"/>
      <c r="M34" s="288"/>
      <c r="N34" s="288">
        <f>+N24</f>
        <v>-42952182</v>
      </c>
      <c r="O34" s="288">
        <f t="shared" ref="O34:Y34" si="6">+O24</f>
        <v>-1293649</v>
      </c>
      <c r="P34" s="288">
        <f t="shared" si="6"/>
        <v>-44245831</v>
      </c>
      <c r="Q34" s="288">
        <f t="shared" si="6"/>
        <v>119852</v>
      </c>
      <c r="R34" s="319">
        <f t="shared" si="0"/>
        <v>-44125979</v>
      </c>
      <c r="S34" s="288">
        <f t="shared" si="6"/>
        <v>-1383667.5890552229</v>
      </c>
      <c r="T34" s="288"/>
      <c r="U34" s="288">
        <f t="shared" si="6"/>
        <v>86921.090521182152</v>
      </c>
      <c r="V34" s="288">
        <f t="shared" si="6"/>
        <v>-459042.85642139456</v>
      </c>
      <c r="W34" s="288">
        <f t="shared" si="6"/>
        <v>-45685162.354955442</v>
      </c>
      <c r="X34" s="288">
        <f t="shared" si="6"/>
        <v>-45414231</v>
      </c>
      <c r="Y34" s="289">
        <f t="shared" si="6"/>
        <v>-270931.3549554341</v>
      </c>
    </row>
    <row r="35" spans="1:28" ht="16.5">
      <c r="A35" s="305" t="s">
        <v>704</v>
      </c>
      <c r="B35" s="303"/>
      <c r="C35" s="303"/>
      <c r="D35" s="303"/>
      <c r="E35" s="303"/>
      <c r="F35" s="303"/>
      <c r="G35" s="303"/>
      <c r="H35" s="303"/>
      <c r="I35" s="303"/>
      <c r="J35" s="303"/>
      <c r="K35" s="303"/>
      <c r="L35" s="303"/>
      <c r="M35" s="303"/>
      <c r="N35" s="303"/>
      <c r="O35" s="303"/>
      <c r="P35" s="303"/>
      <c r="Q35" s="303"/>
      <c r="R35" s="292">
        <f t="shared" si="0"/>
        <v>0</v>
      </c>
      <c r="S35" s="303"/>
      <c r="T35" s="303"/>
      <c r="U35" s="303"/>
      <c r="V35" s="303"/>
      <c r="W35" s="311">
        <f>-'Gas Cost'!E30</f>
        <v>-3629138.6430726722</v>
      </c>
      <c r="X35" s="303"/>
      <c r="Y35" s="293"/>
    </row>
    <row r="36" spans="1:28" ht="16.5">
      <c r="A36" s="305"/>
      <c r="B36" s="303"/>
      <c r="C36" s="303"/>
      <c r="D36" s="303"/>
      <c r="E36" s="303"/>
      <c r="F36" s="303"/>
      <c r="G36" s="303"/>
      <c r="H36" s="303"/>
      <c r="I36" s="303"/>
      <c r="J36" s="303"/>
      <c r="K36" s="303"/>
      <c r="L36" s="303"/>
      <c r="M36" s="303"/>
      <c r="N36" s="303"/>
      <c r="O36" s="303"/>
      <c r="P36" s="303"/>
      <c r="Q36" s="303"/>
      <c r="R36" s="292">
        <f t="shared" si="0"/>
        <v>0</v>
      </c>
      <c r="S36" s="303"/>
      <c r="T36" s="303"/>
      <c r="U36" s="303"/>
      <c r="V36" s="303"/>
      <c r="W36" s="312">
        <f>+W34+W35</f>
        <v>-49314300.998028114</v>
      </c>
      <c r="X36" s="303"/>
      <c r="Y36" s="293"/>
      <c r="AA36" s="336">
        <f>+'Prime Group Revenue Calc'!G18</f>
        <v>49314301</v>
      </c>
      <c r="AB36" s="337">
        <f>+AA36+W36</f>
        <v>1.9718855619430542E-3</v>
      </c>
    </row>
    <row r="37" spans="1:28" ht="16.5">
      <c r="A37" s="305" t="s">
        <v>11</v>
      </c>
      <c r="B37" s="303"/>
      <c r="C37" s="303"/>
      <c r="D37" s="303"/>
      <c r="E37" s="303"/>
      <c r="F37" s="303"/>
      <c r="G37" s="303"/>
      <c r="H37" s="303"/>
      <c r="I37" s="303"/>
      <c r="J37" s="303"/>
      <c r="K37" s="303"/>
      <c r="L37" s="303"/>
      <c r="M37" s="303"/>
      <c r="N37" s="303"/>
      <c r="O37" s="303"/>
      <c r="P37" s="303"/>
      <c r="Q37" s="303"/>
      <c r="R37" s="292">
        <f t="shared" si="0"/>
        <v>0</v>
      </c>
      <c r="S37" s="303"/>
      <c r="T37" s="303"/>
      <c r="U37" s="303"/>
      <c r="V37" s="303"/>
      <c r="W37" s="312">
        <f>+'Income Statement Detail'!U17</f>
        <v>-49314301.998028107</v>
      </c>
      <c r="X37" s="303"/>
      <c r="Y37" s="293"/>
    </row>
    <row r="38" spans="1:28">
      <c r="A38" s="299"/>
      <c r="B38" s="300"/>
      <c r="C38" s="300"/>
      <c r="D38" s="300"/>
      <c r="E38" s="300"/>
      <c r="F38" s="300"/>
      <c r="G38" s="300"/>
      <c r="H38" s="300"/>
      <c r="I38" s="300"/>
      <c r="J38" s="300"/>
      <c r="K38" s="300"/>
      <c r="L38" s="300"/>
      <c r="M38" s="300"/>
      <c r="N38" s="300"/>
      <c r="O38" s="300"/>
      <c r="P38" s="300"/>
      <c r="Q38" s="300"/>
      <c r="R38" s="320">
        <f t="shared" si="0"/>
        <v>0</v>
      </c>
      <c r="S38" s="300"/>
      <c r="T38" s="300"/>
      <c r="U38" s="300"/>
      <c r="V38" s="300"/>
      <c r="W38" s="300">
        <f>+W36-W37</f>
        <v>0.9999999925494194</v>
      </c>
      <c r="X38" s="300"/>
      <c r="Y38" s="316"/>
    </row>
    <row r="39" spans="1:28">
      <c r="A39" s="303"/>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292"/>
    </row>
    <row r="40" spans="1:28">
      <c r="A40" s="303"/>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292"/>
    </row>
    <row r="41" spans="1:28">
      <c r="A41" s="303"/>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292"/>
    </row>
  </sheetData>
  <mergeCells count="1">
    <mergeCell ref="N1:O1"/>
  </mergeCells>
  <pageMargins left="0.7" right="0.7" top="0.75" bottom="0.75" header="0.3" footer="0.3"/>
  <pageSetup scale="8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2" workbookViewId="0">
      <selection activeCell="H30" sqref="H30"/>
    </sheetView>
  </sheetViews>
  <sheetFormatPr defaultRowHeight="15"/>
  <cols>
    <col min="1" max="1" width="30.5703125" bestFit="1" customWidth="1"/>
    <col min="2" max="2" width="11.28515625" bestFit="1" customWidth="1"/>
    <col min="3" max="4" width="13.28515625" bestFit="1" customWidth="1"/>
    <col min="5" max="5" width="12" bestFit="1" customWidth="1"/>
    <col min="6" max="6" width="9" bestFit="1" customWidth="1"/>
    <col min="7" max="7" width="13.28515625" bestFit="1" customWidth="1"/>
    <col min="8" max="8" width="12" bestFit="1" customWidth="1"/>
    <col min="10" max="11" width="13.28515625" bestFit="1" customWidth="1"/>
    <col min="12" max="12" width="8.28515625" bestFit="1" customWidth="1"/>
  </cols>
  <sheetData>
    <row r="1" spans="1:12" ht="15.75">
      <c r="A1" s="321" t="s">
        <v>705</v>
      </c>
      <c r="B1" s="322"/>
      <c r="C1" s="322"/>
      <c r="D1" s="322"/>
      <c r="E1" s="322"/>
      <c r="F1" s="322"/>
      <c r="G1" s="322"/>
      <c r="H1" s="322"/>
      <c r="I1" s="322"/>
      <c r="J1" s="322"/>
      <c r="K1" s="322"/>
      <c r="L1" s="322"/>
    </row>
    <row r="2" spans="1:12" ht="15.75">
      <c r="A2" s="322" t="s">
        <v>706</v>
      </c>
      <c r="B2" s="322"/>
      <c r="C2" s="322"/>
      <c r="D2" s="322"/>
      <c r="E2" s="322"/>
      <c r="F2" s="322"/>
      <c r="G2" s="322"/>
      <c r="H2" s="322"/>
      <c r="I2" s="322"/>
      <c r="J2" s="322"/>
      <c r="K2" s="322"/>
      <c r="L2" s="322"/>
    </row>
    <row r="3" spans="1:12" ht="15.75">
      <c r="A3" s="322" t="s">
        <v>707</v>
      </c>
      <c r="B3" s="322"/>
      <c r="C3" s="322"/>
      <c r="D3" s="322"/>
      <c r="E3" s="322"/>
      <c r="F3" s="322"/>
      <c r="G3" s="322"/>
      <c r="H3" s="322"/>
      <c r="I3" s="322"/>
      <c r="J3" s="322"/>
      <c r="K3" s="322"/>
      <c r="L3" s="322"/>
    </row>
    <row r="4" spans="1:12" ht="15.75">
      <c r="A4" s="322"/>
      <c r="B4" s="322"/>
      <c r="C4" s="322"/>
      <c r="D4" s="322"/>
      <c r="E4" s="322"/>
      <c r="F4" s="322"/>
      <c r="G4" s="322"/>
      <c r="H4" s="322"/>
      <c r="I4" s="322"/>
      <c r="J4" s="322"/>
      <c r="K4" s="322"/>
      <c r="L4" s="322"/>
    </row>
    <row r="5" spans="1:12" ht="63">
      <c r="A5" s="323" t="s">
        <v>708</v>
      </c>
      <c r="B5" s="324" t="s">
        <v>709</v>
      </c>
      <c r="C5" s="324" t="s">
        <v>710</v>
      </c>
      <c r="D5" s="324" t="s">
        <v>711</v>
      </c>
      <c r="E5" s="324" t="s">
        <v>12</v>
      </c>
      <c r="F5" s="324" t="s">
        <v>712</v>
      </c>
      <c r="G5" s="324" t="s">
        <v>713</v>
      </c>
      <c r="H5" s="324" t="s">
        <v>12</v>
      </c>
      <c r="I5" s="324" t="s">
        <v>712</v>
      </c>
      <c r="J5" s="324" t="s">
        <v>714</v>
      </c>
      <c r="K5" s="324" t="s">
        <v>376</v>
      </c>
      <c r="L5" s="324" t="s">
        <v>715</v>
      </c>
    </row>
    <row r="6" spans="1:12" ht="15.75">
      <c r="A6" s="322"/>
      <c r="B6" s="322"/>
      <c r="C6" s="322"/>
      <c r="D6" s="322"/>
      <c r="E6" s="322"/>
      <c r="F6" s="322"/>
      <c r="G6" s="322"/>
      <c r="H6" s="322"/>
      <c r="I6" s="322"/>
      <c r="J6" s="322"/>
      <c r="K6" s="322"/>
      <c r="L6" s="322"/>
    </row>
    <row r="7" spans="1:12" ht="15.75">
      <c r="A7" s="322" t="s">
        <v>240</v>
      </c>
      <c r="B7" s="325">
        <v>1421867</v>
      </c>
      <c r="C7" s="327">
        <v>21246903</v>
      </c>
      <c r="D7" s="328">
        <v>21258792</v>
      </c>
      <c r="E7" s="328">
        <v>11889</v>
      </c>
      <c r="F7" s="329">
        <v>5.9999999999999995E-4</v>
      </c>
      <c r="G7" s="328">
        <v>22750635</v>
      </c>
      <c r="H7" s="328">
        <v>1503732</v>
      </c>
      <c r="I7" s="329">
        <v>7.0699999999999999E-2</v>
      </c>
      <c r="J7" s="328">
        <v>27552661</v>
      </c>
      <c r="K7" s="328">
        <v>4802026</v>
      </c>
      <c r="L7" s="329">
        <v>0.21099999999999999</v>
      </c>
    </row>
    <row r="8" spans="1:12" ht="15.75">
      <c r="A8" s="322" t="s">
        <v>716</v>
      </c>
      <c r="B8" s="325">
        <v>512243</v>
      </c>
      <c r="C8" s="327">
        <v>6319552</v>
      </c>
      <c r="D8" s="328">
        <v>6345870</v>
      </c>
      <c r="E8" s="328">
        <v>26318</v>
      </c>
      <c r="F8" s="329">
        <v>4.1999999999999997E-3</v>
      </c>
      <c r="G8" s="328">
        <v>6972076</v>
      </c>
      <c r="H8" s="328">
        <v>652524</v>
      </c>
      <c r="I8" s="329">
        <v>0.1028</v>
      </c>
      <c r="J8" s="328">
        <v>8326327</v>
      </c>
      <c r="K8" s="328">
        <v>1354251</v>
      </c>
      <c r="L8" s="329">
        <v>0.19400000000000001</v>
      </c>
    </row>
    <row r="9" spans="1:12" ht="15.75">
      <c r="A9" s="322" t="s">
        <v>717</v>
      </c>
      <c r="B9" s="325">
        <v>2248749</v>
      </c>
      <c r="C9" s="327">
        <v>9946240</v>
      </c>
      <c r="D9" s="328">
        <v>10620552</v>
      </c>
      <c r="E9" s="328">
        <v>674312</v>
      </c>
      <c r="F9" s="329">
        <v>6.7799999999999999E-2</v>
      </c>
      <c r="G9" s="328">
        <v>11586771</v>
      </c>
      <c r="H9" s="328">
        <v>1640531</v>
      </c>
      <c r="I9" s="329">
        <v>0.1545</v>
      </c>
      <c r="J9" s="328">
        <v>13971321</v>
      </c>
      <c r="K9" s="328">
        <v>2384550</v>
      </c>
      <c r="L9" s="329">
        <v>0.20599999999999999</v>
      </c>
    </row>
    <row r="10" spans="1:12" ht="15.75">
      <c r="A10" s="322" t="s">
        <v>244</v>
      </c>
      <c r="B10" s="325">
        <v>1066617</v>
      </c>
      <c r="C10" s="327">
        <v>1141645</v>
      </c>
      <c r="D10" s="328">
        <v>1609049</v>
      </c>
      <c r="E10" s="328">
        <v>467405</v>
      </c>
      <c r="F10" s="329">
        <v>0.40939999999999999</v>
      </c>
      <c r="G10" s="328">
        <v>2114045</v>
      </c>
      <c r="H10" s="328">
        <v>972400</v>
      </c>
      <c r="I10" s="329">
        <v>0.60429999999999995</v>
      </c>
      <c r="J10" s="328">
        <v>2114021</v>
      </c>
      <c r="K10" s="328">
        <v>-24</v>
      </c>
      <c r="L10" s="329">
        <v>0</v>
      </c>
    </row>
    <row r="11" spans="1:12" ht="15.75">
      <c r="A11" s="322" t="s">
        <v>718</v>
      </c>
      <c r="B11" s="325">
        <v>2282421</v>
      </c>
      <c r="C11" s="327">
        <v>354922</v>
      </c>
      <c r="D11" s="328">
        <v>354922</v>
      </c>
      <c r="E11" s="328">
        <v>0</v>
      </c>
      <c r="F11" s="329">
        <v>0</v>
      </c>
      <c r="G11" s="328">
        <v>354922</v>
      </c>
      <c r="H11" s="322" t="s">
        <v>719</v>
      </c>
      <c r="I11" s="329">
        <v>0</v>
      </c>
      <c r="J11" s="328">
        <v>472633</v>
      </c>
      <c r="K11" s="328">
        <v>117711</v>
      </c>
      <c r="L11" s="329">
        <v>0.33200000000000002</v>
      </c>
    </row>
    <row r="12" spans="1:12" ht="15.75">
      <c r="A12" s="322" t="s">
        <v>245</v>
      </c>
      <c r="B12" s="325">
        <v>192919</v>
      </c>
      <c r="C12" s="327">
        <v>1287113</v>
      </c>
      <c r="D12" s="328">
        <v>1288922</v>
      </c>
      <c r="E12" s="328">
        <v>1809</v>
      </c>
      <c r="F12" s="329">
        <v>1.4E-3</v>
      </c>
      <c r="G12" s="328">
        <v>2753709</v>
      </c>
      <c r="H12" s="328">
        <v>1466596</v>
      </c>
      <c r="I12" s="329">
        <v>1.1377999999999999</v>
      </c>
      <c r="J12" s="328">
        <v>2816713</v>
      </c>
      <c r="K12" s="328">
        <v>63004</v>
      </c>
      <c r="L12" s="329">
        <v>2.3E-2</v>
      </c>
    </row>
    <row r="13" spans="1:12" ht="15.75">
      <c r="A13" s="322" t="s">
        <v>720</v>
      </c>
      <c r="B13" s="325">
        <v>9553161</v>
      </c>
      <c r="C13" s="327">
        <v>2699723</v>
      </c>
      <c r="D13" s="328">
        <v>2699723</v>
      </c>
      <c r="E13" s="322" t="s">
        <v>719</v>
      </c>
      <c r="F13" s="329">
        <v>0</v>
      </c>
      <c r="G13" s="328">
        <v>2699723</v>
      </c>
      <c r="H13" s="322" t="s">
        <v>719</v>
      </c>
      <c r="I13" s="329">
        <v>0</v>
      </c>
      <c r="J13" s="330">
        <v>3113375</v>
      </c>
      <c r="K13" s="330">
        <v>413652</v>
      </c>
      <c r="L13" s="331">
        <v>0.153</v>
      </c>
    </row>
    <row r="14" spans="1:12" ht="16.5" thickBot="1">
      <c r="A14" s="322"/>
      <c r="B14" s="332">
        <v>17277977</v>
      </c>
      <c r="C14" s="333">
        <v>42996098</v>
      </c>
      <c r="D14" s="333">
        <v>44177831</v>
      </c>
      <c r="E14" s="333">
        <v>1181733</v>
      </c>
      <c r="F14" s="334">
        <v>2.75E-2</v>
      </c>
      <c r="G14" s="333">
        <v>49231881</v>
      </c>
      <c r="H14" s="333">
        <v>6235783</v>
      </c>
      <c r="I14" s="334">
        <v>0.14119999999999999</v>
      </c>
      <c r="J14" s="333">
        <v>58367050</v>
      </c>
      <c r="K14" s="335">
        <v>9135170</v>
      </c>
      <c r="L14" s="334">
        <v>0.186</v>
      </c>
    </row>
    <row r="15" spans="1:12" ht="15.75" thickTop="1">
      <c r="A15" s="179"/>
      <c r="B15" s="179"/>
      <c r="C15" s="179"/>
      <c r="D15" s="179"/>
      <c r="E15" s="179"/>
      <c r="F15" s="179"/>
      <c r="G15" s="179"/>
      <c r="H15" s="179"/>
      <c r="I15" s="179"/>
      <c r="J15" s="179"/>
      <c r="K15" s="179"/>
      <c r="L15" s="179"/>
    </row>
    <row r="16" spans="1:12" ht="15.75">
      <c r="A16" s="179"/>
      <c r="B16" s="179" t="s">
        <v>232</v>
      </c>
      <c r="C16" s="179"/>
      <c r="D16" s="179"/>
      <c r="E16" s="179"/>
      <c r="F16" s="179"/>
      <c r="G16" s="338">
        <v>82420</v>
      </c>
      <c r="H16" s="179"/>
      <c r="I16" s="179"/>
      <c r="J16" s="338">
        <v>82420</v>
      </c>
      <c r="K16" s="179"/>
      <c r="L16" s="179"/>
    </row>
    <row r="18" spans="2:11">
      <c r="B18" s="179"/>
      <c r="C18" s="179"/>
      <c r="D18" s="179"/>
      <c r="E18" s="179"/>
      <c r="F18" s="179"/>
      <c r="G18" s="326">
        <f>+G16+G14</f>
        <v>49314301</v>
      </c>
      <c r="H18" s="179"/>
      <c r="I18" s="179"/>
      <c r="J18" s="326">
        <f>+J16+J14</f>
        <v>58449470</v>
      </c>
      <c r="K18" s="179"/>
    </row>
    <row r="20" spans="2:11" s="180" customFormat="1">
      <c r="B20" s="180" t="s">
        <v>721</v>
      </c>
      <c r="G20" s="180">
        <v>49510907</v>
      </c>
      <c r="J20" s="180">
        <v>58647115</v>
      </c>
      <c r="K20" s="180">
        <v>9136208</v>
      </c>
    </row>
    <row r="22" spans="2:11">
      <c r="B22" s="179" t="s">
        <v>0</v>
      </c>
      <c r="C22" s="179"/>
      <c r="D22" s="179"/>
      <c r="E22" s="179"/>
      <c r="F22" s="179"/>
      <c r="G22" s="183">
        <f>+G18-G20</f>
        <v>-196606</v>
      </c>
      <c r="H22" s="179"/>
      <c r="I22" s="179"/>
      <c r="J22" s="183">
        <f>+J18-J20</f>
        <v>-197645</v>
      </c>
      <c r="K22" s="183">
        <f>+K14-K20</f>
        <v>-1038</v>
      </c>
    </row>
  </sheetData>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4"/>
  <sheetViews>
    <sheetView workbookViewId="0">
      <selection activeCell="H20" sqref="H20"/>
    </sheetView>
  </sheetViews>
  <sheetFormatPr defaultColWidth="9.140625" defaultRowHeight="15"/>
  <cols>
    <col min="1" max="1" width="9.140625" style="189"/>
    <col min="2" max="2" width="17.140625" style="189" customWidth="1"/>
    <col min="3" max="3" width="51.5703125" style="180" customWidth="1"/>
    <col min="4" max="4" width="2.140625" style="189" customWidth="1"/>
    <col min="5" max="5" width="14.28515625" style="180" bestFit="1" customWidth="1"/>
    <col min="6" max="6" width="9.140625" style="189"/>
    <col min="7" max="7" width="9" style="180" bestFit="1" customWidth="1"/>
    <col min="8" max="8" width="9.140625" style="189"/>
    <col min="9" max="9" width="15.28515625" style="189" bestFit="1" customWidth="1"/>
    <col min="10" max="16384" width="9.140625" style="189"/>
  </cols>
  <sheetData>
    <row r="2" spans="1:7">
      <c r="A2" s="423"/>
      <c r="B2" s="423"/>
      <c r="C2" s="282"/>
      <c r="D2" s="423"/>
      <c r="E2" s="282" t="s">
        <v>236</v>
      </c>
      <c r="F2" s="423"/>
      <c r="G2" s="282"/>
    </row>
    <row r="3" spans="1:7">
      <c r="A3" s="424"/>
      <c r="B3" s="425">
        <v>9753000</v>
      </c>
      <c r="C3" s="425" t="s">
        <v>64</v>
      </c>
      <c r="D3" s="424"/>
      <c r="E3" s="282">
        <f>+'Income Statement Detail'!U22</f>
        <v>52345.477327328277</v>
      </c>
      <c r="F3" s="423"/>
      <c r="G3" s="282"/>
    </row>
    <row r="4" spans="1:7">
      <c r="A4" s="424"/>
      <c r="B4" s="425">
        <v>9754000</v>
      </c>
      <c r="C4" s="425" t="s">
        <v>66</v>
      </c>
      <c r="D4" s="424"/>
      <c r="E4" s="282">
        <f>+'Income Statement Detail'!U23</f>
        <v>129512</v>
      </c>
      <c r="F4" s="423"/>
      <c r="G4" s="282"/>
    </row>
    <row r="5" spans="1:7">
      <c r="A5" s="424"/>
      <c r="B5" s="425">
        <v>9803000</v>
      </c>
      <c r="C5" s="425" t="s">
        <v>69</v>
      </c>
      <c r="D5" s="424"/>
      <c r="E5" s="282">
        <f>+'Income Statement Detail'!D26</f>
        <v>11955982</v>
      </c>
      <c r="F5" s="423"/>
      <c r="G5" s="282"/>
    </row>
    <row r="6" spans="1:7">
      <c r="A6" s="424"/>
      <c r="B6" s="425">
        <v>9805100</v>
      </c>
      <c r="C6" s="425" t="s">
        <v>71</v>
      </c>
      <c r="D6" s="424"/>
      <c r="E6" s="282">
        <f>+'Income Statement Detail'!U27</f>
        <v>369965</v>
      </c>
      <c r="F6" s="423"/>
      <c r="G6" s="282"/>
    </row>
    <row r="7" spans="1:7">
      <c r="A7" s="424"/>
      <c r="B7" s="425">
        <v>9813000</v>
      </c>
      <c r="C7" s="425" t="s">
        <v>72</v>
      </c>
      <c r="D7" s="424"/>
      <c r="E7" s="282">
        <f>+'Income Statement Detail'!U28</f>
        <v>1064</v>
      </c>
      <c r="F7" s="423"/>
      <c r="G7" s="282"/>
    </row>
    <row r="8" spans="1:7">
      <c r="A8" s="423"/>
      <c r="B8" s="423"/>
      <c r="C8" s="282"/>
      <c r="D8" s="423"/>
      <c r="E8" s="282"/>
      <c r="F8" s="423"/>
      <c r="G8" s="282"/>
    </row>
    <row r="9" spans="1:7" ht="17.25">
      <c r="A9" s="423" t="s">
        <v>237</v>
      </c>
      <c r="B9" s="423"/>
      <c r="C9" s="282"/>
      <c r="D9" s="423"/>
      <c r="E9" s="426">
        <f>+'Income Statement Detail'!E26</f>
        <v>-316124</v>
      </c>
      <c r="F9" s="423"/>
      <c r="G9" s="282"/>
    </row>
    <row r="10" spans="1:7">
      <c r="A10" s="423" t="s">
        <v>238</v>
      </c>
      <c r="B10" s="423"/>
      <c r="C10" s="282"/>
      <c r="D10" s="423"/>
      <c r="E10" s="282">
        <f>SUM(E3:E9)</f>
        <v>12192744.477327328</v>
      </c>
      <c r="F10" s="423"/>
      <c r="G10" s="282"/>
    </row>
    <row r="11" spans="1:7">
      <c r="A11" s="423"/>
      <c r="B11" s="423"/>
      <c r="C11" s="282"/>
      <c r="D11" s="423"/>
      <c r="E11" s="282"/>
      <c r="F11" s="423"/>
      <c r="G11" s="282"/>
    </row>
    <row r="12" spans="1:7">
      <c r="A12" s="189" t="s">
        <v>239</v>
      </c>
    </row>
    <row r="14" spans="1:7">
      <c r="B14" s="189" t="s">
        <v>240</v>
      </c>
      <c r="C14" s="180">
        <v>1401423</v>
      </c>
    </row>
    <row r="15" spans="1:7">
      <c r="B15" s="189" t="s">
        <v>241</v>
      </c>
      <c r="C15" s="180">
        <v>-16246</v>
      </c>
    </row>
    <row r="16" spans="1:7">
      <c r="B16" s="189" t="s">
        <v>242</v>
      </c>
      <c r="C16" s="180">
        <v>493224</v>
      </c>
    </row>
    <row r="17" spans="2:5">
      <c r="B17" s="189" t="s">
        <v>241</v>
      </c>
      <c r="C17" s="180">
        <v>-3882</v>
      </c>
    </row>
    <row r="18" spans="2:5">
      <c r="B18" s="189" t="s">
        <v>243</v>
      </c>
      <c r="C18" s="180">
        <f>538720+156859+35678+5387</f>
        <v>736644</v>
      </c>
    </row>
    <row r="19" spans="2:5">
      <c r="B19" s="189" t="s">
        <v>244</v>
      </c>
      <c r="C19" s="180">
        <f>20155+5782</f>
        <v>25937</v>
      </c>
    </row>
    <row r="20" spans="2:5" ht="17.25">
      <c r="B20" s="189" t="s">
        <v>245</v>
      </c>
      <c r="C20" s="4">
        <v>212047</v>
      </c>
    </row>
    <row r="21" spans="2:5">
      <c r="C21" s="180">
        <f>SUM(C14:C20)</f>
        <v>2849147</v>
      </c>
    </row>
    <row r="22" spans="2:5" ht="17.25">
      <c r="B22" s="189" t="s">
        <v>246</v>
      </c>
      <c r="C22" s="285">
        <v>5.5532000000000004</v>
      </c>
    </row>
    <row r="24" spans="2:5" ht="17.25">
      <c r="B24" s="189" t="s">
        <v>247</v>
      </c>
      <c r="E24" s="4">
        <f>+C22*C21</f>
        <v>15821883.1204</v>
      </c>
    </row>
    <row r="26" spans="2:5" ht="17.25">
      <c r="B26" s="189" t="s">
        <v>248</v>
      </c>
      <c r="E26" s="13">
        <f>+E24-E10</f>
        <v>3629138.6430726722</v>
      </c>
    </row>
    <row r="28" spans="2:5">
      <c r="B28" s="189" t="s">
        <v>249</v>
      </c>
      <c r="C28" s="286">
        <f>+(C20+C14)/C21</f>
        <v>0.56629931695346014</v>
      </c>
      <c r="E28" s="180">
        <f>+E26*C28</f>
        <v>2055178.7347014614</v>
      </c>
    </row>
    <row r="29" spans="2:5" ht="17.25">
      <c r="B29" s="189" t="s">
        <v>250</v>
      </c>
      <c r="C29" s="286">
        <f>1-C28</f>
        <v>0.43370068304653986</v>
      </c>
      <c r="E29" s="4">
        <f>+E26*C29</f>
        <v>1573959.9083712108</v>
      </c>
    </row>
    <row r="30" spans="2:5" ht="17.25">
      <c r="E30" s="13">
        <f>SUM(E28:E29)</f>
        <v>3629138.6430726722</v>
      </c>
    </row>
    <row r="31" spans="2:5" ht="17.25">
      <c r="E31" s="13"/>
    </row>
    <row r="37" spans="1:5">
      <c r="A37" s="189" t="s">
        <v>722</v>
      </c>
    </row>
    <row r="38" spans="1:5">
      <c r="B38" s="189" t="s">
        <v>723</v>
      </c>
      <c r="E38" s="8">
        <v>2676359</v>
      </c>
    </row>
    <row r="39" spans="1:5" ht="17.25">
      <c r="B39" s="189" t="s">
        <v>207</v>
      </c>
      <c r="E39" s="4">
        <v>192919</v>
      </c>
    </row>
    <row r="40" spans="1:5">
      <c r="E40" s="180">
        <f>+E38+E39</f>
        <v>2869278</v>
      </c>
    </row>
    <row r="41" spans="1:5" ht="17.25">
      <c r="A41" s="189" t="s">
        <v>724</v>
      </c>
      <c r="E41" s="4">
        <f>+C15+C17</f>
        <v>-20128</v>
      </c>
    </row>
    <row r="42" spans="1:5">
      <c r="E42" s="8">
        <f>+E40+E41</f>
        <v>2849150</v>
      </c>
    </row>
    <row r="43" spans="1:5" ht="17.25">
      <c r="A43" s="189" t="s">
        <v>725</v>
      </c>
      <c r="E43" s="4">
        <f>+C21</f>
        <v>2849147</v>
      </c>
    </row>
    <row r="44" spans="1:5" ht="17.25">
      <c r="E44" s="13">
        <f>+E42-E43</f>
        <v>3</v>
      </c>
    </row>
  </sheetData>
  <pageMargins left="0.7" right="0.7" top="0.75" bottom="0.75" header="0.3" footer="0.3"/>
  <pageSetup scale="9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U28"/>
  <sheetViews>
    <sheetView workbookViewId="0">
      <selection activeCell="E25" sqref="E25"/>
    </sheetView>
  </sheetViews>
  <sheetFormatPr defaultColWidth="9.140625" defaultRowHeight="15"/>
  <cols>
    <col min="1" max="1" width="8" style="57" bestFit="1" customWidth="1"/>
    <col min="2" max="2" width="14" style="57" bestFit="1" customWidth="1"/>
    <col min="3" max="3" width="13" style="57" bestFit="1" customWidth="1"/>
    <col min="4" max="4" width="12" style="57" bestFit="1" customWidth="1"/>
    <col min="5" max="5" width="9" style="57" bestFit="1" customWidth="1"/>
    <col min="6" max="6" width="17" style="57" bestFit="1" customWidth="1"/>
    <col min="7" max="8" width="10" style="57" bestFit="1" customWidth="1"/>
    <col min="9" max="9" width="14" style="57" bestFit="1" customWidth="1"/>
    <col min="10" max="10" width="13" style="57" bestFit="1" customWidth="1"/>
    <col min="11" max="11" width="11" style="57" bestFit="1" customWidth="1"/>
    <col min="12" max="12" width="10.28515625" style="63" bestFit="1" customWidth="1"/>
    <col min="13" max="13" width="16" style="57" bestFit="1" customWidth="1"/>
    <col min="14" max="14" width="6" style="57" bestFit="1" customWidth="1"/>
    <col min="15" max="15" width="26" style="57" bestFit="1" customWidth="1"/>
    <col min="16" max="16" width="8" style="57" bestFit="1" customWidth="1"/>
    <col min="17" max="17" width="20" style="57" bestFit="1" customWidth="1"/>
    <col min="18" max="18" width="11" style="57" bestFit="1" customWidth="1"/>
    <col min="19" max="19" width="6" style="57" bestFit="1" customWidth="1"/>
    <col min="20" max="20" width="13" style="57" bestFit="1" customWidth="1"/>
    <col min="21" max="21" width="14" style="57" bestFit="1" customWidth="1"/>
    <col min="22" max="16384" width="9.140625" style="57"/>
  </cols>
  <sheetData>
    <row r="1" spans="1:21" ht="60">
      <c r="A1" s="54" t="s">
        <v>726</v>
      </c>
      <c r="B1" s="54" t="s">
        <v>394</v>
      </c>
      <c r="C1" s="54" t="s">
        <v>727</v>
      </c>
      <c r="D1" s="54" t="s">
        <v>728</v>
      </c>
      <c r="E1" s="55" t="s">
        <v>729</v>
      </c>
      <c r="F1" s="54" t="s">
        <v>730</v>
      </c>
      <c r="G1" s="55" t="s">
        <v>731</v>
      </c>
      <c r="H1" s="55" t="s">
        <v>732</v>
      </c>
      <c r="I1" s="54" t="s">
        <v>733</v>
      </c>
      <c r="J1" s="54" t="s">
        <v>734</v>
      </c>
      <c r="K1" s="54" t="s">
        <v>735</v>
      </c>
      <c r="L1" s="56" t="s">
        <v>736</v>
      </c>
      <c r="M1" s="55" t="s">
        <v>737</v>
      </c>
      <c r="N1" s="54" t="s">
        <v>738</v>
      </c>
      <c r="O1" s="54" t="s">
        <v>739</v>
      </c>
      <c r="P1" s="54" t="s">
        <v>740</v>
      </c>
      <c r="Q1" s="54" t="s">
        <v>741</v>
      </c>
      <c r="R1" s="54" t="s">
        <v>742</v>
      </c>
      <c r="S1" s="54" t="s">
        <v>743</v>
      </c>
      <c r="T1" s="54" t="s">
        <v>744</v>
      </c>
      <c r="U1" s="55" t="s">
        <v>745</v>
      </c>
    </row>
    <row r="2" spans="1:21">
      <c r="A2" s="58" t="s">
        <v>746</v>
      </c>
      <c r="B2" s="58" t="s">
        <v>746</v>
      </c>
      <c r="C2" s="58" t="s">
        <v>746</v>
      </c>
      <c r="D2" s="58" t="s">
        <v>746</v>
      </c>
      <c r="E2" s="58" t="s">
        <v>746</v>
      </c>
      <c r="F2" s="58" t="s">
        <v>746</v>
      </c>
      <c r="G2" s="58" t="s">
        <v>746</v>
      </c>
      <c r="H2" s="58" t="s">
        <v>746</v>
      </c>
      <c r="I2" s="59"/>
      <c r="J2" s="58" t="s">
        <v>746</v>
      </c>
      <c r="K2" s="58" t="s">
        <v>746</v>
      </c>
      <c r="L2" s="60">
        <v>7350</v>
      </c>
      <c r="M2" s="58" t="s">
        <v>747</v>
      </c>
      <c r="N2" s="58" t="s">
        <v>746</v>
      </c>
      <c r="O2" s="58" t="s">
        <v>746</v>
      </c>
      <c r="P2" s="58" t="s">
        <v>746</v>
      </c>
      <c r="Q2" s="58" t="s">
        <v>746</v>
      </c>
      <c r="R2" s="58" t="s">
        <v>746</v>
      </c>
      <c r="S2" s="58" t="s">
        <v>746</v>
      </c>
      <c r="T2" s="58" t="s">
        <v>746</v>
      </c>
      <c r="U2" s="58" t="s">
        <v>746</v>
      </c>
    </row>
    <row r="3" spans="1:21">
      <c r="A3" s="57" t="s">
        <v>748</v>
      </c>
      <c r="B3" s="57" t="s">
        <v>749</v>
      </c>
      <c r="C3" s="57" t="s">
        <v>750</v>
      </c>
      <c r="D3" s="57" t="s">
        <v>751</v>
      </c>
      <c r="E3" s="57" t="s">
        <v>752</v>
      </c>
      <c r="F3" s="57" t="s">
        <v>753</v>
      </c>
      <c r="G3" s="57" t="s">
        <v>754</v>
      </c>
      <c r="H3" s="57" t="s">
        <v>755</v>
      </c>
      <c r="I3" s="61">
        <v>44105</v>
      </c>
      <c r="J3" s="57" t="s">
        <v>756</v>
      </c>
      <c r="K3" s="57" t="s">
        <v>757</v>
      </c>
      <c r="L3" s="62">
        <v>700</v>
      </c>
      <c r="M3" s="57" t="s">
        <v>747</v>
      </c>
      <c r="N3" s="57" t="s">
        <v>758</v>
      </c>
      <c r="O3" s="57" t="s">
        <v>759</v>
      </c>
      <c r="P3" s="57" t="s">
        <v>746</v>
      </c>
      <c r="Q3" s="57" t="s">
        <v>760</v>
      </c>
      <c r="R3" s="57" t="s">
        <v>752</v>
      </c>
      <c r="S3" s="57" t="s">
        <v>746</v>
      </c>
      <c r="T3" s="57" t="s">
        <v>761</v>
      </c>
      <c r="U3" s="57" t="s">
        <v>762</v>
      </c>
    </row>
    <row r="4" spans="1:21">
      <c r="A4" s="57" t="s">
        <v>748</v>
      </c>
      <c r="B4" s="57" t="s">
        <v>749</v>
      </c>
      <c r="C4" s="57" t="s">
        <v>750</v>
      </c>
      <c r="D4" s="57" t="s">
        <v>763</v>
      </c>
      <c r="E4" s="57" t="s">
        <v>764</v>
      </c>
      <c r="F4" s="57" t="s">
        <v>765</v>
      </c>
      <c r="G4" s="57" t="s">
        <v>754</v>
      </c>
      <c r="H4" s="57" t="s">
        <v>766</v>
      </c>
      <c r="I4" s="61">
        <v>44136</v>
      </c>
      <c r="J4" s="57" t="s">
        <v>756</v>
      </c>
      <c r="K4" s="57" t="s">
        <v>757</v>
      </c>
      <c r="L4" s="62">
        <v>700</v>
      </c>
      <c r="M4" s="57" t="s">
        <v>747</v>
      </c>
      <c r="N4" s="57" t="s">
        <v>758</v>
      </c>
      <c r="O4" s="57" t="s">
        <v>759</v>
      </c>
      <c r="P4" s="57" t="s">
        <v>746</v>
      </c>
      <c r="Q4" s="57" t="s">
        <v>760</v>
      </c>
      <c r="R4" s="57" t="s">
        <v>764</v>
      </c>
      <c r="S4" s="57" t="s">
        <v>746</v>
      </c>
      <c r="T4" s="57" t="s">
        <v>761</v>
      </c>
      <c r="U4" s="57" t="s">
        <v>762</v>
      </c>
    </row>
    <row r="5" spans="1:21">
      <c r="A5" s="57" t="s">
        <v>748</v>
      </c>
      <c r="B5" s="57" t="s">
        <v>749</v>
      </c>
      <c r="C5" s="57" t="s">
        <v>750</v>
      </c>
      <c r="D5" s="57" t="s">
        <v>767</v>
      </c>
      <c r="E5" s="57" t="s">
        <v>768</v>
      </c>
      <c r="F5" s="57" t="s">
        <v>769</v>
      </c>
      <c r="G5" s="57" t="s">
        <v>754</v>
      </c>
      <c r="H5" s="57" t="s">
        <v>770</v>
      </c>
      <c r="I5" s="61">
        <v>44166</v>
      </c>
      <c r="J5" s="57" t="s">
        <v>756</v>
      </c>
      <c r="K5" s="57" t="s">
        <v>757</v>
      </c>
      <c r="L5" s="62">
        <v>700</v>
      </c>
      <c r="M5" s="57" t="s">
        <v>747</v>
      </c>
      <c r="N5" s="57" t="s">
        <v>758</v>
      </c>
      <c r="O5" s="57" t="s">
        <v>759</v>
      </c>
      <c r="P5" s="57" t="s">
        <v>746</v>
      </c>
      <c r="Q5" s="57" t="s">
        <v>760</v>
      </c>
      <c r="R5" s="57" t="s">
        <v>768</v>
      </c>
      <c r="S5" s="57" t="s">
        <v>746</v>
      </c>
      <c r="T5" s="57" t="s">
        <v>761</v>
      </c>
      <c r="U5" s="57" t="s">
        <v>762</v>
      </c>
    </row>
    <row r="6" spans="1:21">
      <c r="A6" s="57" t="s">
        <v>748</v>
      </c>
      <c r="B6" s="57" t="s">
        <v>749</v>
      </c>
      <c r="C6" s="57" t="s">
        <v>750</v>
      </c>
      <c r="D6" s="57" t="s">
        <v>771</v>
      </c>
      <c r="E6" s="57" t="s">
        <v>772</v>
      </c>
      <c r="F6" s="57" t="s">
        <v>773</v>
      </c>
      <c r="G6" s="57" t="s">
        <v>754</v>
      </c>
      <c r="H6" s="57" t="s">
        <v>774</v>
      </c>
      <c r="I6" s="61">
        <v>44197</v>
      </c>
      <c r="J6" s="57" t="s">
        <v>756</v>
      </c>
      <c r="K6" s="57" t="s">
        <v>757</v>
      </c>
      <c r="L6" s="62">
        <v>700</v>
      </c>
      <c r="M6" s="57" t="s">
        <v>747</v>
      </c>
      <c r="N6" s="57" t="s">
        <v>758</v>
      </c>
      <c r="O6" s="57" t="s">
        <v>759</v>
      </c>
      <c r="P6" s="57" t="s">
        <v>746</v>
      </c>
      <c r="Q6" s="57" t="s">
        <v>760</v>
      </c>
      <c r="R6" s="57" t="s">
        <v>772</v>
      </c>
      <c r="S6" s="57" t="s">
        <v>746</v>
      </c>
      <c r="T6" s="57" t="s">
        <v>761</v>
      </c>
      <c r="U6" s="57" t="s">
        <v>762</v>
      </c>
    </row>
    <row r="7" spans="1:21">
      <c r="A7" s="57" t="s">
        <v>748</v>
      </c>
      <c r="B7" s="57" t="s">
        <v>749</v>
      </c>
      <c r="C7" s="57" t="s">
        <v>750</v>
      </c>
      <c r="D7" s="57" t="s">
        <v>775</v>
      </c>
      <c r="E7" s="57" t="s">
        <v>776</v>
      </c>
      <c r="F7" s="57" t="s">
        <v>777</v>
      </c>
      <c r="G7" s="57" t="s">
        <v>754</v>
      </c>
      <c r="H7" s="57" t="s">
        <v>778</v>
      </c>
      <c r="I7" s="61">
        <v>44228</v>
      </c>
      <c r="J7" s="57" t="s">
        <v>756</v>
      </c>
      <c r="K7" s="57" t="s">
        <v>757</v>
      </c>
      <c r="L7" s="62">
        <v>700</v>
      </c>
      <c r="M7" s="57" t="s">
        <v>747</v>
      </c>
      <c r="N7" s="57" t="s">
        <v>758</v>
      </c>
      <c r="O7" s="57" t="s">
        <v>759</v>
      </c>
      <c r="P7" s="57" t="s">
        <v>746</v>
      </c>
      <c r="Q7" s="57" t="s">
        <v>760</v>
      </c>
      <c r="R7" s="57" t="s">
        <v>776</v>
      </c>
      <c r="S7" s="57" t="s">
        <v>746</v>
      </c>
      <c r="T7" s="57" t="s">
        <v>761</v>
      </c>
      <c r="U7" s="57" t="s">
        <v>762</v>
      </c>
    </row>
    <row r="8" spans="1:21">
      <c r="A8" s="57" t="s">
        <v>748</v>
      </c>
      <c r="B8" s="57" t="s">
        <v>749</v>
      </c>
      <c r="C8" s="57" t="s">
        <v>750</v>
      </c>
      <c r="D8" s="57" t="s">
        <v>779</v>
      </c>
      <c r="E8" s="57" t="s">
        <v>780</v>
      </c>
      <c r="F8" s="57" t="s">
        <v>781</v>
      </c>
      <c r="G8" s="57" t="s">
        <v>754</v>
      </c>
      <c r="H8" s="57" t="s">
        <v>782</v>
      </c>
      <c r="I8" s="61">
        <v>43922</v>
      </c>
      <c r="J8" s="57" t="s">
        <v>756</v>
      </c>
      <c r="K8" s="57" t="s">
        <v>757</v>
      </c>
      <c r="L8" s="62">
        <v>525</v>
      </c>
      <c r="M8" s="57" t="s">
        <v>747</v>
      </c>
      <c r="N8" s="57" t="s">
        <v>758</v>
      </c>
      <c r="O8" s="57" t="s">
        <v>759</v>
      </c>
      <c r="P8" s="57" t="s">
        <v>746</v>
      </c>
      <c r="Q8" s="57" t="s">
        <v>760</v>
      </c>
      <c r="R8" s="57" t="s">
        <v>780</v>
      </c>
      <c r="S8" s="57" t="s">
        <v>746</v>
      </c>
      <c r="T8" s="57" t="s">
        <v>761</v>
      </c>
      <c r="U8" s="57" t="s">
        <v>762</v>
      </c>
    </row>
    <row r="9" spans="1:21">
      <c r="A9" s="57" t="s">
        <v>748</v>
      </c>
      <c r="B9" s="57" t="s">
        <v>749</v>
      </c>
      <c r="C9" s="57" t="s">
        <v>750</v>
      </c>
      <c r="D9" s="57" t="s">
        <v>783</v>
      </c>
      <c r="E9" s="57" t="s">
        <v>784</v>
      </c>
      <c r="F9" s="57" t="s">
        <v>785</v>
      </c>
      <c r="G9" s="57" t="s">
        <v>754</v>
      </c>
      <c r="H9" s="57" t="s">
        <v>786</v>
      </c>
      <c r="I9" s="61">
        <v>43952</v>
      </c>
      <c r="J9" s="57" t="s">
        <v>756</v>
      </c>
      <c r="K9" s="57" t="s">
        <v>757</v>
      </c>
      <c r="L9" s="62">
        <v>525</v>
      </c>
      <c r="M9" s="57" t="s">
        <v>747</v>
      </c>
      <c r="N9" s="57" t="s">
        <v>758</v>
      </c>
      <c r="O9" s="57" t="s">
        <v>759</v>
      </c>
      <c r="P9" s="57" t="s">
        <v>746</v>
      </c>
      <c r="Q9" s="57" t="s">
        <v>760</v>
      </c>
      <c r="R9" s="57" t="s">
        <v>784</v>
      </c>
      <c r="S9" s="57" t="s">
        <v>746</v>
      </c>
      <c r="T9" s="57" t="s">
        <v>761</v>
      </c>
      <c r="U9" s="57" t="s">
        <v>762</v>
      </c>
    </row>
    <row r="10" spans="1:21">
      <c r="A10" s="57" t="s">
        <v>748</v>
      </c>
      <c r="B10" s="57" t="s">
        <v>749</v>
      </c>
      <c r="C10" s="57" t="s">
        <v>750</v>
      </c>
      <c r="D10" s="57" t="s">
        <v>787</v>
      </c>
      <c r="E10" s="57" t="s">
        <v>788</v>
      </c>
      <c r="F10" s="57" t="s">
        <v>789</v>
      </c>
      <c r="G10" s="57" t="s">
        <v>754</v>
      </c>
      <c r="H10" s="57" t="s">
        <v>790</v>
      </c>
      <c r="I10" s="61">
        <v>43983</v>
      </c>
      <c r="J10" s="57" t="s">
        <v>756</v>
      </c>
      <c r="K10" s="57" t="s">
        <v>757</v>
      </c>
      <c r="L10" s="62">
        <v>525</v>
      </c>
      <c r="M10" s="57" t="s">
        <v>747</v>
      </c>
      <c r="N10" s="57" t="s">
        <v>758</v>
      </c>
      <c r="O10" s="57" t="s">
        <v>759</v>
      </c>
      <c r="P10" s="57" t="s">
        <v>746</v>
      </c>
      <c r="Q10" s="57" t="s">
        <v>760</v>
      </c>
      <c r="R10" s="57" t="s">
        <v>788</v>
      </c>
      <c r="S10" s="57" t="s">
        <v>746</v>
      </c>
      <c r="T10" s="57" t="s">
        <v>761</v>
      </c>
      <c r="U10" s="57" t="s">
        <v>762</v>
      </c>
    </row>
    <row r="11" spans="1:21">
      <c r="A11" s="57" t="s">
        <v>748</v>
      </c>
      <c r="B11" s="57" t="s">
        <v>749</v>
      </c>
      <c r="C11" s="57" t="s">
        <v>750</v>
      </c>
      <c r="D11" s="57" t="s">
        <v>791</v>
      </c>
      <c r="E11" s="57" t="s">
        <v>792</v>
      </c>
      <c r="F11" s="57" t="s">
        <v>793</v>
      </c>
      <c r="G11" s="57" t="s">
        <v>754</v>
      </c>
      <c r="H11" s="57" t="s">
        <v>794</v>
      </c>
      <c r="I11" s="61">
        <v>44013</v>
      </c>
      <c r="J11" s="57" t="s">
        <v>756</v>
      </c>
      <c r="K11" s="57" t="s">
        <v>757</v>
      </c>
      <c r="L11" s="62">
        <v>525</v>
      </c>
      <c r="M11" s="57" t="s">
        <v>747</v>
      </c>
      <c r="N11" s="57" t="s">
        <v>758</v>
      </c>
      <c r="O11" s="57" t="s">
        <v>759</v>
      </c>
      <c r="P11" s="57" t="s">
        <v>746</v>
      </c>
      <c r="Q11" s="57" t="s">
        <v>760</v>
      </c>
      <c r="R11" s="57" t="s">
        <v>792</v>
      </c>
      <c r="S11" s="57" t="s">
        <v>746</v>
      </c>
      <c r="T11" s="57" t="s">
        <v>761</v>
      </c>
      <c r="U11" s="57" t="s">
        <v>762</v>
      </c>
    </row>
    <row r="12" spans="1:21">
      <c r="A12" s="57" t="s">
        <v>748</v>
      </c>
      <c r="B12" s="57" t="s">
        <v>749</v>
      </c>
      <c r="C12" s="57" t="s">
        <v>750</v>
      </c>
      <c r="D12" s="57" t="s">
        <v>795</v>
      </c>
      <c r="E12" s="57" t="s">
        <v>796</v>
      </c>
      <c r="F12" s="57" t="s">
        <v>797</v>
      </c>
      <c r="G12" s="57" t="s">
        <v>754</v>
      </c>
      <c r="H12" s="57" t="s">
        <v>798</v>
      </c>
      <c r="I12" s="61">
        <v>44044</v>
      </c>
      <c r="J12" s="57" t="s">
        <v>756</v>
      </c>
      <c r="K12" s="57" t="s">
        <v>757</v>
      </c>
      <c r="L12" s="62">
        <v>525</v>
      </c>
      <c r="M12" s="57" t="s">
        <v>747</v>
      </c>
      <c r="N12" s="57" t="s">
        <v>758</v>
      </c>
      <c r="O12" s="57" t="s">
        <v>759</v>
      </c>
      <c r="P12" s="57" t="s">
        <v>746</v>
      </c>
      <c r="Q12" s="57" t="s">
        <v>760</v>
      </c>
      <c r="R12" s="57" t="s">
        <v>796</v>
      </c>
      <c r="S12" s="57" t="s">
        <v>746</v>
      </c>
      <c r="T12" s="57" t="s">
        <v>761</v>
      </c>
      <c r="U12" s="57" t="s">
        <v>762</v>
      </c>
    </row>
    <row r="13" spans="1:21">
      <c r="A13" s="57" t="s">
        <v>748</v>
      </c>
      <c r="B13" s="57" t="s">
        <v>749</v>
      </c>
      <c r="C13" s="57" t="s">
        <v>750</v>
      </c>
      <c r="D13" s="57" t="s">
        <v>799</v>
      </c>
      <c r="E13" s="57" t="s">
        <v>800</v>
      </c>
      <c r="F13" s="57" t="s">
        <v>801</v>
      </c>
      <c r="G13" s="57" t="s">
        <v>754</v>
      </c>
      <c r="H13" s="57" t="s">
        <v>802</v>
      </c>
      <c r="I13" s="61">
        <v>44075</v>
      </c>
      <c r="J13" s="57" t="s">
        <v>756</v>
      </c>
      <c r="K13" s="57" t="s">
        <v>757</v>
      </c>
      <c r="L13" s="62">
        <v>525</v>
      </c>
      <c r="M13" s="57" t="s">
        <v>747</v>
      </c>
      <c r="N13" s="57" t="s">
        <v>758</v>
      </c>
      <c r="O13" s="57" t="s">
        <v>759</v>
      </c>
      <c r="P13" s="57" t="s">
        <v>746</v>
      </c>
      <c r="Q13" s="57" t="s">
        <v>760</v>
      </c>
      <c r="R13" s="57" t="s">
        <v>800</v>
      </c>
      <c r="S13" s="57" t="s">
        <v>746</v>
      </c>
      <c r="T13" s="57" t="s">
        <v>761</v>
      </c>
      <c r="U13" s="57" t="s">
        <v>762</v>
      </c>
    </row>
    <row r="14" spans="1:21">
      <c r="A14" s="57" t="s">
        <v>748</v>
      </c>
      <c r="B14" s="57" t="s">
        <v>749</v>
      </c>
      <c r="C14" s="57" t="s">
        <v>750</v>
      </c>
      <c r="D14" s="57" t="s">
        <v>803</v>
      </c>
      <c r="E14" s="57" t="s">
        <v>804</v>
      </c>
      <c r="F14" s="57" t="s">
        <v>805</v>
      </c>
      <c r="G14" s="57" t="s">
        <v>754</v>
      </c>
      <c r="H14" s="57" t="s">
        <v>757</v>
      </c>
      <c r="I14" s="61">
        <v>44256</v>
      </c>
      <c r="J14" s="57" t="s">
        <v>756</v>
      </c>
      <c r="K14" s="57" t="s">
        <v>757</v>
      </c>
      <c r="L14" s="62">
        <v>700</v>
      </c>
      <c r="M14" s="57" t="s">
        <v>747</v>
      </c>
      <c r="N14" s="57" t="s">
        <v>758</v>
      </c>
      <c r="O14" s="57" t="s">
        <v>759</v>
      </c>
      <c r="P14" s="57" t="s">
        <v>746</v>
      </c>
      <c r="Q14" s="57" t="s">
        <v>760</v>
      </c>
      <c r="R14" s="57" t="s">
        <v>804</v>
      </c>
      <c r="S14" s="57" t="s">
        <v>746</v>
      </c>
      <c r="T14" s="57" t="s">
        <v>761</v>
      </c>
      <c r="U14" s="57" t="s">
        <v>762</v>
      </c>
    </row>
    <row r="17" spans="3:12">
      <c r="I17" s="57" t="s">
        <v>806</v>
      </c>
      <c r="L17" s="63">
        <f>SUM(L3:L14)</f>
        <v>7350</v>
      </c>
    </row>
    <row r="20" spans="3:12">
      <c r="C20" s="57" t="s">
        <v>807</v>
      </c>
    </row>
    <row r="21" spans="3:12">
      <c r="C21" s="57" t="s">
        <v>808</v>
      </c>
    </row>
    <row r="23" spans="3:12">
      <c r="C23" s="57" t="s">
        <v>809</v>
      </c>
    </row>
    <row r="25" spans="3:12">
      <c r="I25" s="57" t="s">
        <v>256</v>
      </c>
      <c r="J25" s="57">
        <v>3500</v>
      </c>
      <c r="K25" s="57">
        <v>12</v>
      </c>
      <c r="L25" s="63">
        <f>+K25*J25</f>
        <v>42000</v>
      </c>
    </row>
    <row r="26" spans="3:12">
      <c r="I26" s="57" t="s">
        <v>810</v>
      </c>
      <c r="L26" s="64">
        <f>+L17</f>
        <v>7350</v>
      </c>
    </row>
    <row r="27" spans="3:12">
      <c r="L27" s="64"/>
    </row>
    <row r="28" spans="3:12">
      <c r="I28" s="194" t="s">
        <v>811</v>
      </c>
      <c r="L28" s="63">
        <f>+L25-L26</f>
        <v>34650</v>
      </c>
    </row>
  </sheetData>
  <pageMargins left="0.75" right="0.75" top="1" bottom="1" header="0.5" footer="0.5"/>
  <pageSetup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117"/>
  <sheetViews>
    <sheetView zoomScaleNormal="100" workbookViewId="0">
      <selection activeCell="H1" sqref="H1"/>
    </sheetView>
  </sheetViews>
  <sheetFormatPr defaultColWidth="9.140625" defaultRowHeight="12"/>
  <cols>
    <col min="1" max="1" width="6.5703125" style="369" customWidth="1"/>
    <col min="2" max="2" width="8.140625" style="371" bestFit="1" customWidth="1"/>
    <col min="3" max="3" width="47.85546875" style="371" bestFit="1" customWidth="1"/>
    <col min="4" max="4" width="2" style="371" customWidth="1"/>
    <col min="5" max="5" width="11.85546875" style="366" bestFit="1" customWidth="1"/>
    <col min="6" max="6" width="10.28515625" style="366" bestFit="1" customWidth="1"/>
    <col min="7" max="7" width="10.42578125" style="366" bestFit="1" customWidth="1"/>
    <col min="8" max="8" width="28.42578125" style="389" customWidth="1"/>
    <col min="9" max="16384" width="9.140625" style="356"/>
  </cols>
  <sheetData>
    <row r="1" spans="1:8" ht="12.75">
      <c r="C1" s="476"/>
      <c r="D1" s="476"/>
      <c r="E1" s="477" t="s">
        <v>32</v>
      </c>
      <c r="F1" s="478"/>
      <c r="G1" s="478"/>
      <c r="H1" s="389" t="s">
        <v>33</v>
      </c>
    </row>
    <row r="2" spans="1:8" ht="12.75">
      <c r="C2" s="476"/>
      <c r="D2" s="476"/>
      <c r="E2" s="477" t="s">
        <v>34</v>
      </c>
      <c r="F2" s="478"/>
      <c r="G2" s="478"/>
    </row>
    <row r="3" spans="1:8" ht="12.75">
      <c r="C3" s="476"/>
      <c r="D3" s="476"/>
      <c r="E3" s="477" t="s">
        <v>35</v>
      </c>
      <c r="F3" s="478"/>
      <c r="G3" s="478"/>
    </row>
    <row r="4" spans="1:8" ht="12.75">
      <c r="C4" s="476"/>
      <c r="D4" s="476"/>
      <c r="E4" s="477" t="s">
        <v>36</v>
      </c>
      <c r="F4" s="478"/>
      <c r="G4" s="478"/>
    </row>
    <row r="6" spans="1:8" s="365" customFormat="1" ht="57">
      <c r="A6" s="367" t="s">
        <v>15</v>
      </c>
      <c r="B6" s="367" t="s">
        <v>37</v>
      </c>
      <c r="C6" s="367" t="s">
        <v>38</v>
      </c>
      <c r="D6" s="367"/>
      <c r="E6" s="368" t="s">
        <v>16</v>
      </c>
      <c r="F6" s="368" t="s">
        <v>17</v>
      </c>
      <c r="G6" s="368" t="s">
        <v>18</v>
      </c>
      <c r="H6" s="367" t="s">
        <v>39</v>
      </c>
    </row>
    <row r="7" spans="1:8" ht="24.75" customHeight="1">
      <c r="A7" s="369">
        <v>1</v>
      </c>
      <c r="B7" s="370"/>
      <c r="C7" s="370" t="s">
        <v>40</v>
      </c>
      <c r="E7" s="372"/>
    </row>
    <row r="8" spans="1:8" ht="24.75" customHeight="1">
      <c r="A8" s="369">
        <f t="shared" ref="A8:A71" si="0">1+A7</f>
        <v>2</v>
      </c>
      <c r="B8" s="370"/>
      <c r="C8" s="370" t="s">
        <v>41</v>
      </c>
      <c r="E8" s="372"/>
    </row>
    <row r="9" spans="1:8" ht="24.75" customHeight="1">
      <c r="A9" s="369">
        <f t="shared" si="0"/>
        <v>3</v>
      </c>
      <c r="B9" s="370"/>
      <c r="C9" s="370" t="s">
        <v>42</v>
      </c>
      <c r="E9" s="372"/>
    </row>
    <row r="10" spans="1:8" ht="24.75" customHeight="1">
      <c r="A10" s="369">
        <f t="shared" si="0"/>
        <v>4</v>
      </c>
      <c r="B10" s="370"/>
      <c r="C10" s="370" t="s">
        <v>43</v>
      </c>
      <c r="E10" s="372"/>
    </row>
    <row r="11" spans="1:8" ht="34.5" customHeight="1">
      <c r="A11" s="369">
        <f t="shared" si="0"/>
        <v>5</v>
      </c>
      <c r="B11" s="373">
        <v>9480000</v>
      </c>
      <c r="C11" s="374" t="s">
        <v>44</v>
      </c>
      <c r="D11" s="375"/>
      <c r="E11" s="376">
        <v>-23881894</v>
      </c>
      <c r="F11" s="377">
        <v>-2835752.9522778643</v>
      </c>
      <c r="G11" s="377">
        <f>+E11+F11</f>
        <v>-26717646.952277865</v>
      </c>
      <c r="H11" s="388" t="s">
        <v>45</v>
      </c>
    </row>
    <row r="12" spans="1:8" ht="24.75" customHeight="1">
      <c r="A12" s="369">
        <f t="shared" si="0"/>
        <v>6</v>
      </c>
      <c r="B12" s="378">
        <v>9481000</v>
      </c>
      <c r="C12" s="379" t="s">
        <v>46</v>
      </c>
      <c r="D12" s="380"/>
      <c r="E12" s="381">
        <v>-15551832</v>
      </c>
      <c r="F12" s="382">
        <v>-1207844.1893288472</v>
      </c>
      <c r="G12" s="382">
        <f t="shared" ref="G12:G73" si="1">+E12+F12</f>
        <v>-16759676.189328847</v>
      </c>
      <c r="H12" s="390" t="s">
        <v>47</v>
      </c>
    </row>
    <row r="13" spans="1:8" ht="24.75" customHeight="1">
      <c r="A13" s="369">
        <f t="shared" si="0"/>
        <v>7</v>
      </c>
      <c r="B13" s="370"/>
      <c r="C13" s="370" t="s">
        <v>48</v>
      </c>
      <c r="E13" s="372">
        <v>-39433725</v>
      </c>
      <c r="G13" s="366">
        <f>SUM(G11:G12)</f>
        <v>-43477323.141606711</v>
      </c>
      <c r="H13" s="391"/>
    </row>
    <row r="14" spans="1:8" ht="24.75" customHeight="1">
      <c r="A14" s="369">
        <f t="shared" si="0"/>
        <v>8</v>
      </c>
      <c r="B14" s="383">
        <v>9487000</v>
      </c>
      <c r="C14" s="384" t="s">
        <v>49</v>
      </c>
      <c r="D14" s="385"/>
      <c r="E14" s="386">
        <v>-1244</v>
      </c>
      <c r="F14" s="387">
        <v>1244</v>
      </c>
      <c r="G14" s="387">
        <f t="shared" si="1"/>
        <v>0</v>
      </c>
      <c r="H14" s="392" t="s">
        <v>50</v>
      </c>
    </row>
    <row r="15" spans="1:8" ht="24.75" customHeight="1">
      <c r="A15" s="369">
        <f t="shared" si="0"/>
        <v>9</v>
      </c>
      <c r="B15" s="370">
        <v>9488000</v>
      </c>
      <c r="C15" s="370" t="s">
        <v>51</v>
      </c>
      <c r="E15" s="372">
        <v>-82420</v>
      </c>
      <c r="F15" s="366">
        <v>0</v>
      </c>
      <c r="G15" s="366">
        <f t="shared" si="1"/>
        <v>-82420</v>
      </c>
    </row>
    <row r="16" spans="1:8" ht="24.75" customHeight="1">
      <c r="A16" s="369">
        <f t="shared" si="0"/>
        <v>10</v>
      </c>
      <c r="B16" s="383">
        <v>9489300</v>
      </c>
      <c r="C16" s="384" t="s">
        <v>52</v>
      </c>
      <c r="D16" s="385"/>
      <c r="E16" s="386">
        <v>-7846694</v>
      </c>
      <c r="F16" s="387">
        <f>+'Income Statement Detail'!F12</f>
        <v>732799.14357860549</v>
      </c>
      <c r="G16" s="387">
        <f t="shared" si="1"/>
        <v>-7113894.8564213943</v>
      </c>
      <c r="H16" s="392" t="s">
        <v>53</v>
      </c>
    </row>
    <row r="17" spans="1:8" ht="26.25" customHeight="1">
      <c r="A17" s="369">
        <f t="shared" si="0"/>
        <v>11</v>
      </c>
      <c r="B17" s="370">
        <v>9490000</v>
      </c>
      <c r="C17" s="370" t="s">
        <v>54</v>
      </c>
      <c r="E17" s="372">
        <v>0</v>
      </c>
      <c r="F17" s="366">
        <v>0</v>
      </c>
      <c r="G17" s="366">
        <f t="shared" si="1"/>
        <v>0</v>
      </c>
    </row>
    <row r="18" spans="1:8">
      <c r="A18" s="369">
        <f t="shared" si="0"/>
        <v>12</v>
      </c>
      <c r="B18" s="370">
        <v>9495000</v>
      </c>
      <c r="C18" s="370" t="s">
        <v>55</v>
      </c>
      <c r="E18" s="372">
        <v>-1248100</v>
      </c>
      <c r="F18" s="366">
        <v>0</v>
      </c>
      <c r="G18" s="366">
        <f t="shared" si="1"/>
        <v>-1248100</v>
      </c>
    </row>
    <row r="19" spans="1:8">
      <c r="A19" s="369">
        <f t="shared" si="0"/>
        <v>13</v>
      </c>
      <c r="B19" s="383">
        <v>9496000</v>
      </c>
      <c r="C19" s="384" t="s">
        <v>56</v>
      </c>
      <c r="D19" s="385"/>
      <c r="E19" s="386">
        <v>2699420</v>
      </c>
      <c r="F19" s="387">
        <f>+'Income Statement Detail'!F15</f>
        <v>-91984</v>
      </c>
      <c r="G19" s="387">
        <f t="shared" si="1"/>
        <v>2607436</v>
      </c>
      <c r="H19" s="392" t="s">
        <v>57</v>
      </c>
    </row>
    <row r="20" spans="1:8">
      <c r="A20" s="369">
        <f t="shared" si="0"/>
        <v>14</v>
      </c>
      <c r="B20" s="370"/>
      <c r="C20" s="370" t="s">
        <v>58</v>
      </c>
      <c r="E20" s="372">
        <v>-6479037</v>
      </c>
      <c r="G20" s="366">
        <f>SUM(G15:G19)</f>
        <v>-5836978.8564213943</v>
      </c>
    </row>
    <row r="21" spans="1:8">
      <c r="A21" s="369">
        <f t="shared" si="0"/>
        <v>15</v>
      </c>
      <c r="B21" s="370"/>
      <c r="C21" s="370" t="s">
        <v>59</v>
      </c>
      <c r="E21" s="372">
        <v>-45912763</v>
      </c>
      <c r="G21" s="366">
        <f>+G20+G13</f>
        <v>-49314301.998028107</v>
      </c>
    </row>
    <row r="22" spans="1:8">
      <c r="A22" s="369">
        <f t="shared" si="0"/>
        <v>16</v>
      </c>
      <c r="B22" s="370"/>
      <c r="C22" s="370" t="s">
        <v>60</v>
      </c>
      <c r="E22" s="372"/>
      <c r="G22" s="366">
        <f t="shared" si="1"/>
        <v>0</v>
      </c>
    </row>
    <row r="23" spans="1:8">
      <c r="A23" s="369">
        <f t="shared" si="0"/>
        <v>17</v>
      </c>
      <c r="B23" s="370"/>
      <c r="C23" s="370" t="s">
        <v>61</v>
      </c>
      <c r="E23" s="372"/>
      <c r="G23" s="366">
        <f t="shared" si="1"/>
        <v>0</v>
      </c>
    </row>
    <row r="24" spans="1:8">
      <c r="A24" s="369">
        <f t="shared" si="0"/>
        <v>18</v>
      </c>
      <c r="B24" s="370"/>
      <c r="C24" s="370" t="s">
        <v>62</v>
      </c>
      <c r="E24" s="372"/>
      <c r="G24" s="366">
        <f t="shared" si="1"/>
        <v>0</v>
      </c>
    </row>
    <row r="25" spans="1:8">
      <c r="A25" s="369">
        <f t="shared" si="0"/>
        <v>19</v>
      </c>
      <c r="B25" s="370"/>
      <c r="C25" s="370" t="s">
        <v>63</v>
      </c>
      <c r="E25" s="372"/>
      <c r="G25" s="366">
        <f t="shared" si="1"/>
        <v>0</v>
      </c>
    </row>
    <row r="26" spans="1:8">
      <c r="A26" s="369">
        <f t="shared" si="0"/>
        <v>20</v>
      </c>
      <c r="B26" s="383">
        <v>9753000</v>
      </c>
      <c r="C26" s="384" t="s">
        <v>64</v>
      </c>
      <c r="D26" s="385"/>
      <c r="E26" s="386">
        <v>46826</v>
      </c>
      <c r="F26" s="387">
        <v>5519.4773273282763</v>
      </c>
      <c r="G26" s="387">
        <f t="shared" si="1"/>
        <v>52345.477327328277</v>
      </c>
      <c r="H26" s="392" t="s">
        <v>65</v>
      </c>
    </row>
    <row r="27" spans="1:8">
      <c r="A27" s="369">
        <f t="shared" si="0"/>
        <v>21</v>
      </c>
      <c r="B27" s="370">
        <v>9754000</v>
      </c>
      <c r="C27" s="370" t="s">
        <v>66</v>
      </c>
      <c r="E27" s="372">
        <v>129512</v>
      </c>
      <c r="F27" s="366">
        <v>0</v>
      </c>
      <c r="G27" s="366">
        <f t="shared" si="1"/>
        <v>129512</v>
      </c>
    </row>
    <row r="28" spans="1:8">
      <c r="A28" s="369">
        <f t="shared" si="0"/>
        <v>22</v>
      </c>
      <c r="B28" s="370"/>
      <c r="C28" s="370" t="s">
        <v>67</v>
      </c>
      <c r="E28" s="372">
        <v>176338</v>
      </c>
      <c r="G28" s="366">
        <f>+G26+G27</f>
        <v>181857.47732732829</v>
      </c>
    </row>
    <row r="29" spans="1:8">
      <c r="A29" s="369">
        <f t="shared" si="0"/>
        <v>23</v>
      </c>
      <c r="B29" s="370"/>
      <c r="C29" s="370" t="s">
        <v>68</v>
      </c>
      <c r="E29" s="372">
        <v>176338</v>
      </c>
      <c r="G29" s="366">
        <f>+G28</f>
        <v>181857.47732732829</v>
      </c>
    </row>
    <row r="30" spans="1:8">
      <c r="A30" s="369">
        <f t="shared" si="0"/>
        <v>24</v>
      </c>
      <c r="B30" s="383">
        <v>9803000</v>
      </c>
      <c r="C30" s="384" t="s">
        <v>69</v>
      </c>
      <c r="D30" s="385"/>
      <c r="E30" s="386">
        <v>11955982</v>
      </c>
      <c r="F30" s="387">
        <v>3313014.6430726722</v>
      </c>
      <c r="G30" s="387">
        <f t="shared" si="1"/>
        <v>15268996.643072672</v>
      </c>
      <c r="H30" s="392" t="s">
        <v>70</v>
      </c>
    </row>
    <row r="31" spans="1:8">
      <c r="A31" s="369">
        <f t="shared" si="0"/>
        <v>25</v>
      </c>
      <c r="B31" s="370">
        <v>9805100</v>
      </c>
      <c r="C31" s="370" t="s">
        <v>71</v>
      </c>
      <c r="E31" s="372">
        <v>369965</v>
      </c>
      <c r="F31" s="366">
        <v>0</v>
      </c>
      <c r="G31" s="366">
        <f t="shared" si="1"/>
        <v>369965</v>
      </c>
    </row>
    <row r="32" spans="1:8">
      <c r="A32" s="369">
        <f t="shared" si="0"/>
        <v>26</v>
      </c>
      <c r="B32" s="370">
        <v>9813000</v>
      </c>
      <c r="C32" s="370" t="s">
        <v>72</v>
      </c>
      <c r="E32" s="372">
        <v>1064</v>
      </c>
      <c r="F32" s="366">
        <v>0</v>
      </c>
      <c r="G32" s="366">
        <f t="shared" si="1"/>
        <v>1064</v>
      </c>
    </row>
    <row r="33" spans="1:8">
      <c r="A33" s="369">
        <f t="shared" si="0"/>
        <v>27</v>
      </c>
      <c r="B33" s="370"/>
      <c r="C33" s="370" t="s">
        <v>73</v>
      </c>
      <c r="E33" s="372">
        <v>12327011</v>
      </c>
      <c r="G33" s="366">
        <f>SUM(G30:G32)</f>
        <v>15640025.643072672</v>
      </c>
    </row>
    <row r="34" spans="1:8">
      <c r="A34" s="369">
        <f t="shared" si="0"/>
        <v>28</v>
      </c>
      <c r="B34" s="370"/>
      <c r="C34" s="370" t="s">
        <v>74</v>
      </c>
      <c r="E34" s="372">
        <v>12503349</v>
      </c>
      <c r="G34" s="366">
        <f>+G33+G29</f>
        <v>15821883.1204</v>
      </c>
    </row>
    <row r="35" spans="1:8">
      <c r="A35" s="369">
        <f t="shared" si="0"/>
        <v>29</v>
      </c>
      <c r="B35" s="370"/>
      <c r="C35" s="370" t="s">
        <v>75</v>
      </c>
      <c r="E35" s="372"/>
      <c r="G35" s="366">
        <f t="shared" si="1"/>
        <v>0</v>
      </c>
    </row>
    <row r="36" spans="1:8">
      <c r="A36" s="369">
        <f t="shared" si="0"/>
        <v>30</v>
      </c>
      <c r="B36" s="383">
        <v>9816000</v>
      </c>
      <c r="C36" s="384" t="s">
        <v>76</v>
      </c>
      <c r="D36" s="385"/>
      <c r="E36" s="386">
        <v>73226</v>
      </c>
      <c r="F36" s="387">
        <v>2424.1937181466897</v>
      </c>
      <c r="G36" s="387">
        <f t="shared" si="1"/>
        <v>75650.193718146693</v>
      </c>
      <c r="H36" s="392" t="s">
        <v>65</v>
      </c>
    </row>
    <row r="37" spans="1:8">
      <c r="A37" s="369">
        <f t="shared" si="0"/>
        <v>31</v>
      </c>
      <c r="B37" s="370">
        <v>9818000</v>
      </c>
      <c r="C37" s="370" t="s">
        <v>77</v>
      </c>
      <c r="E37" s="372">
        <v>87868</v>
      </c>
      <c r="F37" s="366">
        <v>0</v>
      </c>
      <c r="G37" s="366">
        <f t="shared" si="1"/>
        <v>87868</v>
      </c>
    </row>
    <row r="38" spans="1:8">
      <c r="A38" s="369">
        <f t="shared" si="0"/>
        <v>32</v>
      </c>
      <c r="B38" s="370">
        <v>9821000</v>
      </c>
      <c r="C38" s="370" t="s">
        <v>78</v>
      </c>
      <c r="E38" s="372">
        <v>102594</v>
      </c>
      <c r="F38" s="366">
        <v>0</v>
      </c>
      <c r="G38" s="366">
        <f t="shared" si="1"/>
        <v>102594</v>
      </c>
    </row>
    <row r="39" spans="1:8">
      <c r="A39" s="369">
        <f t="shared" si="0"/>
        <v>33</v>
      </c>
      <c r="B39" s="370">
        <v>9823000</v>
      </c>
      <c r="C39" s="370" t="s">
        <v>79</v>
      </c>
      <c r="E39" s="372">
        <v>1686</v>
      </c>
      <c r="F39" s="366">
        <v>0</v>
      </c>
      <c r="G39" s="366">
        <f t="shared" si="1"/>
        <v>1686</v>
      </c>
    </row>
    <row r="40" spans="1:8">
      <c r="A40" s="369">
        <f t="shared" si="0"/>
        <v>34</v>
      </c>
      <c r="B40" s="370">
        <v>9824000</v>
      </c>
      <c r="C40" s="370" t="s">
        <v>80</v>
      </c>
      <c r="E40" s="372">
        <v>3546</v>
      </c>
      <c r="F40" s="366">
        <v>0</v>
      </c>
      <c r="G40" s="366">
        <f t="shared" si="1"/>
        <v>3546</v>
      </c>
    </row>
    <row r="41" spans="1:8">
      <c r="A41" s="369">
        <f t="shared" si="0"/>
        <v>35</v>
      </c>
      <c r="B41" s="370">
        <v>9825000</v>
      </c>
      <c r="C41" s="370" t="s">
        <v>81</v>
      </c>
      <c r="E41" s="372">
        <v>50569</v>
      </c>
      <c r="F41" s="366">
        <v>0</v>
      </c>
      <c r="G41" s="366">
        <f t="shared" si="1"/>
        <v>50569</v>
      </c>
    </row>
    <row r="42" spans="1:8">
      <c r="A42" s="369">
        <f t="shared" si="0"/>
        <v>36</v>
      </c>
      <c r="B42" s="370"/>
      <c r="C42" s="370" t="s">
        <v>82</v>
      </c>
      <c r="E42" s="372">
        <v>319489</v>
      </c>
      <c r="G42" s="366">
        <f>SUM(G36:G41)</f>
        <v>321913.19371814671</v>
      </c>
    </row>
    <row r="43" spans="1:8">
      <c r="A43" s="369">
        <f t="shared" si="0"/>
        <v>37</v>
      </c>
      <c r="B43" s="370"/>
      <c r="C43" s="370" t="s">
        <v>83</v>
      </c>
      <c r="E43" s="372">
        <v>319489</v>
      </c>
      <c r="G43" s="366">
        <f>+G42</f>
        <v>321913.19371814671</v>
      </c>
    </row>
    <row r="44" spans="1:8">
      <c r="A44" s="369">
        <f t="shared" si="0"/>
        <v>38</v>
      </c>
      <c r="B44" s="370">
        <v>9851000</v>
      </c>
      <c r="C44" s="370" t="s">
        <v>84</v>
      </c>
      <c r="E44" s="372">
        <v>111655</v>
      </c>
      <c r="F44" s="366">
        <v>0</v>
      </c>
      <c r="G44" s="366">
        <f t="shared" si="1"/>
        <v>111655</v>
      </c>
    </row>
    <row r="45" spans="1:8">
      <c r="A45" s="369">
        <f t="shared" si="0"/>
        <v>39</v>
      </c>
      <c r="B45" s="383">
        <v>9856000</v>
      </c>
      <c r="C45" s="384" t="s">
        <v>85</v>
      </c>
      <c r="D45" s="385"/>
      <c r="E45" s="386">
        <v>3191457</v>
      </c>
      <c r="F45" s="387">
        <v>160025.93260864337</v>
      </c>
      <c r="G45" s="387">
        <f t="shared" si="1"/>
        <v>3351482.9326086435</v>
      </c>
      <c r="H45" s="392" t="s">
        <v>65</v>
      </c>
    </row>
    <row r="46" spans="1:8">
      <c r="A46" s="369">
        <f t="shared" si="0"/>
        <v>40</v>
      </c>
      <c r="B46" s="370">
        <v>9858000</v>
      </c>
      <c r="C46" s="370" t="s">
        <v>86</v>
      </c>
      <c r="E46" s="372">
        <v>290244</v>
      </c>
      <c r="F46" s="366">
        <v>0</v>
      </c>
      <c r="G46" s="366">
        <f t="shared" si="1"/>
        <v>290244</v>
      </c>
    </row>
    <row r="47" spans="1:8">
      <c r="A47" s="369">
        <f t="shared" si="0"/>
        <v>41</v>
      </c>
      <c r="B47" s="370"/>
      <c r="C47" s="370" t="s">
        <v>87</v>
      </c>
      <c r="E47" s="372">
        <v>3593355</v>
      </c>
      <c r="G47" s="366">
        <f>SUM(G44:G46)</f>
        <v>3753381.9326086435</v>
      </c>
    </row>
    <row r="48" spans="1:8">
      <c r="A48" s="369">
        <f t="shared" si="0"/>
        <v>42</v>
      </c>
      <c r="B48" s="370">
        <v>9870000</v>
      </c>
      <c r="C48" s="370" t="s">
        <v>88</v>
      </c>
      <c r="E48" s="372">
        <v>-23722</v>
      </c>
      <c r="F48" s="366">
        <v>0</v>
      </c>
      <c r="G48" s="366">
        <f t="shared" si="1"/>
        <v>-23722</v>
      </c>
    </row>
    <row r="49" spans="1:8">
      <c r="A49" s="369">
        <f t="shared" si="0"/>
        <v>43</v>
      </c>
      <c r="B49" s="383">
        <v>9872000</v>
      </c>
      <c r="C49" s="384" t="s">
        <v>89</v>
      </c>
      <c r="D49" s="385"/>
      <c r="E49" s="386">
        <v>334963</v>
      </c>
      <c r="F49" s="387">
        <v>63906.409964100632</v>
      </c>
      <c r="G49" s="387">
        <f t="shared" si="1"/>
        <v>398869.40996410063</v>
      </c>
      <c r="H49" s="392" t="s">
        <v>65</v>
      </c>
    </row>
    <row r="50" spans="1:8">
      <c r="A50" s="369">
        <f t="shared" si="0"/>
        <v>44</v>
      </c>
      <c r="B50" s="370">
        <v>9874000</v>
      </c>
      <c r="C50" s="370" t="s">
        <v>90</v>
      </c>
      <c r="E50" s="372">
        <v>1028079</v>
      </c>
      <c r="F50" s="366">
        <v>0</v>
      </c>
      <c r="G50" s="366">
        <f t="shared" si="1"/>
        <v>1028079</v>
      </c>
    </row>
    <row r="51" spans="1:8">
      <c r="A51" s="369">
        <f t="shared" si="0"/>
        <v>45</v>
      </c>
      <c r="B51" s="370">
        <v>9878000</v>
      </c>
      <c r="C51" s="370" t="s">
        <v>91</v>
      </c>
      <c r="E51" s="372">
        <v>170849</v>
      </c>
      <c r="F51" s="366">
        <v>0</v>
      </c>
      <c r="G51" s="366">
        <f t="shared" si="1"/>
        <v>170849</v>
      </c>
    </row>
    <row r="52" spans="1:8">
      <c r="A52" s="369">
        <f t="shared" si="0"/>
        <v>46</v>
      </c>
      <c r="B52" s="370">
        <v>9879000</v>
      </c>
      <c r="C52" s="370" t="s">
        <v>92</v>
      </c>
      <c r="E52" s="372">
        <v>126421</v>
      </c>
      <c r="F52" s="366">
        <v>0</v>
      </c>
      <c r="G52" s="366">
        <f t="shared" si="1"/>
        <v>126421</v>
      </c>
    </row>
    <row r="53" spans="1:8">
      <c r="A53" s="369">
        <f t="shared" si="0"/>
        <v>47</v>
      </c>
      <c r="B53" s="370">
        <v>9880000</v>
      </c>
      <c r="C53" s="370" t="s">
        <v>93</v>
      </c>
      <c r="E53" s="372">
        <v>413831</v>
      </c>
      <c r="F53" s="366">
        <v>0</v>
      </c>
      <c r="G53" s="366">
        <f t="shared" si="1"/>
        <v>413831</v>
      </c>
    </row>
    <row r="54" spans="1:8">
      <c r="A54" s="369">
        <f t="shared" si="0"/>
        <v>48</v>
      </c>
      <c r="B54" s="370"/>
      <c r="C54" s="370" t="s">
        <v>94</v>
      </c>
      <c r="E54" s="372">
        <v>2050422</v>
      </c>
      <c r="G54" s="366">
        <f>SUM(G48:G53)</f>
        <v>2114327.4099641005</v>
      </c>
    </row>
    <row r="55" spans="1:8">
      <c r="A55" s="369">
        <f t="shared" si="0"/>
        <v>49</v>
      </c>
      <c r="B55" s="370">
        <v>9902000</v>
      </c>
      <c r="C55" s="370" t="s">
        <v>95</v>
      </c>
      <c r="E55" s="372">
        <v>410092</v>
      </c>
      <c r="F55" s="366">
        <v>0</v>
      </c>
      <c r="G55" s="366">
        <f t="shared" si="1"/>
        <v>410092</v>
      </c>
    </row>
    <row r="56" spans="1:8">
      <c r="A56" s="369">
        <f t="shared" si="0"/>
        <v>50</v>
      </c>
      <c r="B56" s="383">
        <v>9903000</v>
      </c>
      <c r="C56" s="384" t="s">
        <v>96</v>
      </c>
      <c r="D56" s="385"/>
      <c r="E56" s="386">
        <v>875506</v>
      </c>
      <c r="F56" s="387">
        <v>21155.148975158249</v>
      </c>
      <c r="G56" s="387">
        <f t="shared" si="1"/>
        <v>896661.14897515823</v>
      </c>
      <c r="H56" s="392" t="s">
        <v>65</v>
      </c>
    </row>
    <row r="57" spans="1:8">
      <c r="A57" s="369">
        <f t="shared" si="0"/>
        <v>51</v>
      </c>
      <c r="B57" s="370">
        <v>9904000</v>
      </c>
      <c r="C57" s="370" t="s">
        <v>97</v>
      </c>
      <c r="E57" s="372">
        <v>161710</v>
      </c>
      <c r="F57" s="366">
        <v>0</v>
      </c>
      <c r="G57" s="366">
        <f t="shared" si="1"/>
        <v>161710</v>
      </c>
    </row>
    <row r="58" spans="1:8">
      <c r="A58" s="369">
        <f t="shared" si="0"/>
        <v>52</v>
      </c>
      <c r="B58" s="370"/>
      <c r="C58" s="370" t="s">
        <v>98</v>
      </c>
      <c r="E58" s="372">
        <v>1447307</v>
      </c>
      <c r="G58" s="366">
        <f>SUM(G55:G57)</f>
        <v>1468463.1489751581</v>
      </c>
    </row>
    <row r="59" spans="1:8">
      <c r="A59" s="369">
        <f t="shared" si="0"/>
        <v>53</v>
      </c>
      <c r="B59" s="370">
        <v>9909000</v>
      </c>
      <c r="C59" s="370" t="s">
        <v>99</v>
      </c>
      <c r="E59" s="372">
        <v>592</v>
      </c>
      <c r="F59" s="366">
        <v>0</v>
      </c>
      <c r="G59" s="366">
        <f t="shared" si="1"/>
        <v>592</v>
      </c>
    </row>
    <row r="60" spans="1:8">
      <c r="A60" s="369">
        <f t="shared" si="0"/>
        <v>54</v>
      </c>
      <c r="B60" s="370"/>
      <c r="C60" s="370" t="s">
        <v>100</v>
      </c>
      <c r="E60" s="372">
        <v>592</v>
      </c>
      <c r="G60" s="366">
        <f t="shared" si="1"/>
        <v>592</v>
      </c>
    </row>
    <row r="61" spans="1:8">
      <c r="A61" s="369">
        <f t="shared" si="0"/>
        <v>55</v>
      </c>
      <c r="B61" s="370">
        <v>9912000</v>
      </c>
      <c r="C61" s="370" t="s">
        <v>101</v>
      </c>
      <c r="E61" s="372">
        <v>553</v>
      </c>
      <c r="F61" s="366">
        <v>0</v>
      </c>
      <c r="G61" s="366">
        <f t="shared" si="1"/>
        <v>553</v>
      </c>
    </row>
    <row r="62" spans="1:8">
      <c r="A62" s="369">
        <f t="shared" si="0"/>
        <v>56</v>
      </c>
      <c r="B62" s="370"/>
      <c r="C62" s="370" t="s">
        <v>102</v>
      </c>
      <c r="E62" s="372">
        <v>553</v>
      </c>
      <c r="G62" s="366">
        <f t="shared" si="1"/>
        <v>553</v>
      </c>
    </row>
    <row r="63" spans="1:8">
      <c r="A63" s="369">
        <f t="shared" si="0"/>
        <v>57</v>
      </c>
      <c r="B63" s="373">
        <v>9920000</v>
      </c>
      <c r="C63" s="374" t="s">
        <v>103</v>
      </c>
      <c r="D63" s="375"/>
      <c r="E63" s="376">
        <v>2120737</v>
      </c>
      <c r="F63" s="377">
        <v>74998.824640150997</v>
      </c>
      <c r="G63" s="377">
        <f t="shared" si="1"/>
        <v>2195735.8246401511</v>
      </c>
      <c r="H63" s="388" t="s">
        <v>65</v>
      </c>
    </row>
    <row r="64" spans="1:8">
      <c r="A64" s="369">
        <f t="shared" si="0"/>
        <v>58</v>
      </c>
      <c r="B64" s="378">
        <v>9921000</v>
      </c>
      <c r="C64" s="379" t="s">
        <v>104</v>
      </c>
      <c r="D64" s="380"/>
      <c r="E64" s="381">
        <v>1516190</v>
      </c>
      <c r="F64" s="382">
        <v>0</v>
      </c>
      <c r="G64" s="382">
        <f t="shared" si="1"/>
        <v>1516190</v>
      </c>
      <c r="H64" s="390"/>
    </row>
    <row r="65" spans="1:11">
      <c r="A65" s="369">
        <f t="shared" si="0"/>
        <v>59</v>
      </c>
      <c r="B65" s="370">
        <v>9922000</v>
      </c>
      <c r="C65" s="370" t="s">
        <v>105</v>
      </c>
      <c r="E65" s="372">
        <v>-1930381</v>
      </c>
      <c r="F65" s="366">
        <v>0</v>
      </c>
      <c r="G65" s="366">
        <f t="shared" si="1"/>
        <v>-1930381</v>
      </c>
    </row>
    <row r="66" spans="1:11" ht="24">
      <c r="A66" s="369">
        <f t="shared" si="0"/>
        <v>60</v>
      </c>
      <c r="B66" s="383">
        <v>9923000</v>
      </c>
      <c r="C66" s="384" t="s">
        <v>106</v>
      </c>
      <c r="D66" s="385"/>
      <c r="E66" s="386">
        <v>1114263</v>
      </c>
      <c r="F66" s="387">
        <v>202650</v>
      </c>
      <c r="G66" s="387">
        <f t="shared" si="1"/>
        <v>1316913</v>
      </c>
      <c r="H66" s="392" t="s">
        <v>107</v>
      </c>
    </row>
    <row r="67" spans="1:11">
      <c r="A67" s="369">
        <f t="shared" si="0"/>
        <v>61</v>
      </c>
      <c r="B67" s="370">
        <v>9924000</v>
      </c>
      <c r="C67" s="370" t="s">
        <v>108</v>
      </c>
      <c r="E67" s="372">
        <v>256870</v>
      </c>
      <c r="F67" s="366">
        <v>0</v>
      </c>
      <c r="G67" s="366">
        <f t="shared" si="1"/>
        <v>256870</v>
      </c>
    </row>
    <row r="68" spans="1:11">
      <c r="A68" s="369">
        <f t="shared" si="0"/>
        <v>62</v>
      </c>
      <c r="B68" s="370">
        <v>9925000</v>
      </c>
      <c r="C68" s="370" t="s">
        <v>109</v>
      </c>
      <c r="E68" s="372">
        <v>1093498</v>
      </c>
      <c r="F68" s="366">
        <v>0</v>
      </c>
      <c r="G68" s="366">
        <f t="shared" si="1"/>
        <v>1093498</v>
      </c>
      <c r="J68" s="358"/>
      <c r="K68" s="358"/>
    </row>
    <row r="69" spans="1:11" ht="24">
      <c r="A69" s="369">
        <f t="shared" si="0"/>
        <v>63</v>
      </c>
      <c r="B69" s="383">
        <v>9926000</v>
      </c>
      <c r="C69" s="384" t="s">
        <v>110</v>
      </c>
      <c r="D69" s="385"/>
      <c r="E69" s="386">
        <v>2832340</v>
      </c>
      <c r="F69" s="387">
        <f>+'Income Statement Detail'!T65</f>
        <v>215900.86200000011</v>
      </c>
      <c r="G69" s="387">
        <f t="shared" si="1"/>
        <v>3048240.8620000002</v>
      </c>
      <c r="H69" s="392" t="s">
        <v>111</v>
      </c>
    </row>
    <row r="70" spans="1:11">
      <c r="A70" s="369">
        <f t="shared" si="0"/>
        <v>64</v>
      </c>
      <c r="B70" s="370">
        <v>9928000</v>
      </c>
      <c r="C70" s="370" t="s">
        <v>112</v>
      </c>
      <c r="E70" s="372">
        <v>199612</v>
      </c>
      <c r="F70" s="366">
        <v>0</v>
      </c>
      <c r="G70" s="366">
        <f t="shared" si="1"/>
        <v>199612</v>
      </c>
    </row>
    <row r="71" spans="1:11">
      <c r="A71" s="369">
        <f t="shared" si="0"/>
        <v>65</v>
      </c>
      <c r="B71" s="383">
        <v>9930100</v>
      </c>
      <c r="C71" s="384" t="s">
        <v>113</v>
      </c>
      <c r="D71" s="385"/>
      <c r="E71" s="386">
        <v>23044</v>
      </c>
      <c r="F71" s="387">
        <v>-23044</v>
      </c>
      <c r="G71" s="387">
        <f t="shared" si="1"/>
        <v>0</v>
      </c>
      <c r="H71" s="392" t="s">
        <v>114</v>
      </c>
    </row>
    <row r="72" spans="1:11">
      <c r="A72" s="369">
        <f t="shared" ref="A72:A117" si="2">1+A71</f>
        <v>66</v>
      </c>
      <c r="B72" s="370">
        <v>9930200</v>
      </c>
      <c r="C72" s="370" t="s">
        <v>115</v>
      </c>
      <c r="E72" s="372">
        <v>111482</v>
      </c>
      <c r="F72" s="366">
        <v>0</v>
      </c>
      <c r="G72" s="366">
        <f t="shared" si="1"/>
        <v>111482</v>
      </c>
    </row>
    <row r="73" spans="1:11">
      <c r="A73" s="369">
        <f t="shared" si="2"/>
        <v>67</v>
      </c>
      <c r="B73" s="370">
        <v>9931000</v>
      </c>
      <c r="C73" s="370" t="s">
        <v>116</v>
      </c>
      <c r="E73" s="372">
        <v>7828</v>
      </c>
      <c r="F73" s="366">
        <v>0</v>
      </c>
      <c r="G73" s="366">
        <f t="shared" si="1"/>
        <v>7828</v>
      </c>
    </row>
    <row r="74" spans="1:11">
      <c r="A74" s="369">
        <f t="shared" si="2"/>
        <v>68</v>
      </c>
      <c r="B74" s="370"/>
      <c r="C74" s="370" t="s">
        <v>117</v>
      </c>
      <c r="E74" s="372">
        <v>7345484</v>
      </c>
      <c r="G74" s="366">
        <f>SUM(G63:G73)</f>
        <v>7815988.6866401508</v>
      </c>
    </row>
    <row r="75" spans="1:11">
      <c r="A75" s="369">
        <f t="shared" si="2"/>
        <v>69</v>
      </c>
      <c r="B75" s="370"/>
      <c r="C75" s="370" t="s">
        <v>118</v>
      </c>
      <c r="E75" s="358">
        <f>+E74+E62+E60+E58+E54+E47+E43+E34</f>
        <v>27260551</v>
      </c>
      <c r="G75" s="358">
        <f>+G74+G62+G60+G58+G54+G47+G43+G34</f>
        <v>31297102.492306203</v>
      </c>
    </row>
    <row r="76" spans="1:11">
      <c r="A76" s="369">
        <f t="shared" si="2"/>
        <v>70</v>
      </c>
      <c r="B76" s="370"/>
      <c r="C76" s="370" t="s">
        <v>119</v>
      </c>
      <c r="E76" s="372"/>
      <c r="G76" s="366">
        <f t="shared" ref="G76:G115" si="3">+E76+F76</f>
        <v>0</v>
      </c>
    </row>
    <row r="77" spans="1:11">
      <c r="A77" s="369">
        <f t="shared" si="2"/>
        <v>71</v>
      </c>
      <c r="B77" s="370"/>
      <c r="C77" s="370" t="s">
        <v>120</v>
      </c>
      <c r="E77" s="372"/>
      <c r="G77" s="366">
        <f t="shared" si="3"/>
        <v>0</v>
      </c>
    </row>
    <row r="78" spans="1:11">
      <c r="A78" s="369">
        <f t="shared" si="2"/>
        <v>72</v>
      </c>
      <c r="B78" s="370">
        <v>9764000</v>
      </c>
      <c r="C78" s="370" t="s">
        <v>121</v>
      </c>
      <c r="E78" s="372">
        <v>1075</v>
      </c>
      <c r="F78" s="366">
        <v>0</v>
      </c>
      <c r="G78" s="366">
        <f t="shared" si="3"/>
        <v>1075</v>
      </c>
    </row>
    <row r="79" spans="1:11">
      <c r="A79" s="369">
        <f t="shared" si="2"/>
        <v>73</v>
      </c>
      <c r="B79" s="383">
        <v>9765000</v>
      </c>
      <c r="C79" s="384" t="s">
        <v>122</v>
      </c>
      <c r="D79" s="385"/>
      <c r="E79" s="386">
        <v>35741</v>
      </c>
      <c r="F79" s="387">
        <v>1289.0013762408282</v>
      </c>
      <c r="G79" s="387">
        <f t="shared" si="3"/>
        <v>37030.001376240827</v>
      </c>
      <c r="H79" s="392" t="s">
        <v>65</v>
      </c>
    </row>
    <row r="80" spans="1:11">
      <c r="A80" s="369">
        <f t="shared" si="2"/>
        <v>74</v>
      </c>
      <c r="B80" s="370"/>
      <c r="C80" s="370" t="s">
        <v>123</v>
      </c>
      <c r="E80" s="372">
        <v>36816</v>
      </c>
      <c r="G80" s="366">
        <f>+G79+G78</f>
        <v>38105.001376240827</v>
      </c>
    </row>
    <row r="81" spans="1:8">
      <c r="A81" s="369">
        <f t="shared" si="2"/>
        <v>75</v>
      </c>
      <c r="B81" s="370"/>
      <c r="C81" s="370" t="s">
        <v>124</v>
      </c>
      <c r="E81" s="372">
        <v>36816</v>
      </c>
      <c r="G81" s="366">
        <f>+G80</f>
        <v>38105.001376240827</v>
      </c>
    </row>
    <row r="82" spans="1:8">
      <c r="A82" s="369">
        <f t="shared" si="2"/>
        <v>76</v>
      </c>
      <c r="B82" s="370"/>
      <c r="C82" s="370" t="s">
        <v>125</v>
      </c>
      <c r="E82" s="372">
        <v>36816</v>
      </c>
      <c r="G82" s="366">
        <f>+G81</f>
        <v>38105.001376240827</v>
      </c>
    </row>
    <row r="83" spans="1:8">
      <c r="A83" s="369">
        <f t="shared" si="2"/>
        <v>77</v>
      </c>
      <c r="B83" s="370"/>
      <c r="C83" s="370" t="s">
        <v>126</v>
      </c>
      <c r="E83" s="372"/>
      <c r="G83" s="366">
        <f t="shared" si="3"/>
        <v>0</v>
      </c>
    </row>
    <row r="84" spans="1:8">
      <c r="A84" s="369">
        <f t="shared" si="2"/>
        <v>78</v>
      </c>
      <c r="B84" s="370">
        <v>9831000</v>
      </c>
      <c r="C84" s="370" t="s">
        <v>127</v>
      </c>
      <c r="E84" s="372">
        <v>2525</v>
      </c>
      <c r="F84" s="366">
        <v>0</v>
      </c>
      <c r="G84" s="366">
        <f t="shared" si="3"/>
        <v>2525</v>
      </c>
    </row>
    <row r="85" spans="1:8">
      <c r="A85" s="369">
        <f t="shared" si="2"/>
        <v>79</v>
      </c>
      <c r="B85" s="383">
        <v>9832000</v>
      </c>
      <c r="C85" s="384" t="s">
        <v>128</v>
      </c>
      <c r="D85" s="385"/>
      <c r="E85" s="386">
        <v>14034</v>
      </c>
      <c r="F85" s="387">
        <v>762.05171848108671</v>
      </c>
      <c r="G85" s="387">
        <f t="shared" si="3"/>
        <v>14796.051718481087</v>
      </c>
      <c r="H85" s="392" t="s">
        <v>65</v>
      </c>
    </row>
    <row r="86" spans="1:8">
      <c r="A86" s="369">
        <f t="shared" si="2"/>
        <v>80</v>
      </c>
      <c r="B86" s="370">
        <v>9834000</v>
      </c>
      <c r="C86" s="370" t="s">
        <v>129</v>
      </c>
      <c r="E86" s="372">
        <v>8819</v>
      </c>
      <c r="F86" s="366">
        <v>0</v>
      </c>
      <c r="G86" s="366">
        <f t="shared" si="3"/>
        <v>8819</v>
      </c>
    </row>
    <row r="87" spans="1:8">
      <c r="A87" s="369">
        <f t="shared" si="2"/>
        <v>81</v>
      </c>
      <c r="B87" s="370">
        <v>9835000</v>
      </c>
      <c r="C87" s="370" t="s">
        <v>130</v>
      </c>
      <c r="E87" s="372">
        <v>189</v>
      </c>
      <c r="F87" s="366">
        <v>0</v>
      </c>
      <c r="G87" s="366">
        <f t="shared" si="3"/>
        <v>189</v>
      </c>
    </row>
    <row r="88" spans="1:8">
      <c r="A88" s="369">
        <f t="shared" si="2"/>
        <v>82</v>
      </c>
      <c r="B88" s="370">
        <v>9837000</v>
      </c>
      <c r="C88" s="370" t="s">
        <v>131</v>
      </c>
      <c r="E88" s="372">
        <v>444</v>
      </c>
      <c r="F88" s="366">
        <v>0</v>
      </c>
      <c r="G88" s="366">
        <f t="shared" si="3"/>
        <v>444</v>
      </c>
    </row>
    <row r="89" spans="1:8">
      <c r="A89" s="369">
        <f t="shared" si="2"/>
        <v>83</v>
      </c>
      <c r="B89" s="370"/>
      <c r="C89" s="370" t="s">
        <v>132</v>
      </c>
      <c r="E89" s="372">
        <v>26011</v>
      </c>
      <c r="G89" s="366">
        <f>SUM(G84:G88)</f>
        <v>26773.051718481089</v>
      </c>
    </row>
    <row r="90" spans="1:8">
      <c r="A90" s="369">
        <f t="shared" si="2"/>
        <v>84</v>
      </c>
      <c r="B90" s="370"/>
      <c r="C90" s="370" t="s">
        <v>133</v>
      </c>
      <c r="E90" s="372">
        <v>26011</v>
      </c>
      <c r="G90" s="366">
        <f>+G89</f>
        <v>26773.051718481089</v>
      </c>
    </row>
    <row r="91" spans="1:8">
      <c r="A91" s="369">
        <f t="shared" si="2"/>
        <v>85</v>
      </c>
      <c r="B91" s="370">
        <v>9863000</v>
      </c>
      <c r="C91" s="370" t="s">
        <v>134</v>
      </c>
      <c r="E91" s="372">
        <v>-80962</v>
      </c>
      <c r="F91" s="366">
        <v>0</v>
      </c>
      <c r="G91" s="366">
        <f t="shared" si="3"/>
        <v>-80962</v>
      </c>
    </row>
    <row r="92" spans="1:8">
      <c r="A92" s="369">
        <f t="shared" si="2"/>
        <v>86</v>
      </c>
      <c r="B92" s="370"/>
      <c r="C92" s="370" t="s">
        <v>135</v>
      </c>
      <c r="E92" s="372">
        <v>-80962</v>
      </c>
      <c r="G92" s="366">
        <f t="shared" si="3"/>
        <v>-80962</v>
      </c>
    </row>
    <row r="93" spans="1:8">
      <c r="A93" s="369">
        <f t="shared" si="2"/>
        <v>87</v>
      </c>
      <c r="B93" s="383">
        <v>9885000</v>
      </c>
      <c r="C93" s="384" t="s">
        <v>136</v>
      </c>
      <c r="D93" s="385"/>
      <c r="E93" s="386">
        <v>103774</v>
      </c>
      <c r="F93" s="387">
        <v>3384.1742427890686</v>
      </c>
      <c r="G93" s="387">
        <f t="shared" si="3"/>
        <v>107158.17424278907</v>
      </c>
      <c r="H93" s="392" t="s">
        <v>65</v>
      </c>
    </row>
    <row r="94" spans="1:8">
      <c r="A94" s="369">
        <f t="shared" si="2"/>
        <v>88</v>
      </c>
      <c r="B94" s="370">
        <v>9886000</v>
      </c>
      <c r="C94" s="370" t="s">
        <v>137</v>
      </c>
      <c r="E94" s="372">
        <v>33078</v>
      </c>
      <c r="F94" s="366">
        <v>0</v>
      </c>
      <c r="G94" s="366">
        <f t="shared" si="3"/>
        <v>33078</v>
      </c>
    </row>
    <row r="95" spans="1:8">
      <c r="A95" s="369">
        <f t="shared" si="2"/>
        <v>89</v>
      </c>
      <c r="B95" s="370">
        <v>9887000</v>
      </c>
      <c r="C95" s="370" t="s">
        <v>138</v>
      </c>
      <c r="E95" s="372">
        <v>-65395</v>
      </c>
      <c r="F95" s="366">
        <v>0</v>
      </c>
      <c r="G95" s="366">
        <f t="shared" si="3"/>
        <v>-65395</v>
      </c>
    </row>
    <row r="96" spans="1:8">
      <c r="A96" s="369">
        <f t="shared" si="2"/>
        <v>90</v>
      </c>
      <c r="B96" s="370">
        <v>9889000</v>
      </c>
      <c r="C96" s="370" t="s">
        <v>139</v>
      </c>
      <c r="E96" s="372">
        <v>5</v>
      </c>
      <c r="F96" s="366">
        <v>0</v>
      </c>
      <c r="G96" s="366">
        <f t="shared" si="3"/>
        <v>5</v>
      </c>
    </row>
    <row r="97" spans="1:8">
      <c r="A97" s="369">
        <f t="shared" si="2"/>
        <v>91</v>
      </c>
      <c r="B97" s="370">
        <v>9892000</v>
      </c>
      <c r="C97" s="370" t="s">
        <v>140</v>
      </c>
      <c r="E97" s="372">
        <v>50454</v>
      </c>
      <c r="F97" s="366">
        <v>0</v>
      </c>
      <c r="G97" s="366">
        <f t="shared" si="3"/>
        <v>50454</v>
      </c>
    </row>
    <row r="98" spans="1:8">
      <c r="A98" s="369">
        <f t="shared" si="2"/>
        <v>92</v>
      </c>
      <c r="B98" s="370">
        <v>9893000</v>
      </c>
      <c r="C98" s="370" t="s">
        <v>141</v>
      </c>
      <c r="E98" s="372">
        <v>177602</v>
      </c>
      <c r="F98" s="366">
        <v>0</v>
      </c>
      <c r="G98" s="366">
        <f t="shared" si="3"/>
        <v>177602</v>
      </c>
    </row>
    <row r="99" spans="1:8">
      <c r="A99" s="369">
        <f t="shared" si="2"/>
        <v>93</v>
      </c>
      <c r="B99" s="370">
        <v>9894000</v>
      </c>
      <c r="C99" s="370" t="s">
        <v>142</v>
      </c>
      <c r="E99" s="372">
        <v>188033</v>
      </c>
      <c r="F99" s="366">
        <v>0</v>
      </c>
      <c r="G99" s="366">
        <f t="shared" si="3"/>
        <v>188033</v>
      </c>
    </row>
    <row r="100" spans="1:8">
      <c r="A100" s="369">
        <f t="shared" si="2"/>
        <v>94</v>
      </c>
      <c r="B100" s="370"/>
      <c r="C100" s="370" t="s">
        <v>143</v>
      </c>
      <c r="E100" s="372">
        <v>487552</v>
      </c>
      <c r="G100" s="366">
        <f>SUM(G93:G99)</f>
        <v>490935.17424278904</v>
      </c>
    </row>
    <row r="101" spans="1:8">
      <c r="A101" s="369">
        <f t="shared" si="2"/>
        <v>95</v>
      </c>
      <c r="B101" s="370">
        <v>9932000</v>
      </c>
      <c r="C101" s="370" t="s">
        <v>144</v>
      </c>
      <c r="E101" s="372">
        <v>56968</v>
      </c>
      <c r="F101" s="366">
        <v>0</v>
      </c>
      <c r="G101" s="366">
        <f t="shared" si="3"/>
        <v>56968</v>
      </c>
    </row>
    <row r="102" spans="1:8">
      <c r="A102" s="369">
        <f t="shared" si="2"/>
        <v>96</v>
      </c>
      <c r="B102" s="370"/>
      <c r="C102" s="370" t="s">
        <v>145</v>
      </c>
      <c r="E102" s="372">
        <v>56968</v>
      </c>
      <c r="G102" s="366">
        <f t="shared" si="3"/>
        <v>56968</v>
      </c>
    </row>
    <row r="103" spans="1:8">
      <c r="A103" s="369">
        <f t="shared" si="2"/>
        <v>97</v>
      </c>
      <c r="B103" s="370"/>
      <c r="C103" s="370" t="s">
        <v>146</v>
      </c>
      <c r="E103" s="366">
        <f>+E102+E100+E92+E90+E82</f>
        <v>526385</v>
      </c>
      <c r="G103" s="366">
        <f>+G102+G100+G92+G90+G82</f>
        <v>531819.22733751102</v>
      </c>
    </row>
    <row r="104" spans="1:8">
      <c r="B104" s="370"/>
      <c r="C104" s="370" t="s">
        <v>147</v>
      </c>
      <c r="E104" s="372">
        <f>+E103+E75</f>
        <v>27786936</v>
      </c>
      <c r="F104" s="372"/>
      <c r="G104" s="372">
        <f>+G103+G75</f>
        <v>31828921.719643712</v>
      </c>
    </row>
    <row r="105" spans="1:8" ht="24">
      <c r="A105" s="369">
        <f>1+A103</f>
        <v>98</v>
      </c>
      <c r="B105" s="383">
        <v>9403000</v>
      </c>
      <c r="C105" s="384" t="s">
        <v>148</v>
      </c>
      <c r="D105" s="385"/>
      <c r="E105" s="386">
        <v>7916269</v>
      </c>
      <c r="F105" s="387">
        <v>1556983</v>
      </c>
      <c r="G105" s="387">
        <f t="shared" si="3"/>
        <v>9473252</v>
      </c>
      <c r="H105" s="392" t="s">
        <v>149</v>
      </c>
    </row>
    <row r="106" spans="1:8">
      <c r="A106" s="369">
        <f t="shared" si="2"/>
        <v>99</v>
      </c>
      <c r="B106" s="370"/>
      <c r="C106" s="370" t="s">
        <v>150</v>
      </c>
      <c r="E106" s="372">
        <v>7916269</v>
      </c>
      <c r="G106" s="366">
        <f>+G105</f>
        <v>9473252</v>
      </c>
    </row>
    <row r="107" spans="1:8">
      <c r="A107" s="369">
        <f t="shared" si="2"/>
        <v>100</v>
      </c>
      <c r="B107" s="370">
        <v>9404000</v>
      </c>
      <c r="C107" s="370" t="s">
        <v>151</v>
      </c>
      <c r="E107" s="372">
        <v>413993</v>
      </c>
      <c r="F107" s="366">
        <v>0</v>
      </c>
      <c r="G107" s="366">
        <f t="shared" si="3"/>
        <v>413993</v>
      </c>
    </row>
    <row r="108" spans="1:8">
      <c r="A108" s="369">
        <f t="shared" si="2"/>
        <v>101</v>
      </c>
      <c r="B108" s="370">
        <v>9404200</v>
      </c>
      <c r="C108" s="370" t="s">
        <v>152</v>
      </c>
      <c r="E108" s="372">
        <v>15785</v>
      </c>
      <c r="F108" s="366">
        <v>0</v>
      </c>
      <c r="G108" s="366">
        <f t="shared" si="3"/>
        <v>15785</v>
      </c>
    </row>
    <row r="109" spans="1:8">
      <c r="A109" s="369">
        <f t="shared" si="2"/>
        <v>102</v>
      </c>
      <c r="B109" s="370"/>
      <c r="C109" s="370" t="s">
        <v>153</v>
      </c>
      <c r="E109" s="372">
        <v>429778</v>
      </c>
      <c r="G109" s="366">
        <f t="shared" si="3"/>
        <v>429778</v>
      </c>
    </row>
    <row r="110" spans="1:8" ht="24">
      <c r="A110" s="369">
        <f t="shared" si="2"/>
        <v>103</v>
      </c>
      <c r="B110" s="383">
        <v>9408100</v>
      </c>
      <c r="C110" s="384" t="s">
        <v>154</v>
      </c>
      <c r="D110" s="385"/>
      <c r="E110" s="386">
        <v>3521376</v>
      </c>
      <c r="F110" s="387">
        <v>371975.25600802293</v>
      </c>
      <c r="G110" s="387">
        <f t="shared" si="3"/>
        <v>3893351.2560080229</v>
      </c>
      <c r="H110" s="392" t="s">
        <v>155</v>
      </c>
    </row>
    <row r="111" spans="1:8">
      <c r="A111" s="369">
        <f t="shared" si="2"/>
        <v>104</v>
      </c>
      <c r="B111" s="370"/>
      <c r="C111" s="370" t="s">
        <v>156</v>
      </c>
      <c r="E111" s="372">
        <v>3521376</v>
      </c>
      <c r="G111" s="366">
        <f>+G110</f>
        <v>3893351.2560080229</v>
      </c>
    </row>
    <row r="112" spans="1:8">
      <c r="A112" s="369">
        <f t="shared" si="2"/>
        <v>105</v>
      </c>
      <c r="B112" s="370">
        <v>9409100</v>
      </c>
      <c r="C112" s="370" t="s">
        <v>157</v>
      </c>
      <c r="E112" s="372">
        <f>966765+687889</f>
        <v>1654654</v>
      </c>
      <c r="F112" s="366">
        <v>0</v>
      </c>
      <c r="G112" s="366">
        <f t="shared" si="3"/>
        <v>1654654</v>
      </c>
    </row>
    <row r="113" spans="1:7">
      <c r="A113" s="369">
        <f t="shared" si="2"/>
        <v>106</v>
      </c>
      <c r="B113" s="370"/>
      <c r="C113" s="370" t="s">
        <v>158</v>
      </c>
      <c r="E113" s="372">
        <f>966765+687889</f>
        <v>1654654</v>
      </c>
      <c r="F113" s="366">
        <f>+'Income Statement Summary'!U33</f>
        <v>-733416.27678799769</v>
      </c>
      <c r="G113" s="366">
        <f t="shared" si="3"/>
        <v>921237.72321200231</v>
      </c>
    </row>
    <row r="114" spans="1:7">
      <c r="A114" s="369">
        <f t="shared" si="2"/>
        <v>107</v>
      </c>
      <c r="B114" s="370">
        <v>9410100</v>
      </c>
      <c r="C114" s="370" t="s">
        <v>159</v>
      </c>
      <c r="E114" s="372">
        <v>-687889</v>
      </c>
      <c r="F114" s="366">
        <v>0</v>
      </c>
      <c r="G114" s="366">
        <f t="shared" si="3"/>
        <v>-687889</v>
      </c>
    </row>
    <row r="115" spans="1:7">
      <c r="A115" s="369">
        <f t="shared" si="2"/>
        <v>108</v>
      </c>
      <c r="B115" s="370"/>
      <c r="C115" s="370" t="s">
        <v>160</v>
      </c>
      <c r="E115" s="372">
        <v>-687889</v>
      </c>
      <c r="G115" s="366">
        <f t="shared" si="3"/>
        <v>-687889</v>
      </c>
    </row>
    <row r="116" spans="1:7">
      <c r="A116" s="369">
        <f t="shared" si="2"/>
        <v>109</v>
      </c>
      <c r="B116" s="370"/>
      <c r="C116" s="370" t="s">
        <v>161</v>
      </c>
      <c r="E116" s="372">
        <f>+E115+E113+E111+E109+E106+E104</f>
        <v>40621124</v>
      </c>
      <c r="G116" s="372">
        <f>+G115+G113+G111+G109+G106+G104</f>
        <v>45858651.698863737</v>
      </c>
    </row>
    <row r="117" spans="1:7">
      <c r="A117" s="369">
        <f t="shared" si="2"/>
        <v>110</v>
      </c>
      <c r="B117" s="370"/>
      <c r="C117" s="370" t="s">
        <v>162</v>
      </c>
      <c r="E117" s="372">
        <f>+E21+E116</f>
        <v>-5291639</v>
      </c>
      <c r="F117" s="372">
        <f>SUM(F11:F116)</f>
        <v>1835990.7008356308</v>
      </c>
      <c r="G117" s="372">
        <f>+G21+G116</f>
        <v>-3455650.2991643697</v>
      </c>
    </row>
  </sheetData>
  <pageMargins left="0.75" right="0.75" top="1.54" bottom="1" header="0.5" footer="0.5"/>
  <pageSetup scale="96" fitToHeight="0" orientation="landscape" verticalDpi="1200" r:id="rId1"/>
  <headerFooter alignWithMargins="0">
    <oddHeader xml:space="preserve">&amp;C&amp;"Times New Roman,Regular"Delta Natural Gas Company, Inc.
Adjustments By Account
Forecasted Test Period 12 ME 12/31/22
Base Period 12 ME 8/31/21&amp;R&amp;"Times New Roman,Regular"Tab 57 - Schedule D-1
Page &amp;P of &amp;N
Witness:  John B. Brown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workbookViewId="0">
      <selection activeCell="J37" sqref="J37"/>
    </sheetView>
  </sheetViews>
  <sheetFormatPr defaultColWidth="9.140625" defaultRowHeight="15"/>
  <cols>
    <col min="1" max="1" width="4.5703125" style="228" customWidth="1"/>
    <col min="2" max="2" width="5" style="228" customWidth="1"/>
    <col min="3" max="3" width="14" style="228" bestFit="1" customWidth="1"/>
    <col min="4" max="4" width="9.140625" style="228"/>
    <col min="5" max="5" width="6.42578125" style="228" customWidth="1"/>
    <col min="6" max="6" width="13.85546875" style="228" customWidth="1"/>
    <col min="7" max="7" width="12.28515625" style="228" customWidth="1"/>
    <col min="8" max="8" width="52.42578125" style="228" bestFit="1" customWidth="1"/>
    <col min="9" max="9" width="8.7109375" style="228" bestFit="1" customWidth="1"/>
    <col min="10" max="10" width="13.28515625" style="231" bestFit="1" customWidth="1"/>
    <col min="11" max="12" width="9.140625" style="228"/>
    <col min="13" max="13" width="12.5703125" style="228" bestFit="1" customWidth="1"/>
    <col min="14" max="16384" width="9.140625" style="228"/>
  </cols>
  <sheetData>
    <row r="1" spans="1:12">
      <c r="A1" s="119" t="s">
        <v>812</v>
      </c>
      <c r="B1" s="179"/>
      <c r="C1" s="179"/>
      <c r="D1" s="179"/>
      <c r="E1" s="179"/>
      <c r="F1" s="119" t="s">
        <v>813</v>
      </c>
      <c r="G1" s="179"/>
      <c r="H1" s="179"/>
      <c r="I1" s="179"/>
      <c r="J1" s="180"/>
      <c r="K1" s="263" t="s">
        <v>814</v>
      </c>
      <c r="L1" s="263"/>
    </row>
    <row r="2" spans="1:12">
      <c r="A2" s="193" t="s">
        <v>815</v>
      </c>
      <c r="B2" s="179"/>
      <c r="C2" s="179"/>
      <c r="D2" s="179"/>
      <c r="E2" s="179"/>
      <c r="F2" s="179"/>
      <c r="G2" s="179"/>
      <c r="H2" s="179"/>
      <c r="I2" s="179"/>
      <c r="J2" s="180"/>
      <c r="K2" s="197" t="s">
        <v>816</v>
      </c>
      <c r="L2" s="263"/>
    </row>
    <row r="3" spans="1:12">
      <c r="A3" s="179"/>
      <c r="B3" s="179"/>
      <c r="C3" s="179"/>
      <c r="D3" s="179"/>
      <c r="E3" s="179"/>
      <c r="F3" s="179"/>
      <c r="G3" s="179"/>
      <c r="H3" s="179"/>
      <c r="I3" s="179"/>
      <c r="J3" s="180"/>
      <c r="K3" s="179"/>
      <c r="L3" s="179"/>
    </row>
    <row r="4" spans="1:12">
      <c r="A4" s="179"/>
      <c r="B4" s="179"/>
      <c r="C4" s="179"/>
      <c r="D4" s="179"/>
      <c r="E4" s="179"/>
      <c r="F4" s="179"/>
      <c r="G4" s="119" t="s">
        <v>21</v>
      </c>
      <c r="H4" s="179"/>
      <c r="I4" s="179"/>
      <c r="J4" s="180"/>
      <c r="K4" s="179"/>
      <c r="L4" s="179"/>
    </row>
    <row r="5" spans="1:12">
      <c r="A5" s="193" t="s">
        <v>817</v>
      </c>
      <c r="B5" s="179"/>
      <c r="C5" s="179"/>
      <c r="D5" s="179"/>
      <c r="E5" s="179"/>
      <c r="F5" s="179"/>
      <c r="G5" s="119"/>
      <c r="H5" s="179"/>
      <c r="I5" s="179"/>
      <c r="J5" s="180"/>
      <c r="K5" s="179"/>
      <c r="L5" s="179"/>
    </row>
    <row r="6" spans="1:12">
      <c r="A6" s="193"/>
      <c r="B6" s="179"/>
      <c r="C6" s="179"/>
      <c r="D6" s="179"/>
      <c r="E6" s="179"/>
      <c r="F6" s="179"/>
      <c r="G6" s="119"/>
      <c r="H6" s="179"/>
      <c r="I6" s="179"/>
      <c r="J6" s="180"/>
      <c r="K6" s="179"/>
      <c r="L6" s="179"/>
    </row>
    <row r="7" spans="1:12">
      <c r="A7" s="193"/>
      <c r="B7" s="179"/>
      <c r="C7" s="179"/>
      <c r="D7" s="179"/>
      <c r="E7" s="179"/>
      <c r="F7" s="179"/>
      <c r="G7" s="119"/>
      <c r="H7" s="193" t="s">
        <v>818</v>
      </c>
      <c r="I7" s="179"/>
      <c r="J7" s="180"/>
      <c r="K7" s="179"/>
      <c r="L7" s="179"/>
    </row>
    <row r="8" spans="1:12">
      <c r="A8" s="193"/>
      <c r="B8" s="179"/>
      <c r="C8" s="193" t="s">
        <v>819</v>
      </c>
      <c r="D8" s="179"/>
      <c r="E8" s="264" t="s">
        <v>207</v>
      </c>
      <c r="F8" s="179"/>
      <c r="G8" s="265">
        <v>37003.83</v>
      </c>
      <c r="H8" s="266" t="s">
        <v>820</v>
      </c>
      <c r="I8" s="162"/>
      <c r="J8" s="282"/>
      <c r="K8" s="162"/>
      <c r="L8" s="162"/>
    </row>
    <row r="9" spans="1:12">
      <c r="A9" s="179"/>
      <c r="B9" s="179"/>
      <c r="C9" s="193" t="s">
        <v>821</v>
      </c>
      <c r="D9" s="179"/>
      <c r="E9" s="195" t="s">
        <v>206</v>
      </c>
      <c r="F9" s="179"/>
      <c r="G9" s="267">
        <f>144629535*0.01996426</f>
        <v>2887421.6404190999</v>
      </c>
      <c r="H9" s="179" t="s">
        <v>822</v>
      </c>
      <c r="I9" s="179"/>
      <c r="J9" s="180"/>
      <c r="K9" s="179"/>
      <c r="L9" s="179"/>
    </row>
    <row r="10" spans="1:12">
      <c r="A10" s="179"/>
      <c r="B10" s="179"/>
      <c r="C10" s="179"/>
      <c r="D10" s="179"/>
      <c r="E10" s="179"/>
      <c r="F10" s="179"/>
      <c r="G10" s="179"/>
      <c r="H10" s="179"/>
      <c r="I10" s="179"/>
      <c r="J10" s="180"/>
      <c r="K10" s="179"/>
      <c r="L10" s="179"/>
    </row>
    <row r="11" spans="1:12">
      <c r="A11" s="179"/>
      <c r="B11" s="179"/>
      <c r="C11" s="179"/>
      <c r="D11" s="179"/>
      <c r="E11" s="179"/>
      <c r="F11" s="179"/>
      <c r="G11" s="179"/>
      <c r="H11" s="179"/>
      <c r="I11" s="179"/>
      <c r="J11" s="180"/>
      <c r="K11" s="179"/>
      <c r="L11" s="179"/>
    </row>
    <row r="12" spans="1:12">
      <c r="A12" s="179"/>
      <c r="B12" s="179"/>
      <c r="C12" s="179"/>
      <c r="D12" s="179"/>
      <c r="E12" s="179"/>
      <c r="F12" s="179"/>
      <c r="G12" s="179"/>
      <c r="H12" s="179"/>
      <c r="I12" s="179"/>
      <c r="J12" s="180"/>
      <c r="K12" s="179"/>
      <c r="L12" s="179"/>
    </row>
    <row r="13" spans="1:12">
      <c r="A13" s="179"/>
      <c r="B13" s="179"/>
      <c r="C13" s="179"/>
      <c r="D13" s="179"/>
      <c r="E13" s="179"/>
      <c r="F13" s="179"/>
      <c r="G13" s="268">
        <f>G8+G9</f>
        <v>2924425.4704191</v>
      </c>
      <c r="H13" s="179"/>
      <c r="I13" s="179"/>
      <c r="J13" s="180"/>
      <c r="K13" s="179"/>
      <c r="L13" s="179"/>
    </row>
    <row r="14" spans="1:12">
      <c r="A14" s="179"/>
      <c r="B14" s="179"/>
      <c r="C14" s="179"/>
      <c r="D14" s="179"/>
      <c r="E14" s="179"/>
      <c r="F14" s="179"/>
      <c r="G14" s="179"/>
      <c r="H14" s="179"/>
      <c r="I14" s="179"/>
      <c r="J14" s="180"/>
      <c r="K14" s="179"/>
      <c r="L14" s="179"/>
    </row>
    <row r="15" spans="1:12">
      <c r="A15" s="179"/>
      <c r="B15" s="179"/>
      <c r="C15" s="179"/>
      <c r="D15" s="179"/>
      <c r="E15" s="179"/>
      <c r="F15" s="179"/>
      <c r="G15" s="179"/>
      <c r="H15" s="179"/>
      <c r="I15" s="179"/>
      <c r="J15" s="180"/>
      <c r="K15" s="179"/>
      <c r="L15" s="179"/>
    </row>
    <row r="16" spans="1:12">
      <c r="A16" s="179"/>
      <c r="B16" s="179"/>
      <c r="C16" s="179"/>
      <c r="D16" s="179"/>
      <c r="E16" s="179"/>
      <c r="F16" s="179"/>
      <c r="G16" s="179"/>
      <c r="H16" s="179"/>
      <c r="I16" s="179"/>
      <c r="J16" s="180"/>
      <c r="K16" s="179"/>
      <c r="L16" s="179"/>
    </row>
    <row r="17" spans="1:26">
      <c r="A17" s="179"/>
      <c r="B17" s="179"/>
      <c r="C17" s="179"/>
      <c r="D17" s="179"/>
      <c r="E17" s="179"/>
      <c r="F17" s="179"/>
      <c r="G17" s="179"/>
      <c r="H17" s="179"/>
      <c r="I17" s="179"/>
      <c r="J17" s="180"/>
      <c r="K17" s="179"/>
      <c r="L17" s="179"/>
    </row>
    <row r="18" spans="1:26">
      <c r="A18" s="193" t="s">
        <v>298</v>
      </c>
      <c r="B18" s="179"/>
      <c r="C18" s="179"/>
      <c r="D18" s="179"/>
      <c r="E18" s="179"/>
      <c r="F18" s="179"/>
      <c r="G18" s="179"/>
      <c r="H18" s="179"/>
      <c r="I18" s="179"/>
      <c r="J18" s="180"/>
      <c r="K18" s="179"/>
      <c r="L18" s="179"/>
    </row>
    <row r="19" spans="1:26">
      <c r="A19" s="179"/>
      <c r="B19" s="193" t="s">
        <v>299</v>
      </c>
      <c r="C19" s="179"/>
      <c r="D19" s="179"/>
      <c r="E19" s="179"/>
      <c r="F19" s="269">
        <f>F46</f>
        <v>268574121.27999997</v>
      </c>
      <c r="G19" s="193"/>
      <c r="H19" s="193"/>
      <c r="I19" s="193"/>
      <c r="J19" s="192"/>
      <c r="K19" s="193"/>
      <c r="L19" s="193"/>
    </row>
    <row r="20" spans="1:26">
      <c r="A20" s="179"/>
      <c r="B20" s="193"/>
      <c r="C20" s="179"/>
      <c r="D20" s="179"/>
      <c r="E20" s="179"/>
      <c r="F20" s="270"/>
      <c r="G20" s="271"/>
      <c r="H20" s="179"/>
      <c r="I20" s="179"/>
      <c r="J20" s="180"/>
      <c r="K20" s="179"/>
      <c r="L20" s="179"/>
    </row>
    <row r="21" spans="1:26">
      <c r="A21" s="179"/>
      <c r="B21" s="272" t="s">
        <v>300</v>
      </c>
      <c r="C21" s="179"/>
      <c r="D21" s="179"/>
      <c r="E21" s="179"/>
      <c r="F21" s="273">
        <v>294053369.63999999</v>
      </c>
      <c r="G21" s="179"/>
      <c r="H21" s="179"/>
      <c r="I21" s="179"/>
      <c r="J21" s="180"/>
      <c r="K21" s="179"/>
      <c r="L21" s="179"/>
    </row>
    <row r="22" spans="1:26">
      <c r="A22" s="179"/>
      <c r="B22" s="272"/>
      <c r="C22" s="179"/>
      <c r="D22" s="179"/>
      <c r="E22" s="179"/>
      <c r="F22" s="274"/>
      <c r="G22" s="179"/>
      <c r="H22" s="179"/>
      <c r="I22" s="179"/>
      <c r="J22" s="180"/>
      <c r="K22" s="179"/>
      <c r="L22" s="179"/>
    </row>
    <row r="23" spans="1:26">
      <c r="A23" s="179"/>
      <c r="B23" s="275"/>
      <c r="C23" s="179"/>
      <c r="D23" s="179"/>
      <c r="E23" s="179"/>
      <c r="F23" s="276">
        <f>F21-F19</f>
        <v>25479248.360000014</v>
      </c>
      <c r="G23" s="179"/>
      <c r="H23" s="179"/>
      <c r="I23" s="179"/>
      <c r="J23" s="180"/>
      <c r="K23" s="179"/>
      <c r="L23" s="179"/>
    </row>
    <row r="24" spans="1:26">
      <c r="A24" s="179"/>
      <c r="B24" s="179"/>
      <c r="C24" s="179"/>
      <c r="D24" s="179"/>
      <c r="E24" s="179"/>
      <c r="F24" s="179"/>
      <c r="G24" s="179"/>
      <c r="H24" s="179"/>
      <c r="I24" s="179"/>
      <c r="J24" s="180"/>
      <c r="K24" s="179"/>
      <c r="L24" s="179"/>
    </row>
    <row r="25" spans="1:26">
      <c r="A25" s="179"/>
      <c r="B25" s="179"/>
      <c r="C25" s="193" t="s">
        <v>823</v>
      </c>
      <c r="D25" s="179"/>
      <c r="E25" s="179"/>
      <c r="F25" s="179"/>
      <c r="G25" s="277">
        <f>F21/F19</f>
        <v>1.0948685906094311</v>
      </c>
      <c r="H25" s="179"/>
      <c r="I25" s="179"/>
      <c r="J25" s="180"/>
      <c r="K25" s="179"/>
      <c r="L25" s="179"/>
      <c r="N25" s="258"/>
      <c r="O25" s="258"/>
      <c r="P25" s="258"/>
      <c r="Q25" s="258"/>
      <c r="R25" s="258"/>
      <c r="S25" s="258"/>
      <c r="T25" s="258"/>
      <c r="U25" s="258"/>
      <c r="V25" s="258"/>
      <c r="W25" s="258"/>
      <c r="X25" s="258"/>
      <c r="Y25" s="258"/>
    </row>
    <row r="26" spans="1:26">
      <c r="A26" s="179"/>
      <c r="B26" s="179"/>
      <c r="C26" s="179"/>
      <c r="D26" s="179"/>
      <c r="E26" s="179"/>
      <c r="F26" s="179"/>
      <c r="G26" s="179"/>
      <c r="H26" s="179"/>
      <c r="I26" s="179"/>
      <c r="J26" s="180"/>
      <c r="K26" s="179"/>
      <c r="L26" s="179"/>
      <c r="M26" s="260"/>
      <c r="N26" s="261"/>
      <c r="O26" s="261"/>
      <c r="P26" s="261"/>
      <c r="Q26" s="261"/>
      <c r="R26" s="261"/>
      <c r="S26" s="261"/>
      <c r="T26" s="261"/>
      <c r="U26" s="262"/>
      <c r="V26" s="262"/>
      <c r="W26" s="262"/>
      <c r="X26" s="262"/>
      <c r="Y26" s="262"/>
      <c r="Z26" s="259"/>
    </row>
    <row r="27" spans="1:26">
      <c r="A27" s="179"/>
      <c r="B27" s="179"/>
      <c r="C27" s="179"/>
      <c r="D27" s="179"/>
      <c r="E27" s="179"/>
      <c r="F27" s="179"/>
      <c r="G27" s="179"/>
      <c r="H27" s="179"/>
      <c r="I27" s="179"/>
      <c r="J27" s="180"/>
      <c r="K27" s="179"/>
      <c r="L27" s="179"/>
    </row>
    <row r="28" spans="1:26">
      <c r="A28" s="179"/>
      <c r="B28" s="179"/>
      <c r="C28" s="179"/>
      <c r="D28" s="179"/>
      <c r="E28" s="179"/>
      <c r="F28" s="179"/>
      <c r="G28" s="179"/>
      <c r="H28" s="179"/>
      <c r="I28" s="179"/>
      <c r="J28" s="180"/>
      <c r="K28" s="179"/>
      <c r="L28" s="179"/>
    </row>
    <row r="29" spans="1:26">
      <c r="A29" s="179"/>
      <c r="B29" s="179"/>
      <c r="C29" s="179"/>
      <c r="D29" s="179"/>
      <c r="E29" s="179"/>
      <c r="F29" s="179"/>
      <c r="G29" s="179"/>
      <c r="H29" s="179"/>
      <c r="I29" s="278"/>
      <c r="J29" s="180"/>
      <c r="K29" s="179"/>
      <c r="L29" s="179"/>
    </row>
    <row r="30" spans="1:26">
      <c r="A30" s="179"/>
      <c r="B30" s="179"/>
      <c r="C30" s="179"/>
      <c r="D30" s="179"/>
      <c r="E30" s="179"/>
      <c r="F30" s="179"/>
      <c r="G30" s="179"/>
      <c r="H30" s="179"/>
      <c r="I30" s="179"/>
      <c r="J30" s="180"/>
      <c r="K30" s="179"/>
      <c r="L30" s="179"/>
    </row>
    <row r="31" spans="1:26">
      <c r="A31" s="179"/>
      <c r="B31" s="179"/>
      <c r="C31" s="179"/>
      <c r="D31" s="179"/>
      <c r="E31" s="179"/>
      <c r="F31" s="179"/>
      <c r="G31" s="179"/>
      <c r="H31" s="179"/>
      <c r="I31" s="179"/>
      <c r="J31" s="180"/>
      <c r="K31" s="179"/>
      <c r="L31" s="179"/>
    </row>
    <row r="32" spans="1:26">
      <c r="A32" s="179"/>
      <c r="B32" s="179"/>
      <c r="C32" s="179"/>
      <c r="D32" s="179"/>
      <c r="E32" s="179"/>
      <c r="F32" s="179"/>
      <c r="G32" s="179"/>
      <c r="H32" s="179"/>
      <c r="I32" s="179"/>
      <c r="J32" s="180"/>
      <c r="K32" s="179"/>
      <c r="L32" s="179"/>
    </row>
    <row r="33" spans="1:12" ht="15.75" thickBot="1">
      <c r="A33" s="193" t="s">
        <v>824</v>
      </c>
      <c r="B33" s="179"/>
      <c r="C33" s="179"/>
      <c r="D33" s="179"/>
      <c r="E33" s="179"/>
      <c r="F33" s="179"/>
      <c r="G33" s="179"/>
      <c r="H33" s="179"/>
      <c r="I33" s="179"/>
      <c r="J33" s="283">
        <f>G13*G25</f>
        <v>3201861.5931400824</v>
      </c>
      <c r="K33" s="179"/>
      <c r="L33" s="179"/>
    </row>
    <row r="34" spans="1:12" ht="15.75" thickTop="1">
      <c r="A34" s="179"/>
      <c r="B34" s="179"/>
      <c r="C34" s="179"/>
      <c r="D34" s="179"/>
      <c r="E34" s="179"/>
      <c r="F34" s="179"/>
      <c r="G34" s="179"/>
      <c r="H34" s="179"/>
      <c r="I34" s="179"/>
      <c r="J34" s="180"/>
      <c r="K34" s="179"/>
      <c r="L34" s="179"/>
    </row>
    <row r="35" spans="1:12">
      <c r="A35" s="179" t="s">
        <v>825</v>
      </c>
      <c r="B35" s="179"/>
      <c r="C35" s="179"/>
      <c r="D35" s="179"/>
      <c r="E35" s="179"/>
      <c r="F35" s="179"/>
      <c r="G35" s="179"/>
      <c r="H35" s="179"/>
      <c r="I35" s="179"/>
      <c r="J35" s="180">
        <f>+'PreTax Net Income'!Y196</f>
        <v>2866550</v>
      </c>
      <c r="K35" s="179"/>
      <c r="L35" s="179"/>
    </row>
    <row r="36" spans="1:12">
      <c r="A36" s="179"/>
      <c r="B36" s="179"/>
      <c r="C36" s="179"/>
      <c r="D36" s="179"/>
      <c r="E36" s="179"/>
      <c r="F36" s="179"/>
      <c r="G36" s="179"/>
      <c r="H36" s="179"/>
      <c r="I36" s="179"/>
      <c r="J36" s="180"/>
      <c r="K36" s="179"/>
      <c r="L36" s="179"/>
    </row>
    <row r="37" spans="1:12">
      <c r="A37" s="179"/>
      <c r="B37" s="179"/>
      <c r="C37" s="179"/>
      <c r="D37" s="179"/>
      <c r="E37" s="179"/>
      <c r="F37" s="179"/>
      <c r="G37" s="179"/>
      <c r="H37" s="179"/>
      <c r="I37" s="179" t="s">
        <v>826</v>
      </c>
      <c r="J37" s="180">
        <f>+J33-J35</f>
        <v>335311.59314008243</v>
      </c>
      <c r="K37" s="179"/>
      <c r="L37" s="179"/>
    </row>
    <row r="38" spans="1:12">
      <c r="A38" s="179"/>
      <c r="B38" s="179"/>
      <c r="C38" s="179"/>
      <c r="D38" s="179"/>
      <c r="E38" s="179"/>
      <c r="F38" s="179"/>
      <c r="G38" s="179"/>
      <c r="H38" s="179"/>
      <c r="I38" s="179"/>
      <c r="J38" s="180"/>
      <c r="K38" s="179"/>
      <c r="L38" s="179"/>
    </row>
    <row r="39" spans="1:12">
      <c r="A39" s="179"/>
      <c r="B39" s="179"/>
      <c r="C39" s="179"/>
      <c r="D39" s="179"/>
      <c r="E39" s="179"/>
      <c r="F39" s="179"/>
      <c r="G39" s="179"/>
      <c r="H39" s="179"/>
      <c r="I39" s="179"/>
      <c r="J39" s="180"/>
      <c r="K39" s="179"/>
      <c r="L39" s="179"/>
    </row>
    <row r="40" spans="1:12">
      <c r="A40" s="179"/>
      <c r="B40" s="179"/>
      <c r="C40" s="179"/>
      <c r="D40" s="179"/>
      <c r="E40" s="179"/>
      <c r="F40" s="179"/>
      <c r="G40" s="179"/>
      <c r="H40" s="179"/>
      <c r="I40" s="179"/>
      <c r="J40" s="180"/>
      <c r="K40" s="179"/>
      <c r="L40" s="179"/>
    </row>
    <row r="41" spans="1:12">
      <c r="A41" s="179"/>
      <c r="B41" s="179"/>
      <c r="C41" s="179"/>
      <c r="D41" s="179"/>
      <c r="E41" s="179"/>
      <c r="F41" s="179"/>
      <c r="G41" s="179"/>
      <c r="H41" s="179"/>
      <c r="I41" s="179"/>
      <c r="J41" s="180"/>
      <c r="K41" s="179"/>
      <c r="L41" s="179"/>
    </row>
    <row r="42" spans="1:12">
      <c r="A42" s="179"/>
      <c r="B42" s="179"/>
      <c r="C42" s="179"/>
      <c r="D42" s="179"/>
      <c r="E42" s="179"/>
      <c r="F42" s="179"/>
      <c r="G42" s="179"/>
      <c r="H42" s="179"/>
      <c r="I42" s="179"/>
      <c r="J42" s="180"/>
      <c r="K42" s="179"/>
      <c r="L42" s="179"/>
    </row>
    <row r="43" spans="1:12">
      <c r="A43" s="179"/>
      <c r="B43" s="179"/>
      <c r="C43" s="179"/>
      <c r="D43" s="179"/>
      <c r="E43" s="179"/>
      <c r="F43" s="279">
        <v>43830</v>
      </c>
      <c r="G43" s="179"/>
      <c r="H43" s="179"/>
      <c r="I43" s="179"/>
      <c r="J43" s="180"/>
      <c r="K43" s="179"/>
      <c r="L43" s="179"/>
    </row>
    <row r="44" spans="1:12">
      <c r="A44" s="179"/>
      <c r="B44" s="193" t="s">
        <v>827</v>
      </c>
      <c r="C44" s="179"/>
      <c r="D44" s="179"/>
      <c r="E44" s="179"/>
      <c r="F44" s="280">
        <f>259189626+4208069+2599787</f>
        <v>265997482</v>
      </c>
      <c r="G44" s="179"/>
      <c r="H44" s="179"/>
      <c r="I44" s="179"/>
      <c r="J44" s="180"/>
      <c r="K44" s="179"/>
      <c r="L44" s="179"/>
    </row>
    <row r="45" spans="1:12" ht="16.5">
      <c r="A45" s="179"/>
      <c r="B45" s="193" t="s">
        <v>828</v>
      </c>
      <c r="C45" s="179"/>
      <c r="D45" s="179"/>
      <c r="E45" s="179"/>
      <c r="F45" s="281">
        <f>2507570+69069.28</f>
        <v>2576639.2799999998</v>
      </c>
      <c r="G45" s="179"/>
      <c r="H45" s="179"/>
      <c r="I45" s="179"/>
      <c r="J45" s="180"/>
      <c r="K45" s="179"/>
      <c r="L45" s="179"/>
    </row>
    <row r="46" spans="1:12">
      <c r="A46" s="179"/>
      <c r="B46" s="179"/>
      <c r="C46" s="179"/>
      <c r="D46" s="179"/>
      <c r="E46" s="179"/>
      <c r="F46" s="268">
        <f>F44+F45</f>
        <v>268574121.27999997</v>
      </c>
      <c r="G46" s="179"/>
      <c r="H46" s="179"/>
      <c r="I46" s="179"/>
      <c r="J46" s="180"/>
      <c r="K46" s="179"/>
      <c r="L46" s="179"/>
    </row>
  </sheetData>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7"/>
  <sheetViews>
    <sheetView topLeftCell="A7" zoomScaleNormal="100" workbookViewId="0">
      <selection activeCell="D12" sqref="D12"/>
    </sheetView>
  </sheetViews>
  <sheetFormatPr defaultColWidth="9.140625" defaultRowHeight="12.75"/>
  <cols>
    <col min="1" max="1" width="3.42578125" style="65" customWidth="1"/>
    <col min="2" max="2" width="6" style="65" bestFit="1" customWidth="1"/>
    <col min="3" max="3" width="27.42578125" style="65" customWidth="1"/>
    <col min="4" max="4" width="8.140625" style="66" bestFit="1" customWidth="1"/>
    <col min="5" max="5" width="4.7109375" style="66" bestFit="1" customWidth="1"/>
    <col min="6" max="6" width="8.85546875" style="66" bestFit="1" customWidth="1"/>
    <col min="7" max="9" width="8.5703125" style="66" bestFit="1" customWidth="1"/>
    <col min="10" max="11" width="8.42578125" style="66" bestFit="1" customWidth="1"/>
    <col min="12" max="12" width="8.85546875" style="66" bestFit="1" customWidth="1"/>
    <col min="13" max="13" width="8.5703125" style="66" customWidth="1"/>
    <col min="14" max="14" width="8.42578125" style="66" customWidth="1"/>
    <col min="15" max="15" width="8.7109375" style="66" bestFit="1" customWidth="1"/>
    <col min="16" max="16" width="8.42578125" style="66" bestFit="1" customWidth="1"/>
    <col min="17" max="17" width="8.28515625" style="66" bestFit="1" customWidth="1"/>
    <col min="18" max="18" width="8.7109375" style="66" bestFit="1" customWidth="1"/>
    <col min="19" max="19" width="8.28515625" style="66" customWidth="1"/>
    <col min="20" max="20" width="9.5703125" style="66" bestFit="1" customWidth="1"/>
    <col min="21" max="21" width="9.140625" style="66"/>
    <col min="22" max="22" width="9.85546875" style="66" bestFit="1" customWidth="1"/>
    <col min="23" max="23" width="8.5703125" style="147" bestFit="1" customWidth="1"/>
    <col min="24" max="24" width="10.28515625" style="147" bestFit="1" customWidth="1"/>
    <col min="25" max="25" width="9.140625" style="147"/>
    <col min="26" max="26" width="10.5703125" style="147" bestFit="1" customWidth="1"/>
    <col min="27" max="28" width="9.140625" style="65"/>
    <col min="29" max="33" width="13.7109375" style="65" customWidth="1"/>
    <col min="34" max="16384" width="9.140625" style="65"/>
  </cols>
  <sheetData>
    <row r="1" spans="1:29" ht="38.25">
      <c r="D1" s="66" t="s">
        <v>829</v>
      </c>
      <c r="F1" s="181" t="s">
        <v>830</v>
      </c>
      <c r="G1" s="181" t="s">
        <v>831</v>
      </c>
      <c r="H1" s="181" t="s">
        <v>832</v>
      </c>
      <c r="I1" s="181" t="s">
        <v>833</v>
      </c>
      <c r="J1" s="181" t="s">
        <v>834</v>
      </c>
      <c r="K1" s="181" t="s">
        <v>835</v>
      </c>
      <c r="L1" s="181" t="s">
        <v>836</v>
      </c>
      <c r="M1" s="67" t="s">
        <v>837</v>
      </c>
      <c r="N1" s="184" t="s">
        <v>838</v>
      </c>
      <c r="O1" s="184" t="s">
        <v>839</v>
      </c>
      <c r="P1" s="184" t="s">
        <v>840</v>
      </c>
      <c r="Q1" s="184" t="s">
        <v>841</v>
      </c>
      <c r="R1" s="184" t="s">
        <v>842</v>
      </c>
      <c r="S1" s="68" t="s">
        <v>843</v>
      </c>
      <c r="T1" s="68" t="s">
        <v>448</v>
      </c>
      <c r="V1" s="135" t="s">
        <v>269</v>
      </c>
      <c r="W1" s="243" t="s">
        <v>270</v>
      </c>
      <c r="X1" s="243" t="s">
        <v>271</v>
      </c>
      <c r="Y1" s="243" t="s">
        <v>844</v>
      </c>
      <c r="Z1" s="244" t="s">
        <v>845</v>
      </c>
      <c r="AA1" s="147" t="s">
        <v>256</v>
      </c>
    </row>
    <row r="2" spans="1:29">
      <c r="A2" s="69" t="s">
        <v>402</v>
      </c>
      <c r="B2" s="70" t="s">
        <v>846</v>
      </c>
      <c r="C2" s="71" t="s">
        <v>847</v>
      </c>
      <c r="D2" s="72">
        <v>5038843.55</v>
      </c>
      <c r="F2" s="73">
        <v>746356.49</v>
      </c>
      <c r="G2" s="73">
        <v>761962.85</v>
      </c>
      <c r="H2" s="73">
        <v>713787.24</v>
      </c>
      <c r="I2" s="73">
        <v>766531.22</v>
      </c>
      <c r="J2" s="73">
        <v>681194.13</v>
      </c>
      <c r="K2" s="73">
        <v>642044.61</v>
      </c>
      <c r="L2" s="73">
        <v>726967.01</v>
      </c>
      <c r="M2" s="73">
        <f>SUM(F2:L2)</f>
        <v>5038843.55</v>
      </c>
      <c r="N2" s="74">
        <v>779413</v>
      </c>
      <c r="O2" s="74">
        <v>743984</v>
      </c>
      <c r="P2" s="74">
        <v>779413</v>
      </c>
      <c r="Q2" s="74">
        <v>779413</v>
      </c>
      <c r="R2" s="74">
        <v>779413</v>
      </c>
      <c r="S2" s="66">
        <f>SUM(N2:R2)</f>
        <v>3861636</v>
      </c>
      <c r="T2" s="66">
        <f>+M2+S2</f>
        <v>8900479.5500000007</v>
      </c>
      <c r="V2" s="66">
        <f>T2</f>
        <v>8900479.5500000007</v>
      </c>
      <c r="AA2" s="147">
        <f>SUM(V2:Z2)</f>
        <v>8900479.5500000007</v>
      </c>
    </row>
    <row r="3" spans="1:29">
      <c r="A3" s="75" t="s">
        <v>402</v>
      </c>
      <c r="B3" s="76" t="s">
        <v>848</v>
      </c>
      <c r="C3" s="77" t="s">
        <v>849</v>
      </c>
      <c r="D3" s="78">
        <v>235438.45</v>
      </c>
      <c r="F3" s="73">
        <v>35405.14</v>
      </c>
      <c r="G3" s="73">
        <v>28710.37</v>
      </c>
      <c r="H3" s="73">
        <v>24081.33</v>
      </c>
      <c r="I3" s="73">
        <v>29041.41</v>
      </c>
      <c r="J3" s="73">
        <v>42768.12</v>
      </c>
      <c r="K3" s="73">
        <v>40644.269999999997</v>
      </c>
      <c r="L3" s="73">
        <v>34787.81</v>
      </c>
      <c r="M3" s="73">
        <f t="shared" ref="M3:M25" si="0">SUM(F3:L3)</f>
        <v>235438.44999999998</v>
      </c>
      <c r="N3" s="74">
        <v>39805</v>
      </c>
      <c r="O3" s="74">
        <v>38029</v>
      </c>
      <c r="P3" s="74">
        <v>39945</v>
      </c>
      <c r="Q3" s="74">
        <v>39959</v>
      </c>
      <c r="R3" s="74">
        <v>39884</v>
      </c>
      <c r="S3" s="66">
        <f t="shared" ref="S3:S25" si="1">SUM(N3:R3)</f>
        <v>197622</v>
      </c>
      <c r="T3" s="66">
        <f t="shared" ref="T3:T25" si="2">+M3+S3</f>
        <v>433060.44999999995</v>
      </c>
      <c r="Y3" s="66">
        <f>T3</f>
        <v>433060.44999999995</v>
      </c>
      <c r="AA3" s="147">
        <f>SUM(W3:Z3)</f>
        <v>433060.44999999995</v>
      </c>
      <c r="AC3" s="65" t="s">
        <v>269</v>
      </c>
    </row>
    <row r="4" spans="1:29">
      <c r="A4" s="75" t="s">
        <v>402</v>
      </c>
      <c r="B4" s="76" t="s">
        <v>850</v>
      </c>
      <c r="C4" s="77" t="s">
        <v>851</v>
      </c>
      <c r="D4" s="78">
        <v>192647.19</v>
      </c>
      <c r="F4" s="73">
        <v>36580.78</v>
      </c>
      <c r="G4" s="73">
        <v>27897.67</v>
      </c>
      <c r="H4" s="73">
        <v>15508.61</v>
      </c>
      <c r="I4" s="73">
        <v>30255.46</v>
      </c>
      <c r="J4" s="73">
        <v>21979.57</v>
      </c>
      <c r="K4" s="73">
        <v>37727.97</v>
      </c>
      <c r="L4" s="73">
        <v>22697.13</v>
      </c>
      <c r="M4" s="73">
        <f t="shared" si="0"/>
        <v>192647.19</v>
      </c>
      <c r="N4" s="74">
        <v>22752</v>
      </c>
      <c r="O4" s="74">
        <v>22129</v>
      </c>
      <c r="P4" s="74">
        <v>15834</v>
      </c>
      <c r="Q4" s="74">
        <v>20089</v>
      </c>
      <c r="R4" s="74">
        <v>33733</v>
      </c>
      <c r="S4" s="66">
        <f t="shared" si="1"/>
        <v>114537</v>
      </c>
      <c r="T4" s="66">
        <f t="shared" si="2"/>
        <v>307184.19</v>
      </c>
      <c r="W4" s="147">
        <f>T4</f>
        <v>307184.19</v>
      </c>
      <c r="AA4" s="147">
        <f t="shared" ref="AA4:AA15" si="3">SUM(V4:Z4)</f>
        <v>307184.19</v>
      </c>
      <c r="AC4" s="147">
        <f>AA3+Y16</f>
        <v>471871.17999999993</v>
      </c>
    </row>
    <row r="5" spans="1:29">
      <c r="A5" s="75" t="s">
        <v>402</v>
      </c>
      <c r="B5" s="76" t="s">
        <v>852</v>
      </c>
      <c r="C5" s="77" t="s">
        <v>853</v>
      </c>
      <c r="D5" s="78">
        <v>936.57</v>
      </c>
      <c r="F5" s="73">
        <v>155.72</v>
      </c>
      <c r="G5" s="73">
        <v>55.61</v>
      </c>
      <c r="H5" s="73">
        <v>168.01</v>
      </c>
      <c r="I5" s="73">
        <v>202.08</v>
      </c>
      <c r="J5" s="73">
        <v>216.41</v>
      </c>
      <c r="K5" s="73">
        <v>71.680000000000007</v>
      </c>
      <c r="L5" s="73">
        <v>67.06</v>
      </c>
      <c r="M5" s="73">
        <f t="shared" si="0"/>
        <v>936.56999999999994</v>
      </c>
      <c r="N5" s="74">
        <v>53</v>
      </c>
      <c r="O5" s="74">
        <v>47</v>
      </c>
      <c r="P5" s="74">
        <v>30</v>
      </c>
      <c r="Q5" s="74">
        <v>89</v>
      </c>
      <c r="R5" s="74">
        <v>55</v>
      </c>
      <c r="S5" s="66">
        <f t="shared" si="1"/>
        <v>274</v>
      </c>
      <c r="T5" s="66">
        <f t="shared" si="2"/>
        <v>1210.57</v>
      </c>
      <c r="Y5" s="147">
        <f>T5</f>
        <v>1210.57</v>
      </c>
      <c r="AA5" s="147">
        <f t="shared" si="3"/>
        <v>1210.57</v>
      </c>
      <c r="AC5" s="65" t="s">
        <v>270</v>
      </c>
    </row>
    <row r="6" spans="1:29">
      <c r="A6" s="75" t="s">
        <v>854</v>
      </c>
      <c r="B6" s="76" t="s">
        <v>855</v>
      </c>
      <c r="C6" s="77" t="s">
        <v>856</v>
      </c>
      <c r="D6" s="78">
        <v>1250</v>
      </c>
      <c r="F6" s="73">
        <v>0</v>
      </c>
      <c r="G6" s="73">
        <v>0</v>
      </c>
      <c r="H6" s="73">
        <v>0</v>
      </c>
      <c r="I6" s="73">
        <v>0</v>
      </c>
      <c r="J6" s="73">
        <v>1250</v>
      </c>
      <c r="K6" s="73">
        <v>0</v>
      </c>
      <c r="L6" s="73">
        <v>0</v>
      </c>
      <c r="M6" s="73">
        <f t="shared" si="0"/>
        <v>1250</v>
      </c>
      <c r="N6" s="74"/>
      <c r="O6" s="74"/>
      <c r="P6" s="74"/>
      <c r="Q6" s="74"/>
      <c r="R6" s="74"/>
      <c r="S6" s="66">
        <f t="shared" si="1"/>
        <v>0</v>
      </c>
      <c r="T6" s="66">
        <f t="shared" si="2"/>
        <v>1250</v>
      </c>
      <c r="W6" s="147">
        <f>T6</f>
        <v>1250</v>
      </c>
      <c r="AA6" s="147">
        <f t="shared" si="3"/>
        <v>1250</v>
      </c>
      <c r="AC6" s="147">
        <f>Y5+Y17</f>
        <v>1788.6699999999998</v>
      </c>
    </row>
    <row r="7" spans="1:29">
      <c r="A7" s="75" t="s">
        <v>402</v>
      </c>
      <c r="B7" s="76" t="s">
        <v>857</v>
      </c>
      <c r="C7" s="77" t="s">
        <v>858</v>
      </c>
      <c r="D7" s="78">
        <v>-494642.18</v>
      </c>
      <c r="F7" s="73">
        <v>-31410.15</v>
      </c>
      <c r="G7" s="73">
        <v>0</v>
      </c>
      <c r="H7" s="73">
        <v>0</v>
      </c>
      <c r="I7" s="73">
        <v>-54381.98</v>
      </c>
      <c r="J7" s="73">
        <v>0</v>
      </c>
      <c r="K7" s="73">
        <v>0</v>
      </c>
      <c r="L7" s="73">
        <v>-408850.05</v>
      </c>
      <c r="M7" s="73">
        <f t="shared" si="0"/>
        <v>-494642.18</v>
      </c>
      <c r="N7" s="74">
        <v>0</v>
      </c>
      <c r="O7" s="74">
        <v>0</v>
      </c>
      <c r="P7" s="74">
        <v>0</v>
      </c>
      <c r="Q7" s="74">
        <v>0</v>
      </c>
      <c r="R7" s="74">
        <v>0</v>
      </c>
      <c r="S7" s="66">
        <f t="shared" si="1"/>
        <v>0</v>
      </c>
      <c r="T7" s="66">
        <f t="shared" si="2"/>
        <v>-494642.18</v>
      </c>
      <c r="Z7" s="147">
        <f>T7</f>
        <v>-494642.18</v>
      </c>
      <c r="AA7" s="147">
        <f t="shared" si="3"/>
        <v>-494642.18</v>
      </c>
      <c r="AC7" s="65" t="s">
        <v>271</v>
      </c>
    </row>
    <row r="8" spans="1:29">
      <c r="A8" s="75" t="s">
        <v>402</v>
      </c>
      <c r="B8" s="76" t="s">
        <v>859</v>
      </c>
      <c r="C8" s="77" t="s">
        <v>860</v>
      </c>
      <c r="D8" s="78">
        <v>-10549.37</v>
      </c>
      <c r="F8" s="73">
        <v>-3497.34</v>
      </c>
      <c r="G8" s="73">
        <v>0</v>
      </c>
      <c r="H8" s="73">
        <v>0</v>
      </c>
      <c r="I8" s="73">
        <v>-4036.91</v>
      </c>
      <c r="J8" s="73">
        <v>0</v>
      </c>
      <c r="K8" s="73">
        <v>0</v>
      </c>
      <c r="L8" s="73">
        <v>-3015.12</v>
      </c>
      <c r="M8" s="73">
        <f t="shared" si="0"/>
        <v>-10549.369999999999</v>
      </c>
      <c r="N8" s="74"/>
      <c r="O8" s="74"/>
      <c r="P8" s="74"/>
      <c r="Q8" s="74"/>
      <c r="R8" s="74"/>
      <c r="S8" s="66">
        <f t="shared" si="1"/>
        <v>0</v>
      </c>
      <c r="T8" s="66">
        <f t="shared" si="2"/>
        <v>-10549.369999999999</v>
      </c>
      <c r="Z8" s="147">
        <f>T8</f>
        <v>-10549.369999999999</v>
      </c>
      <c r="AA8" s="147">
        <f t="shared" si="3"/>
        <v>-10549.369999999999</v>
      </c>
      <c r="AC8" s="147">
        <f>Y9+Y11+Y13+Y18+Y19</f>
        <v>82745.42</v>
      </c>
    </row>
    <row r="9" spans="1:29">
      <c r="A9" s="75" t="s">
        <v>402</v>
      </c>
      <c r="B9" s="76" t="s">
        <v>861</v>
      </c>
      <c r="C9" s="77" t="s">
        <v>862</v>
      </c>
      <c r="D9" s="78">
        <v>660.31</v>
      </c>
      <c r="F9" s="73">
        <v>660.31</v>
      </c>
      <c r="G9" s="73">
        <v>0</v>
      </c>
      <c r="H9" s="73">
        <v>0</v>
      </c>
      <c r="I9" s="73">
        <v>0</v>
      </c>
      <c r="J9" s="73"/>
      <c r="K9" s="73"/>
      <c r="L9" s="73"/>
      <c r="M9" s="73">
        <f t="shared" si="0"/>
        <v>660.31</v>
      </c>
      <c r="N9" s="73"/>
      <c r="O9" s="73"/>
      <c r="P9" s="73"/>
      <c r="Q9" s="73"/>
      <c r="R9" s="73"/>
      <c r="S9" s="66">
        <f t="shared" si="1"/>
        <v>0</v>
      </c>
      <c r="T9" s="66">
        <f t="shared" si="2"/>
        <v>660.31</v>
      </c>
      <c r="Y9" s="147">
        <f>T9</f>
        <v>660.31</v>
      </c>
      <c r="AA9" s="147">
        <f t="shared" si="3"/>
        <v>660.31</v>
      </c>
    </row>
    <row r="10" spans="1:29">
      <c r="A10" s="75" t="s">
        <v>749</v>
      </c>
      <c r="B10" s="76" t="s">
        <v>863</v>
      </c>
      <c r="C10" s="77" t="s">
        <v>864</v>
      </c>
      <c r="D10" s="78">
        <v>2247.4499999999998</v>
      </c>
      <c r="F10" s="73">
        <v>0</v>
      </c>
      <c r="G10" s="73">
        <v>0</v>
      </c>
      <c r="H10" s="73">
        <v>0</v>
      </c>
      <c r="I10" s="73">
        <v>1922.45</v>
      </c>
      <c r="J10" s="73">
        <v>0</v>
      </c>
      <c r="K10" s="73">
        <v>300</v>
      </c>
      <c r="L10" s="73">
        <v>25</v>
      </c>
      <c r="M10" s="73">
        <f t="shared" si="0"/>
        <v>2247.4499999999998</v>
      </c>
      <c r="N10" s="74"/>
      <c r="O10" s="74"/>
      <c r="P10" s="74"/>
      <c r="Q10" s="74"/>
      <c r="R10" s="74"/>
      <c r="S10" s="66">
        <f t="shared" si="1"/>
        <v>0</v>
      </c>
      <c r="T10" s="66">
        <f t="shared" si="2"/>
        <v>2247.4499999999998</v>
      </c>
      <c r="X10" s="147">
        <f t="shared" ref="X10:X15" si="4">T10</f>
        <v>2247.4499999999998</v>
      </c>
      <c r="AA10" s="147">
        <f t="shared" si="3"/>
        <v>2247.4499999999998</v>
      </c>
      <c r="AC10" s="147">
        <f>AC8+AC6+AC4</f>
        <v>556405.2699999999</v>
      </c>
    </row>
    <row r="11" spans="1:29">
      <c r="A11" s="75" t="s">
        <v>402</v>
      </c>
      <c r="B11" s="76" t="s">
        <v>865</v>
      </c>
      <c r="C11" s="77" t="s">
        <v>866</v>
      </c>
      <c r="D11" s="78">
        <v>5688.64</v>
      </c>
      <c r="F11" s="73">
        <v>1347.81</v>
      </c>
      <c r="G11" s="73">
        <v>428.97</v>
      </c>
      <c r="H11" s="73">
        <v>407</v>
      </c>
      <c r="I11" s="73">
        <v>946.73</v>
      </c>
      <c r="J11" s="73">
        <v>783.25</v>
      </c>
      <c r="K11" s="73">
        <v>742.99</v>
      </c>
      <c r="L11" s="73">
        <v>1031.8900000000001</v>
      </c>
      <c r="M11" s="73">
        <f t="shared" si="0"/>
        <v>5688.64</v>
      </c>
      <c r="N11" s="74">
        <v>924</v>
      </c>
      <c r="O11" s="74">
        <v>924</v>
      </c>
      <c r="P11" s="74">
        <v>924</v>
      </c>
      <c r="Q11" s="74">
        <v>924</v>
      </c>
      <c r="R11" s="74">
        <v>924</v>
      </c>
      <c r="S11" s="66">
        <f t="shared" si="1"/>
        <v>4620</v>
      </c>
      <c r="T11" s="66">
        <f t="shared" si="2"/>
        <v>10308.64</v>
      </c>
      <c r="Y11" s="147">
        <f>T11</f>
        <v>10308.64</v>
      </c>
      <c r="AA11" s="147">
        <f t="shared" si="3"/>
        <v>10308.64</v>
      </c>
    </row>
    <row r="12" spans="1:29">
      <c r="A12" s="75" t="s">
        <v>402</v>
      </c>
      <c r="B12" s="76" t="s">
        <v>867</v>
      </c>
      <c r="C12" s="77" t="s">
        <v>868</v>
      </c>
      <c r="D12" s="78">
        <v>583127.62</v>
      </c>
      <c r="F12" s="73">
        <v>74093.350000000006</v>
      </c>
      <c r="G12" s="73">
        <v>74162.31</v>
      </c>
      <c r="H12" s="73">
        <v>74184.88</v>
      </c>
      <c r="I12" s="73">
        <v>145194.92000000001</v>
      </c>
      <c r="J12" s="73">
        <v>72094</v>
      </c>
      <c r="K12" s="73">
        <v>72094</v>
      </c>
      <c r="L12" s="73">
        <v>71304.160000000003</v>
      </c>
      <c r="M12" s="73">
        <f t="shared" si="0"/>
        <v>583127.62</v>
      </c>
      <c r="N12" s="74">
        <v>74361</v>
      </c>
      <c r="O12" s="74">
        <v>74360</v>
      </c>
      <c r="P12" s="74">
        <v>74361</v>
      </c>
      <c r="Q12" s="74">
        <v>74360</v>
      </c>
      <c r="R12" s="74">
        <v>74361</v>
      </c>
      <c r="S12" s="66">
        <f t="shared" si="1"/>
        <v>371803</v>
      </c>
      <c r="T12" s="66">
        <f t="shared" si="2"/>
        <v>954930.62</v>
      </c>
      <c r="X12" s="147">
        <f t="shared" si="4"/>
        <v>954930.62</v>
      </c>
      <c r="AA12" s="147">
        <f t="shared" si="3"/>
        <v>954930.62</v>
      </c>
    </row>
    <row r="13" spans="1:29">
      <c r="A13" s="75" t="s">
        <v>402</v>
      </c>
      <c r="B13" s="76" t="s">
        <v>869</v>
      </c>
      <c r="C13" s="77" t="s">
        <v>870</v>
      </c>
      <c r="D13" s="78">
        <v>37355.589999999997</v>
      </c>
      <c r="F13" s="73">
        <v>5121.92</v>
      </c>
      <c r="G13" s="73">
        <v>4489.2700000000004</v>
      </c>
      <c r="H13" s="73">
        <v>3940.71</v>
      </c>
      <c r="I13" s="73">
        <v>10436.83</v>
      </c>
      <c r="J13" s="73">
        <v>4802.2700000000004</v>
      </c>
      <c r="K13" s="73">
        <v>4768.91</v>
      </c>
      <c r="L13" s="73">
        <v>3795.68</v>
      </c>
      <c r="M13" s="73">
        <f t="shared" si="0"/>
        <v>37355.590000000004</v>
      </c>
      <c r="N13" s="74">
        <v>6160</v>
      </c>
      <c r="O13" s="74">
        <v>6160</v>
      </c>
      <c r="P13" s="74">
        <v>6160</v>
      </c>
      <c r="Q13" s="74">
        <v>6160</v>
      </c>
      <c r="R13" s="74">
        <v>6160</v>
      </c>
      <c r="S13" s="66">
        <f t="shared" si="1"/>
        <v>30800</v>
      </c>
      <c r="T13" s="66">
        <f t="shared" si="2"/>
        <v>68155.59</v>
      </c>
      <c r="Y13" s="147">
        <f>T13</f>
        <v>68155.59</v>
      </c>
      <c r="AA13" s="147">
        <f t="shared" si="3"/>
        <v>68155.59</v>
      </c>
    </row>
    <row r="14" spans="1:29">
      <c r="A14" s="75" t="s">
        <v>749</v>
      </c>
      <c r="B14" s="76" t="s">
        <v>871</v>
      </c>
      <c r="C14" s="77" t="s">
        <v>872</v>
      </c>
      <c r="D14" s="78">
        <v>1173.6199999999999</v>
      </c>
      <c r="F14" s="73"/>
      <c r="G14" s="73"/>
      <c r="H14" s="73"/>
      <c r="I14" s="73"/>
      <c r="J14" s="73">
        <v>0</v>
      </c>
      <c r="K14" s="73">
        <v>0</v>
      </c>
      <c r="L14" s="73">
        <v>1173.6199999999999</v>
      </c>
      <c r="M14" s="73">
        <f t="shared" si="0"/>
        <v>1173.6199999999999</v>
      </c>
      <c r="N14" s="74"/>
      <c r="O14" s="74"/>
      <c r="P14" s="74"/>
      <c r="Q14" s="74"/>
      <c r="R14" s="74"/>
      <c r="S14" s="66">
        <f t="shared" si="1"/>
        <v>0</v>
      </c>
      <c r="T14" s="66">
        <f t="shared" si="2"/>
        <v>1173.6199999999999</v>
      </c>
      <c r="X14" s="147">
        <f t="shared" si="4"/>
        <v>1173.6199999999999</v>
      </c>
      <c r="AA14" s="147">
        <f t="shared" si="3"/>
        <v>1173.6199999999999</v>
      </c>
    </row>
    <row r="15" spans="1:29">
      <c r="A15" s="75" t="s">
        <v>749</v>
      </c>
      <c r="B15" s="76" t="s">
        <v>873</v>
      </c>
      <c r="C15" s="77" t="s">
        <v>874</v>
      </c>
      <c r="D15" s="78">
        <v>684.12</v>
      </c>
      <c r="F15" s="73"/>
      <c r="G15" s="73"/>
      <c r="H15" s="73"/>
      <c r="I15" s="73"/>
      <c r="J15" s="73">
        <v>0</v>
      </c>
      <c r="K15" s="73">
        <v>0</v>
      </c>
      <c r="L15" s="73">
        <v>684.12</v>
      </c>
      <c r="M15" s="73">
        <f t="shared" si="0"/>
        <v>684.12</v>
      </c>
      <c r="N15" s="74"/>
      <c r="O15" s="74"/>
      <c r="P15" s="74"/>
      <c r="Q15" s="74"/>
      <c r="R15" s="74"/>
      <c r="S15" s="66">
        <f t="shared" si="1"/>
        <v>0</v>
      </c>
      <c r="T15" s="66">
        <f t="shared" si="2"/>
        <v>684.12</v>
      </c>
      <c r="X15" s="147">
        <f t="shared" si="4"/>
        <v>684.12</v>
      </c>
      <c r="AA15" s="147">
        <f t="shared" si="3"/>
        <v>684.12</v>
      </c>
    </row>
    <row r="16" spans="1:29">
      <c r="A16" s="75" t="s">
        <v>402</v>
      </c>
      <c r="B16" s="76" t="s">
        <v>875</v>
      </c>
      <c r="C16" s="77" t="s">
        <v>876</v>
      </c>
      <c r="D16" s="78">
        <v>29546.73</v>
      </c>
      <c r="F16" s="73">
        <v>1548.51</v>
      </c>
      <c r="G16" s="73">
        <v>1560</v>
      </c>
      <c r="H16" s="73">
        <v>1437.28</v>
      </c>
      <c r="I16" s="73">
        <v>1677.29</v>
      </c>
      <c r="J16" s="73">
        <v>7639.38</v>
      </c>
      <c r="K16" s="73">
        <v>9429.23</v>
      </c>
      <c r="L16" s="73">
        <v>6255.04</v>
      </c>
      <c r="M16" s="73">
        <f t="shared" si="0"/>
        <v>29546.73</v>
      </c>
      <c r="N16" s="74">
        <v>1869</v>
      </c>
      <c r="O16" s="74">
        <v>1787</v>
      </c>
      <c r="P16" s="74">
        <v>1869</v>
      </c>
      <c r="Q16" s="74">
        <v>1869</v>
      </c>
      <c r="R16" s="74">
        <v>1870</v>
      </c>
      <c r="S16" s="66">
        <f t="shared" si="1"/>
        <v>9264</v>
      </c>
      <c r="T16" s="66">
        <f t="shared" si="2"/>
        <v>38810.729999999996</v>
      </c>
      <c r="Y16" s="66">
        <f>T16</f>
        <v>38810.729999999996</v>
      </c>
      <c r="AA16" s="147">
        <f>SUM(W16:Z16)</f>
        <v>38810.729999999996</v>
      </c>
    </row>
    <row r="17" spans="1:27">
      <c r="A17" s="75" t="s">
        <v>402</v>
      </c>
      <c r="B17" s="76" t="s">
        <v>877</v>
      </c>
      <c r="C17" s="77" t="s">
        <v>878</v>
      </c>
      <c r="D17" s="78">
        <v>143.1</v>
      </c>
      <c r="F17" s="73">
        <v>11.23</v>
      </c>
      <c r="G17" s="73">
        <v>9.4700000000000006</v>
      </c>
      <c r="H17" s="73">
        <v>131.25</v>
      </c>
      <c r="I17" s="73">
        <v>21.94</v>
      </c>
      <c r="J17" s="73">
        <v>-49.67</v>
      </c>
      <c r="K17" s="73">
        <v>8.09</v>
      </c>
      <c r="L17" s="73">
        <v>10.79</v>
      </c>
      <c r="M17" s="73">
        <f t="shared" si="0"/>
        <v>143.09999999999997</v>
      </c>
      <c r="N17" s="74">
        <v>114</v>
      </c>
      <c r="O17" s="74">
        <v>96</v>
      </c>
      <c r="P17" s="74">
        <v>93</v>
      </c>
      <c r="Q17" s="74">
        <v>59</v>
      </c>
      <c r="R17" s="74">
        <v>73</v>
      </c>
      <c r="S17" s="66">
        <f t="shared" si="1"/>
        <v>435</v>
      </c>
      <c r="T17" s="66">
        <f t="shared" si="2"/>
        <v>578.09999999999991</v>
      </c>
      <c r="Y17" s="147">
        <f>T17</f>
        <v>578.09999999999991</v>
      </c>
      <c r="AA17" s="147">
        <f>SUM(V17:Z17)</f>
        <v>578.09999999999991</v>
      </c>
    </row>
    <row r="18" spans="1:27">
      <c r="A18" s="75" t="s">
        <v>402</v>
      </c>
      <c r="B18" s="76" t="s">
        <v>879</v>
      </c>
      <c r="C18" s="77" t="s">
        <v>880</v>
      </c>
      <c r="D18" s="78">
        <v>242.44</v>
      </c>
      <c r="F18" s="73">
        <v>0</v>
      </c>
      <c r="G18" s="73">
        <v>49.14</v>
      </c>
      <c r="H18" s="73">
        <v>0</v>
      </c>
      <c r="I18" s="73">
        <v>0</v>
      </c>
      <c r="J18" s="73">
        <v>143.71</v>
      </c>
      <c r="K18" s="73">
        <v>49.59</v>
      </c>
      <c r="L18" s="73">
        <v>0</v>
      </c>
      <c r="M18" s="73">
        <f t="shared" si="0"/>
        <v>242.44000000000003</v>
      </c>
      <c r="N18" s="74"/>
      <c r="O18" s="74"/>
      <c r="P18" s="74"/>
      <c r="Q18" s="74"/>
      <c r="R18" s="74"/>
      <c r="S18" s="66">
        <f t="shared" si="1"/>
        <v>0</v>
      </c>
      <c r="T18" s="66">
        <f t="shared" si="2"/>
        <v>242.44000000000003</v>
      </c>
      <c r="Y18" s="147">
        <f>T18</f>
        <v>242.44000000000003</v>
      </c>
      <c r="AA18" s="147">
        <f>SUM(V18:Z18)</f>
        <v>242.44000000000003</v>
      </c>
    </row>
    <row r="19" spans="1:27">
      <c r="A19" s="75" t="s">
        <v>402</v>
      </c>
      <c r="B19" s="76" t="s">
        <v>881</v>
      </c>
      <c r="C19" s="77" t="s">
        <v>882</v>
      </c>
      <c r="D19" s="78">
        <v>2568.44</v>
      </c>
      <c r="F19" s="79">
        <v>120.71</v>
      </c>
      <c r="G19" s="79">
        <v>127.15</v>
      </c>
      <c r="H19" s="79">
        <v>133.66</v>
      </c>
      <c r="I19" s="79">
        <v>254.32</v>
      </c>
      <c r="J19" s="79">
        <v>636.73</v>
      </c>
      <c r="K19" s="79">
        <v>830.56</v>
      </c>
      <c r="L19" s="79">
        <v>465.31</v>
      </c>
      <c r="M19" s="79">
        <f t="shared" si="0"/>
        <v>2568.44</v>
      </c>
      <c r="N19" s="74">
        <v>162</v>
      </c>
      <c r="O19" s="74">
        <v>162</v>
      </c>
      <c r="P19" s="74">
        <v>162</v>
      </c>
      <c r="Q19" s="74">
        <v>162</v>
      </c>
      <c r="R19" s="74">
        <v>162</v>
      </c>
      <c r="S19" s="66">
        <f t="shared" si="1"/>
        <v>810</v>
      </c>
      <c r="T19" s="66">
        <f t="shared" si="2"/>
        <v>3378.44</v>
      </c>
      <c r="Y19" s="147">
        <f>T19</f>
        <v>3378.44</v>
      </c>
      <c r="AA19" s="147">
        <f>SUM(V19:Z19)</f>
        <v>3378.44</v>
      </c>
    </row>
    <row r="20" spans="1:27">
      <c r="A20" s="75"/>
      <c r="B20" s="76"/>
      <c r="C20" s="77" t="s">
        <v>883</v>
      </c>
      <c r="D20" s="78">
        <f>SUM(D2:D19)</f>
        <v>5627362.2700000014</v>
      </c>
      <c r="F20" s="80">
        <f t="shared" ref="F20:L20" si="5">SUM(F2:F19)</f>
        <v>866494.4800000001</v>
      </c>
      <c r="G20" s="80">
        <f t="shared" si="5"/>
        <v>899452.81</v>
      </c>
      <c r="H20" s="80">
        <f t="shared" si="5"/>
        <v>833779.97</v>
      </c>
      <c r="I20" s="80">
        <f t="shared" si="5"/>
        <v>928065.75999999978</v>
      </c>
      <c r="J20" s="80">
        <f t="shared" si="5"/>
        <v>833457.89999999991</v>
      </c>
      <c r="K20" s="80">
        <f t="shared" si="5"/>
        <v>808711.9</v>
      </c>
      <c r="L20" s="80">
        <f t="shared" si="5"/>
        <v>457399.45000000007</v>
      </c>
      <c r="M20" s="83">
        <f t="shared" si="0"/>
        <v>5627362.2700000005</v>
      </c>
      <c r="N20" s="84">
        <f>SUM(N2:N19)</f>
        <v>925613</v>
      </c>
      <c r="O20" s="74">
        <f>SUM(O2:O19)</f>
        <v>887678</v>
      </c>
      <c r="P20" s="74">
        <f>SUM(P2:P19)</f>
        <v>918791</v>
      </c>
      <c r="Q20" s="74">
        <f>SUM(Q2:Q19)</f>
        <v>923084</v>
      </c>
      <c r="R20" s="74">
        <f>SUM(R2:R19)</f>
        <v>936635</v>
      </c>
      <c r="S20" s="66">
        <f t="shared" si="1"/>
        <v>4591801</v>
      </c>
      <c r="T20" s="85">
        <f t="shared" si="2"/>
        <v>10219163.27</v>
      </c>
      <c r="V20" s="66">
        <f>SUM(V2:V19)</f>
        <v>8900479.5500000007</v>
      </c>
      <c r="W20" s="66">
        <f>SUM(W2:W19)</f>
        <v>308434.19</v>
      </c>
      <c r="X20" s="66">
        <f>SUM(X2:X19)</f>
        <v>959035.80999999994</v>
      </c>
      <c r="Y20" s="66">
        <f>SUM(Y2:Y19)</f>
        <v>556405.26999999979</v>
      </c>
      <c r="Z20" s="66">
        <f>SUM(Z2:Z19)</f>
        <v>-505191.55</v>
      </c>
      <c r="AA20" s="147">
        <f>SUM(V20:Z20)</f>
        <v>10219163.27</v>
      </c>
    </row>
    <row r="21" spans="1:27">
      <c r="A21" s="75"/>
      <c r="B21" s="76"/>
      <c r="C21" s="77"/>
      <c r="D21" s="78"/>
      <c r="F21" s="86"/>
      <c r="G21" s="81"/>
      <c r="H21" s="81"/>
      <c r="I21" s="81"/>
      <c r="J21" s="81"/>
      <c r="K21" s="81"/>
      <c r="M21" s="81" t="s">
        <v>884</v>
      </c>
      <c r="N21" s="87">
        <v>870760.21999999974</v>
      </c>
      <c r="O21" s="88">
        <v>821648.40999999992</v>
      </c>
      <c r="P21" s="88">
        <v>881013.19000000006</v>
      </c>
      <c r="Q21" s="88">
        <v>905142.53</v>
      </c>
      <c r="R21" s="88">
        <v>935264.79</v>
      </c>
      <c r="S21" s="66">
        <f>SUM(N21:R21)</f>
        <v>4413829.1399999997</v>
      </c>
      <c r="AA21" s="147"/>
    </row>
    <row r="22" spans="1:27">
      <c r="A22" s="75"/>
      <c r="B22" s="76"/>
      <c r="C22" s="77"/>
      <c r="D22" s="78"/>
      <c r="F22" s="89"/>
      <c r="G22" s="90"/>
      <c r="H22" s="90"/>
      <c r="I22" s="90"/>
      <c r="J22" s="90"/>
      <c r="K22" s="90"/>
      <c r="M22" s="90" t="s">
        <v>376</v>
      </c>
      <c r="N22" s="91">
        <f>+N20/N21-1</f>
        <v>6.2994127131807076E-2</v>
      </c>
      <c r="O22" s="92">
        <f t="shared" ref="O22:S22" si="6">+O20/O21-1</f>
        <v>8.0362341357175016E-2</v>
      </c>
      <c r="P22" s="92">
        <f t="shared" si="6"/>
        <v>4.2879959606507034E-2</v>
      </c>
      <c r="Q22" s="92">
        <f t="shared" si="6"/>
        <v>1.9821706974701536E-2</v>
      </c>
      <c r="R22" s="92">
        <f t="shared" si="6"/>
        <v>1.465050341518781E-3</v>
      </c>
      <c r="S22" s="92">
        <f t="shared" si="6"/>
        <v>4.032142032575381E-2</v>
      </c>
      <c r="AA22" s="147"/>
    </row>
    <row r="23" spans="1:27">
      <c r="A23" s="75"/>
      <c r="B23" s="76"/>
      <c r="C23" s="77"/>
      <c r="D23" s="78"/>
      <c r="F23" s="89"/>
      <c r="G23" s="90"/>
      <c r="H23" s="90"/>
      <c r="I23" s="90"/>
      <c r="J23" s="90"/>
      <c r="K23" s="90"/>
      <c r="M23" s="90"/>
      <c r="N23" s="223"/>
      <c r="O23" s="92"/>
      <c r="P23" s="92"/>
      <c r="Q23" s="92"/>
      <c r="R23" s="92"/>
      <c r="S23" s="223"/>
      <c r="AA23" s="147"/>
    </row>
    <row r="24" spans="1:27" ht="25.5">
      <c r="A24" s="75" t="s">
        <v>402</v>
      </c>
      <c r="B24" s="76" t="s">
        <v>885</v>
      </c>
      <c r="C24" s="93" t="s">
        <v>886</v>
      </c>
      <c r="D24" s="78">
        <v>-1160694.99</v>
      </c>
      <c r="F24" s="94">
        <v>-241386.2</v>
      </c>
      <c r="G24" s="95">
        <v>-206200.09</v>
      </c>
      <c r="H24" s="95">
        <v>-166398.28</v>
      </c>
      <c r="I24" s="95">
        <v>-158205.29999999999</v>
      </c>
      <c r="J24" s="95">
        <v>-154844.17000000001</v>
      </c>
      <c r="K24" s="95">
        <v>-103006.38</v>
      </c>
      <c r="L24" s="95">
        <v>-130654.57</v>
      </c>
      <c r="M24" s="96">
        <f t="shared" si="0"/>
        <v>-1160694.9900000002</v>
      </c>
      <c r="N24" s="88"/>
      <c r="O24" s="74"/>
      <c r="P24" s="74"/>
      <c r="Q24" s="74"/>
      <c r="R24" s="74"/>
      <c r="S24" s="66">
        <f t="shared" si="1"/>
        <v>0</v>
      </c>
      <c r="T24" s="66">
        <f t="shared" si="2"/>
        <v>-1160694.9900000002</v>
      </c>
    </row>
    <row r="25" spans="1:27">
      <c r="A25" s="75"/>
      <c r="B25" s="76"/>
      <c r="C25" s="77" t="s">
        <v>13</v>
      </c>
      <c r="D25" s="78">
        <f>+D20+D24</f>
        <v>4466667.2800000012</v>
      </c>
      <c r="F25" s="97">
        <f>+F20+F24</f>
        <v>625108.28</v>
      </c>
      <c r="G25" s="97">
        <f t="shared" ref="G25:L25" si="7">+G20+G24</f>
        <v>693252.72000000009</v>
      </c>
      <c r="H25" s="97">
        <f t="shared" si="7"/>
        <v>667381.68999999994</v>
      </c>
      <c r="I25" s="97">
        <f t="shared" si="7"/>
        <v>769860.45999999973</v>
      </c>
      <c r="J25" s="97">
        <f t="shared" si="7"/>
        <v>678613.72999999986</v>
      </c>
      <c r="K25" s="97">
        <f t="shared" si="7"/>
        <v>705705.52</v>
      </c>
      <c r="L25" s="97">
        <f t="shared" si="7"/>
        <v>326744.88000000006</v>
      </c>
      <c r="M25" s="98">
        <f t="shared" si="0"/>
        <v>4466667.2799999993</v>
      </c>
      <c r="N25" s="84">
        <f>+N20+N24</f>
        <v>925613</v>
      </c>
      <c r="O25" s="99">
        <f>+O20+O24</f>
        <v>887678</v>
      </c>
      <c r="P25" s="99">
        <f>+P20+P24</f>
        <v>918791</v>
      </c>
      <c r="Q25" s="99">
        <f>+Q20+Q24</f>
        <v>923084</v>
      </c>
      <c r="R25" s="99">
        <f>+R20+R24</f>
        <v>936635</v>
      </c>
      <c r="S25" s="66">
        <f t="shared" si="1"/>
        <v>4591801</v>
      </c>
      <c r="T25" s="66">
        <f t="shared" si="2"/>
        <v>9058468.2799999993</v>
      </c>
    </row>
    <row r="26" spans="1:27">
      <c r="A26" s="75"/>
      <c r="B26" s="76"/>
      <c r="C26" s="77" t="s">
        <v>887</v>
      </c>
      <c r="D26" s="78"/>
      <c r="F26" s="100">
        <f t="shared" ref="F26:L26" si="8">+F24/F20</f>
        <v>-0.27857788545865864</v>
      </c>
      <c r="G26" s="100">
        <f t="shared" si="8"/>
        <v>-0.2292505929243803</v>
      </c>
      <c r="H26" s="100">
        <f t="shared" si="8"/>
        <v>-0.19957097314295041</v>
      </c>
      <c r="I26" s="100">
        <f t="shared" si="8"/>
        <v>-0.17046776943909667</v>
      </c>
      <c r="J26" s="100">
        <f t="shared" si="8"/>
        <v>-0.18578523282339759</v>
      </c>
      <c r="K26" s="100">
        <f t="shared" si="8"/>
        <v>-0.12737092158530128</v>
      </c>
      <c r="L26" s="100">
        <f t="shared" si="8"/>
        <v>-0.28564653936509976</v>
      </c>
      <c r="M26" s="101"/>
      <c r="N26" s="87"/>
      <c r="O26" s="87"/>
      <c r="P26" s="87"/>
      <c r="Q26" s="87"/>
      <c r="R26" s="87"/>
    </row>
    <row r="27" spans="1:27">
      <c r="A27" s="75"/>
      <c r="B27" s="76"/>
      <c r="C27" s="77" t="s">
        <v>888</v>
      </c>
      <c r="D27" s="78"/>
      <c r="F27" s="82"/>
      <c r="G27" s="82"/>
      <c r="H27" s="82"/>
      <c r="I27" s="82"/>
      <c r="J27" s="82"/>
      <c r="K27" s="82"/>
      <c r="L27" s="82"/>
      <c r="M27" s="101"/>
      <c r="N27" s="91">
        <v>-0.20964452188686347</v>
      </c>
      <c r="O27" s="91">
        <v>-0.21001743312568452</v>
      </c>
      <c r="P27" s="91">
        <v>-0.25801986006588618</v>
      </c>
      <c r="Q27" s="91">
        <v>-0.24304958910725363</v>
      </c>
      <c r="R27" s="91">
        <v>-0.22435856908501817</v>
      </c>
    </row>
    <row r="28" spans="1:27">
      <c r="A28" s="75"/>
      <c r="B28" s="76"/>
      <c r="C28" s="77" t="s">
        <v>889</v>
      </c>
      <c r="D28" s="78"/>
      <c r="F28" s="82"/>
      <c r="G28" s="82"/>
      <c r="H28" s="82"/>
      <c r="I28" s="82"/>
      <c r="J28" s="82"/>
      <c r="K28" s="82"/>
      <c r="L28" s="82"/>
      <c r="M28" s="101"/>
      <c r="N28" s="87">
        <f>+N25*N27</f>
        <v>-194049.69483726536</v>
      </c>
      <c r="O28" s="87">
        <f t="shared" ref="O28:R28" si="9">+O25*O27</f>
        <v>-186427.85500214138</v>
      </c>
      <c r="P28" s="87">
        <f t="shared" si="9"/>
        <v>-237066.32524979563</v>
      </c>
      <c r="Q28" s="87">
        <f t="shared" si="9"/>
        <v>-224355.18691148012</v>
      </c>
      <c r="R28" s="87">
        <f t="shared" si="9"/>
        <v>-210142.088354946</v>
      </c>
      <c r="S28" s="66">
        <f>SUM(N28:R28)</f>
        <v>-1052041.1503556285</v>
      </c>
      <c r="T28" s="66">
        <f t="shared" ref="T28" si="10">+M28+S28</f>
        <v>-1052041.1503556285</v>
      </c>
    </row>
    <row r="29" spans="1:27">
      <c r="A29" s="75"/>
      <c r="B29" s="76"/>
      <c r="C29" s="77"/>
      <c r="D29" s="78"/>
      <c r="F29" s="82"/>
      <c r="G29" s="82"/>
      <c r="H29" s="82"/>
      <c r="I29" s="82"/>
      <c r="J29" s="82"/>
      <c r="K29" s="82"/>
      <c r="L29" s="82"/>
      <c r="M29" s="101"/>
      <c r="N29" s="87"/>
      <c r="O29" s="87"/>
      <c r="P29" s="87"/>
      <c r="Q29" s="87"/>
      <c r="R29" s="87"/>
    </row>
    <row r="30" spans="1:27">
      <c r="A30" s="75"/>
      <c r="B30" s="76"/>
      <c r="C30" s="77" t="s">
        <v>890</v>
      </c>
      <c r="D30" s="78"/>
      <c r="F30" s="82">
        <f>+F25</f>
        <v>625108.28</v>
      </c>
      <c r="G30" s="82">
        <f t="shared" ref="G30:M30" si="11">+G25</f>
        <v>693252.72000000009</v>
      </c>
      <c r="H30" s="82">
        <f t="shared" si="11"/>
        <v>667381.68999999994</v>
      </c>
      <c r="I30" s="82">
        <f t="shared" si="11"/>
        <v>769860.45999999973</v>
      </c>
      <c r="J30" s="82">
        <f t="shared" si="11"/>
        <v>678613.72999999986</v>
      </c>
      <c r="K30" s="82">
        <f t="shared" si="11"/>
        <v>705705.52</v>
      </c>
      <c r="L30" s="82">
        <f t="shared" si="11"/>
        <v>326744.88000000006</v>
      </c>
      <c r="M30" s="82">
        <f t="shared" si="11"/>
        <v>4466667.2799999993</v>
      </c>
      <c r="N30" s="87">
        <f>+N25+N28</f>
        <v>731563.30516273458</v>
      </c>
      <c r="O30" s="87">
        <f t="shared" ref="O30:S30" si="12">+O25+O28</f>
        <v>701250.14499785868</v>
      </c>
      <c r="P30" s="87">
        <f t="shared" si="12"/>
        <v>681724.67475020443</v>
      </c>
      <c r="Q30" s="87">
        <f t="shared" si="12"/>
        <v>698728.81308851985</v>
      </c>
      <c r="R30" s="87">
        <f t="shared" si="12"/>
        <v>726492.911645054</v>
      </c>
      <c r="S30" s="102">
        <f t="shared" si="12"/>
        <v>3539759.8496443713</v>
      </c>
      <c r="T30" s="85">
        <f t="shared" ref="T30" si="13">+M30+S30</f>
        <v>8006427.1296443706</v>
      </c>
      <c r="U30" s="118">
        <f>+T30/T20</f>
        <v>0.78347188689591907</v>
      </c>
    </row>
    <row r="31" spans="1:27">
      <c r="A31" s="75"/>
      <c r="B31" s="76"/>
      <c r="C31" s="77"/>
      <c r="D31" s="78"/>
      <c r="F31" s="82"/>
      <c r="G31" s="82"/>
      <c r="H31" s="82"/>
      <c r="I31" s="82"/>
      <c r="J31" s="82"/>
      <c r="K31" s="82"/>
      <c r="L31" s="82"/>
      <c r="M31" s="101"/>
      <c r="N31" s="87"/>
      <c r="O31" s="87"/>
      <c r="P31" s="87"/>
      <c r="Q31" s="87"/>
      <c r="R31" s="87"/>
      <c r="T31" s="103"/>
      <c r="AA31" s="147"/>
    </row>
    <row r="32" spans="1:27">
      <c r="A32" s="75"/>
      <c r="B32" s="76"/>
      <c r="C32" s="77"/>
      <c r="D32" s="78"/>
      <c r="F32" s="104" t="s">
        <v>891</v>
      </c>
      <c r="G32" s="104" t="s">
        <v>892</v>
      </c>
      <c r="H32" s="104" t="s">
        <v>893</v>
      </c>
      <c r="I32" s="104" t="s">
        <v>894</v>
      </c>
      <c r="J32" s="104" t="s">
        <v>895</v>
      </c>
      <c r="K32" s="104" t="s">
        <v>896</v>
      </c>
      <c r="L32" s="104" t="s">
        <v>897</v>
      </c>
      <c r="M32" s="67"/>
      <c r="N32" s="105" t="s">
        <v>898</v>
      </c>
      <c r="O32" s="105" t="s">
        <v>899</v>
      </c>
      <c r="P32" s="105" t="s">
        <v>900</v>
      </c>
      <c r="Q32" s="105" t="s">
        <v>901</v>
      </c>
      <c r="R32" s="105" t="s">
        <v>902</v>
      </c>
      <c r="T32" s="103"/>
      <c r="AA32" s="147"/>
    </row>
    <row r="33" spans="1:35">
      <c r="A33" s="75"/>
      <c r="B33" s="76"/>
      <c r="C33" s="77" t="s">
        <v>883</v>
      </c>
      <c r="D33" s="78"/>
      <c r="F33" s="224">
        <f>+F20</f>
        <v>866494.4800000001</v>
      </c>
      <c r="G33" s="224">
        <f t="shared" ref="G33:R33" si="14">+G20</f>
        <v>899452.81</v>
      </c>
      <c r="H33" s="224">
        <f t="shared" si="14"/>
        <v>833779.97</v>
      </c>
      <c r="I33" s="224">
        <f t="shared" si="14"/>
        <v>928065.75999999978</v>
      </c>
      <c r="J33" s="224">
        <f t="shared" si="14"/>
        <v>833457.89999999991</v>
      </c>
      <c r="K33" s="224">
        <f t="shared" si="14"/>
        <v>808711.9</v>
      </c>
      <c r="L33" s="224">
        <f t="shared" si="14"/>
        <v>457399.45000000007</v>
      </c>
      <c r="M33" s="225"/>
      <c r="N33" s="224">
        <f t="shared" si="14"/>
        <v>925613</v>
      </c>
      <c r="O33" s="224">
        <f t="shared" si="14"/>
        <v>887678</v>
      </c>
      <c r="P33" s="224">
        <f t="shared" si="14"/>
        <v>918791</v>
      </c>
      <c r="Q33" s="224">
        <f t="shared" si="14"/>
        <v>923084</v>
      </c>
      <c r="R33" s="224">
        <f t="shared" si="14"/>
        <v>936635</v>
      </c>
      <c r="T33" s="103">
        <f>SUM(F33:R33)</f>
        <v>10219163.27</v>
      </c>
      <c r="AA33" s="147"/>
      <c r="AD33" s="65" t="s">
        <v>903</v>
      </c>
    </row>
    <row r="34" spans="1:35">
      <c r="A34" s="75"/>
      <c r="B34" s="76"/>
      <c r="C34" s="77" t="s">
        <v>904</v>
      </c>
      <c r="D34" s="78"/>
      <c r="F34" s="224">
        <f>-F7-F8</f>
        <v>34907.490000000005</v>
      </c>
      <c r="G34" s="224">
        <f t="shared" ref="G34:L34" si="15">-G7-G8</f>
        <v>0</v>
      </c>
      <c r="H34" s="224">
        <f t="shared" si="15"/>
        <v>0</v>
      </c>
      <c r="I34" s="224">
        <f t="shared" si="15"/>
        <v>58418.89</v>
      </c>
      <c r="J34" s="224">
        <f t="shared" si="15"/>
        <v>0</v>
      </c>
      <c r="K34" s="224">
        <f t="shared" si="15"/>
        <v>0</v>
      </c>
      <c r="L34" s="224">
        <f t="shared" si="15"/>
        <v>411865.17</v>
      </c>
      <c r="M34" s="225"/>
      <c r="N34" s="226"/>
      <c r="O34" s="226"/>
      <c r="P34" s="226"/>
      <c r="Q34" s="226"/>
      <c r="R34" s="226"/>
      <c r="T34" s="103">
        <f t="shared" ref="T34:T35" si="16">SUM(F34:R34)</f>
        <v>505191.55</v>
      </c>
      <c r="Z34" s="147">
        <f>T34</f>
        <v>505191.55</v>
      </c>
      <c r="AA34" s="147">
        <f>SUM(V34:Z34)</f>
        <v>505191.55</v>
      </c>
    </row>
    <row r="35" spans="1:35" ht="15">
      <c r="A35" s="75"/>
      <c r="B35" s="76"/>
      <c r="C35" s="77" t="s">
        <v>905</v>
      </c>
      <c r="D35" s="78"/>
      <c r="F35" s="224">
        <f>-F19-F18-F15-F14-F13-F12-F11-F10-F9</f>
        <v>-81344.100000000006</v>
      </c>
      <c r="G35" s="224">
        <f t="shared" ref="G35:R35" si="17">-G19-G18-G15-G14-G13-G12-G11-G10-G9</f>
        <v>-79256.84</v>
      </c>
      <c r="H35" s="224">
        <f t="shared" si="17"/>
        <v>-78666.25</v>
      </c>
      <c r="I35" s="224">
        <f t="shared" si="17"/>
        <v>-158755.25000000003</v>
      </c>
      <c r="J35" s="224">
        <f t="shared" si="17"/>
        <v>-78459.960000000006</v>
      </c>
      <c r="K35" s="224">
        <f t="shared" si="17"/>
        <v>-78786.05</v>
      </c>
      <c r="L35" s="224">
        <f t="shared" si="17"/>
        <v>-78479.78</v>
      </c>
      <c r="M35" s="224"/>
      <c r="N35" s="224">
        <f t="shared" si="17"/>
        <v>-81607</v>
      </c>
      <c r="O35" s="224">
        <f t="shared" si="17"/>
        <v>-81606</v>
      </c>
      <c r="P35" s="224">
        <f t="shared" si="17"/>
        <v>-81607</v>
      </c>
      <c r="Q35" s="224">
        <f t="shared" si="17"/>
        <v>-81606</v>
      </c>
      <c r="R35" s="224">
        <f t="shared" si="17"/>
        <v>-81607</v>
      </c>
      <c r="T35" s="103">
        <f t="shared" si="16"/>
        <v>-1041781.2300000001</v>
      </c>
      <c r="V35" s="241">
        <v>0</v>
      </c>
      <c r="W35" s="242">
        <v>0</v>
      </c>
      <c r="X35" s="242">
        <f>-X20</f>
        <v>-959035.80999999994</v>
      </c>
      <c r="Y35" s="242">
        <f>+T35-X35</f>
        <v>-82745.420000000158</v>
      </c>
      <c r="Z35" s="509">
        <v>0</v>
      </c>
      <c r="AA35" s="242">
        <f>SUM(V35:Y35)</f>
        <v>-1041781.2300000001</v>
      </c>
    </row>
    <row r="36" spans="1:35" ht="15">
      <c r="A36" s="75"/>
      <c r="B36" s="76"/>
      <c r="C36" s="77" t="s">
        <v>906</v>
      </c>
      <c r="D36" s="78"/>
      <c r="F36" s="224">
        <f>SUM(F33:F35)</f>
        <v>820057.87000000011</v>
      </c>
      <c r="G36" s="224">
        <f t="shared" ref="G36:R36" si="18">SUM(G33:G35)</f>
        <v>820195.97000000009</v>
      </c>
      <c r="H36" s="224">
        <f t="shared" si="18"/>
        <v>755113.72</v>
      </c>
      <c r="I36" s="224">
        <f t="shared" si="18"/>
        <v>827729.39999999979</v>
      </c>
      <c r="J36" s="224">
        <f t="shared" si="18"/>
        <v>754997.94</v>
      </c>
      <c r="K36" s="224">
        <f t="shared" si="18"/>
        <v>729925.85</v>
      </c>
      <c r="L36" s="224">
        <f t="shared" si="18"/>
        <v>790784.84000000008</v>
      </c>
      <c r="M36" s="224"/>
      <c r="N36" s="224">
        <f t="shared" si="18"/>
        <v>844006</v>
      </c>
      <c r="O36" s="224">
        <f t="shared" si="18"/>
        <v>806072</v>
      </c>
      <c r="P36" s="224">
        <f t="shared" si="18"/>
        <v>837184</v>
      </c>
      <c r="Q36" s="224">
        <f t="shared" si="18"/>
        <v>841478</v>
      </c>
      <c r="R36" s="224">
        <f t="shared" si="18"/>
        <v>855028</v>
      </c>
      <c r="T36" s="103">
        <f>SUM(T33:T35)</f>
        <v>9682573.5899999999</v>
      </c>
      <c r="V36" s="66">
        <f>SUM(V20:V35)</f>
        <v>8900479.5500000007</v>
      </c>
      <c r="W36" s="66">
        <f t="shared" ref="W36:AA36" si="19">SUM(W20:W35)</f>
        <v>308434.19</v>
      </c>
      <c r="X36" s="66">
        <f t="shared" si="19"/>
        <v>0</v>
      </c>
      <c r="Y36" s="66">
        <f t="shared" si="19"/>
        <v>473659.84999999963</v>
      </c>
      <c r="Z36" s="66">
        <f t="shared" si="19"/>
        <v>0</v>
      </c>
      <c r="AA36" s="66">
        <f t="shared" si="19"/>
        <v>9682573.5899999999</v>
      </c>
      <c r="AD36" s="245" t="s">
        <v>907</v>
      </c>
      <c r="AE36" s="245" t="s">
        <v>908</v>
      </c>
      <c r="AF36" s="245" t="s">
        <v>909</v>
      </c>
      <c r="AG36" s="245" t="s">
        <v>910</v>
      </c>
      <c r="AH36" s="245"/>
      <c r="AI36" s="245"/>
    </row>
    <row r="37" spans="1:35" ht="15">
      <c r="A37" s="75"/>
      <c r="B37" s="76"/>
      <c r="C37" s="77" t="s">
        <v>911</v>
      </c>
      <c r="D37" s="78"/>
      <c r="F37" s="106">
        <v>0.03</v>
      </c>
      <c r="G37" s="106">
        <v>0.03</v>
      </c>
      <c r="H37" s="106">
        <v>0.03</v>
      </c>
      <c r="I37" s="106">
        <v>0.03</v>
      </c>
      <c r="J37" s="106">
        <v>0.03</v>
      </c>
      <c r="K37" s="106">
        <v>0.03</v>
      </c>
      <c r="L37" s="106">
        <v>0.03</v>
      </c>
      <c r="M37" s="106"/>
      <c r="N37" s="106">
        <v>0.03</v>
      </c>
      <c r="O37" s="106">
        <v>0.03</v>
      </c>
      <c r="P37" s="106">
        <v>0.03</v>
      </c>
      <c r="Q37" s="106">
        <v>0.03</v>
      </c>
      <c r="R37" s="106">
        <v>0.03</v>
      </c>
      <c r="T37" s="103"/>
      <c r="W37" s="66"/>
      <c r="X37" s="66"/>
      <c r="Y37" s="66"/>
      <c r="Z37" s="66"/>
      <c r="AA37" s="66"/>
      <c r="AC37" s="65" t="s">
        <v>206</v>
      </c>
      <c r="AD37" s="246">
        <v>97403.45</v>
      </c>
      <c r="AE37" s="247">
        <v>191919.66</v>
      </c>
      <c r="AF37" s="247">
        <v>48532.6</v>
      </c>
      <c r="AG37" s="251">
        <v>172535</v>
      </c>
      <c r="AH37" s="245"/>
      <c r="AI37" s="248"/>
    </row>
    <row r="38" spans="1:35" ht="15">
      <c r="A38" s="75"/>
      <c r="B38" s="76"/>
      <c r="C38" s="77"/>
      <c r="D38" s="78"/>
      <c r="F38" s="82">
        <f>+F36*F37</f>
        <v>24601.736100000002</v>
      </c>
      <c r="G38" s="82">
        <f t="shared" ref="G38:L38" si="20">+G36*G37</f>
        <v>24605.879100000002</v>
      </c>
      <c r="H38" s="82">
        <f t="shared" si="20"/>
        <v>22653.411599999999</v>
      </c>
      <c r="I38" s="82">
        <f t="shared" si="20"/>
        <v>24831.881999999994</v>
      </c>
      <c r="J38" s="82">
        <f t="shared" si="20"/>
        <v>22649.938199999997</v>
      </c>
      <c r="K38" s="82">
        <f t="shared" si="20"/>
        <v>21897.7755</v>
      </c>
      <c r="L38" s="82">
        <f t="shared" si="20"/>
        <v>23723.5452</v>
      </c>
      <c r="M38" s="106"/>
      <c r="N38" s="82">
        <f>+N36*N37</f>
        <v>25320.18</v>
      </c>
      <c r="O38" s="82">
        <f t="shared" ref="O38:R38" si="21">+O36*O37</f>
        <v>24182.16</v>
      </c>
      <c r="P38" s="82">
        <f t="shared" si="21"/>
        <v>25115.52</v>
      </c>
      <c r="Q38" s="82">
        <f t="shared" si="21"/>
        <v>25244.34</v>
      </c>
      <c r="R38" s="82">
        <f t="shared" si="21"/>
        <v>25650.84</v>
      </c>
      <c r="T38" s="103"/>
      <c r="AA38" s="147"/>
      <c r="AD38" s="245"/>
      <c r="AE38" s="245"/>
      <c r="AF38" s="245"/>
      <c r="AG38" s="249">
        <v>510390.71</v>
      </c>
      <c r="AH38" s="245"/>
      <c r="AI38" s="245"/>
    </row>
    <row r="39" spans="1:35" ht="15">
      <c r="A39" s="75"/>
      <c r="B39" s="76"/>
      <c r="C39" s="77" t="s">
        <v>912</v>
      </c>
      <c r="D39" s="78"/>
      <c r="F39" s="82">
        <v>2</v>
      </c>
      <c r="G39" s="82">
        <v>2</v>
      </c>
      <c r="H39" s="82">
        <v>2</v>
      </c>
      <c r="I39" s="82">
        <v>2</v>
      </c>
      <c r="J39" s="82">
        <v>2</v>
      </c>
      <c r="K39" s="82">
        <v>2</v>
      </c>
      <c r="L39" s="82">
        <v>2</v>
      </c>
      <c r="M39" s="101"/>
      <c r="N39" s="87">
        <v>1</v>
      </c>
      <c r="O39" s="87">
        <v>1</v>
      </c>
      <c r="P39" s="87">
        <v>1</v>
      </c>
      <c r="Q39" s="87">
        <v>1</v>
      </c>
      <c r="R39" s="87">
        <v>1</v>
      </c>
      <c r="T39" s="103"/>
      <c r="AA39" s="147"/>
      <c r="AC39" s="65" t="s">
        <v>913</v>
      </c>
      <c r="AD39" s="246">
        <v>108569.36</v>
      </c>
      <c r="AE39" s="247">
        <v>191919.66</v>
      </c>
      <c r="AF39" s="247">
        <v>48532.6</v>
      </c>
      <c r="AG39" s="247">
        <v>172535</v>
      </c>
      <c r="AH39" s="250"/>
      <c r="AI39" s="245"/>
    </row>
    <row r="40" spans="1:35" s="66" customFormat="1" ht="15">
      <c r="A40" s="107"/>
      <c r="B40" s="78"/>
      <c r="C40" s="108" t="s">
        <v>0</v>
      </c>
      <c r="D40" s="78"/>
      <c r="F40" s="82">
        <f>+F38*F39</f>
        <v>49203.472200000004</v>
      </c>
      <c r="G40" s="82">
        <f t="shared" ref="G40:L40" si="22">+G38*G39</f>
        <v>49211.758200000004</v>
      </c>
      <c r="H40" s="82">
        <f t="shared" si="22"/>
        <v>45306.823199999999</v>
      </c>
      <c r="I40" s="82">
        <f t="shared" si="22"/>
        <v>49663.763999999988</v>
      </c>
      <c r="J40" s="82">
        <f t="shared" si="22"/>
        <v>45299.876399999994</v>
      </c>
      <c r="K40" s="82">
        <f t="shared" si="22"/>
        <v>43795.550999999999</v>
      </c>
      <c r="L40" s="82">
        <f t="shared" si="22"/>
        <v>47447.090400000001</v>
      </c>
      <c r="M40" s="101"/>
      <c r="N40" s="82">
        <f t="shared" ref="N40:R40" si="23">+N38*N39</f>
        <v>25320.18</v>
      </c>
      <c r="O40" s="82">
        <f t="shared" si="23"/>
        <v>24182.16</v>
      </c>
      <c r="P40" s="82">
        <f t="shared" si="23"/>
        <v>25115.52</v>
      </c>
      <c r="Q40" s="82">
        <f t="shared" si="23"/>
        <v>25244.34</v>
      </c>
      <c r="R40" s="82">
        <f t="shared" si="23"/>
        <v>25650.84</v>
      </c>
      <c r="T40" s="103">
        <f>SUM(F40:R40)</f>
        <v>455441.37539999996</v>
      </c>
      <c r="V40" s="241">
        <f>T40*V36/T36</f>
        <v>418653.84345316124</v>
      </c>
      <c r="W40" s="241">
        <f>T40*W36/T36</f>
        <v>14507.887846993883</v>
      </c>
      <c r="X40" s="241">
        <v>0</v>
      </c>
      <c r="Y40" s="241">
        <f>V40*Y36/V36</f>
        <v>22279.6440998449</v>
      </c>
      <c r="Z40" s="241">
        <v>0</v>
      </c>
      <c r="AA40" s="241">
        <f>SUM(V40:Z40)</f>
        <v>455441.37540000002</v>
      </c>
      <c r="AD40" s="245"/>
      <c r="AE40" s="245"/>
      <c r="AF40" s="245"/>
      <c r="AG40" s="251">
        <v>521556.62</v>
      </c>
      <c r="AH40" s="245"/>
      <c r="AI40" s="245"/>
    </row>
    <row r="41" spans="1:35" ht="15">
      <c r="A41" s="75"/>
      <c r="B41" s="76"/>
      <c r="C41" s="109" t="s">
        <v>914</v>
      </c>
      <c r="F41" s="66">
        <f>+F40+F36</f>
        <v>869261.34220000007</v>
      </c>
      <c r="G41" s="66">
        <f t="shared" ref="G41:L41" si="24">+G40+G36</f>
        <v>869407.72820000013</v>
      </c>
      <c r="H41" s="66">
        <f t="shared" si="24"/>
        <v>800420.54319999996</v>
      </c>
      <c r="I41" s="66">
        <f t="shared" si="24"/>
        <v>877393.16399999976</v>
      </c>
      <c r="J41" s="66">
        <f t="shared" si="24"/>
        <v>800297.81639999989</v>
      </c>
      <c r="K41" s="66">
        <f t="shared" si="24"/>
        <v>773721.40099999995</v>
      </c>
      <c r="L41" s="66">
        <f t="shared" si="24"/>
        <v>838231.93040000007</v>
      </c>
      <c r="M41" s="110"/>
      <c r="N41" s="66">
        <f t="shared" ref="N41" si="25">+N40+N36</f>
        <v>869326.18</v>
      </c>
      <c r="O41" s="66">
        <f t="shared" ref="O41" si="26">+O40+O36</f>
        <v>830254.16</v>
      </c>
      <c r="P41" s="66">
        <f t="shared" ref="P41" si="27">+P40+P36</f>
        <v>862299.52</v>
      </c>
      <c r="Q41" s="66">
        <f t="shared" ref="Q41" si="28">+Q40+Q36</f>
        <v>866722.34</v>
      </c>
      <c r="R41" s="66">
        <f t="shared" ref="R41" si="29">+R40+R36</f>
        <v>880678.84</v>
      </c>
      <c r="T41" s="85">
        <f>SUM(F41:R41)</f>
        <v>10138014.965399999</v>
      </c>
      <c r="V41" s="66">
        <f>V40+V36</f>
        <v>9319133.3934531622</v>
      </c>
      <c r="W41" s="66">
        <f t="shared" ref="W41:AA41" si="30">W40+W36</f>
        <v>322942.07784699387</v>
      </c>
      <c r="X41" s="66">
        <f t="shared" si="30"/>
        <v>0</v>
      </c>
      <c r="Y41" s="66">
        <f t="shared" ref="Y41" si="31">Y40+Y36</f>
        <v>495939.49409984454</v>
      </c>
      <c r="Z41" s="66">
        <f t="shared" si="30"/>
        <v>0</v>
      </c>
      <c r="AA41" s="66">
        <f t="shared" si="30"/>
        <v>10138014.965399999</v>
      </c>
      <c r="AD41" s="245"/>
      <c r="AE41" s="245"/>
      <c r="AF41" s="245"/>
      <c r="AG41" s="251">
        <v>15646.7</v>
      </c>
      <c r="AH41" s="245"/>
      <c r="AI41" s="245"/>
    </row>
    <row r="42" spans="1:35" ht="15">
      <c r="A42" s="75"/>
      <c r="B42" s="76"/>
      <c r="C42" s="77" t="s">
        <v>915</v>
      </c>
      <c r="D42" s="78"/>
      <c r="F42" s="66">
        <f t="shared" ref="F42:L42" si="32">$AG46/12</f>
        <v>45496.575833333336</v>
      </c>
      <c r="G42" s="66">
        <f t="shared" si="32"/>
        <v>45496.575833333336</v>
      </c>
      <c r="H42" s="66">
        <f t="shared" si="32"/>
        <v>45496.575833333336</v>
      </c>
      <c r="I42" s="66">
        <f t="shared" si="32"/>
        <v>45496.575833333336</v>
      </c>
      <c r="J42" s="66">
        <f t="shared" si="32"/>
        <v>45496.575833333336</v>
      </c>
      <c r="K42" s="66">
        <f t="shared" si="32"/>
        <v>45496.575833333336</v>
      </c>
      <c r="L42" s="66">
        <f t="shared" si="32"/>
        <v>45496.575833333336</v>
      </c>
      <c r="N42" s="66">
        <f>$AG46/12</f>
        <v>45496.575833333336</v>
      </c>
      <c r="O42" s="66">
        <f>$AG46/12</f>
        <v>45496.575833333336</v>
      </c>
      <c r="P42" s="66">
        <f>$AG46/12</f>
        <v>45496.575833333336</v>
      </c>
      <c r="Q42" s="66">
        <f>$AG46/12</f>
        <v>45496.575833333336</v>
      </c>
      <c r="R42" s="66">
        <f>$AG46/12</f>
        <v>45496.575833333336</v>
      </c>
      <c r="T42" s="85">
        <f>SUM(F42:R42)</f>
        <v>545958.90999999992</v>
      </c>
      <c r="V42" s="241">
        <v>0</v>
      </c>
      <c r="W42" s="242">
        <v>0</v>
      </c>
      <c r="X42" s="242">
        <f>T42</f>
        <v>545958.90999999992</v>
      </c>
      <c r="Y42" s="242">
        <f>U42</f>
        <v>0</v>
      </c>
      <c r="Z42" s="242">
        <v>0</v>
      </c>
      <c r="AA42" s="242">
        <f>SUM(V42:Z42)</f>
        <v>545958.90999999992</v>
      </c>
      <c r="AD42" s="245"/>
      <c r="AE42" s="245"/>
      <c r="AF42" s="245"/>
      <c r="AG42" s="251">
        <v>537203.31999999995</v>
      </c>
      <c r="AH42" s="245"/>
      <c r="AI42" s="245"/>
    </row>
    <row r="43" spans="1:35" ht="15">
      <c r="A43" s="75"/>
      <c r="B43" s="76"/>
      <c r="C43" s="77"/>
      <c r="D43" s="78"/>
      <c r="F43" s="66">
        <f>F42+F41</f>
        <v>914757.91803333338</v>
      </c>
      <c r="G43" s="66">
        <f t="shared" ref="G43:L43" si="33">G42+G41</f>
        <v>914904.30403333344</v>
      </c>
      <c r="H43" s="66">
        <f t="shared" si="33"/>
        <v>845917.11903333326</v>
      </c>
      <c r="I43" s="66">
        <f t="shared" si="33"/>
        <v>922889.73983333306</v>
      </c>
      <c r="J43" s="66">
        <f t="shared" si="33"/>
        <v>845794.3922333332</v>
      </c>
      <c r="K43" s="66">
        <f t="shared" si="33"/>
        <v>819217.97683333326</v>
      </c>
      <c r="L43" s="66">
        <f t="shared" si="33"/>
        <v>883728.50623333338</v>
      </c>
      <c r="N43" s="66">
        <f t="shared" ref="N43" si="34">N42+N41</f>
        <v>914822.75583333336</v>
      </c>
      <c r="O43" s="66">
        <f t="shared" ref="O43" si="35">O42+O41</f>
        <v>875750.73583333334</v>
      </c>
      <c r="P43" s="66">
        <f t="shared" ref="P43" si="36">P42+P41</f>
        <v>907796.09583333333</v>
      </c>
      <c r="Q43" s="66">
        <f t="shared" ref="Q43" si="37">Q42+Q41</f>
        <v>912218.91583333327</v>
      </c>
      <c r="R43" s="66">
        <f t="shared" ref="R43" si="38">R42+R41</f>
        <v>926175.41583333327</v>
      </c>
      <c r="T43" s="85">
        <f>T42+T41</f>
        <v>10683973.875399999</v>
      </c>
      <c r="V43" s="66">
        <f>V42+V41</f>
        <v>9319133.3934531622</v>
      </c>
      <c r="W43" s="66">
        <f t="shared" ref="W43:AA43" si="39">W42+W41</f>
        <v>322942.07784699387</v>
      </c>
      <c r="X43" s="66">
        <f t="shared" si="39"/>
        <v>545958.90999999992</v>
      </c>
      <c r="Y43" s="66">
        <f t="shared" ref="Y43" si="40">Y42+Y41</f>
        <v>495939.49409984454</v>
      </c>
      <c r="Z43" s="66">
        <f t="shared" si="39"/>
        <v>0</v>
      </c>
      <c r="AA43" s="66">
        <f t="shared" si="39"/>
        <v>10683973.875399999</v>
      </c>
      <c r="AD43" s="245"/>
      <c r="AE43" s="245"/>
      <c r="AF43" s="245"/>
      <c r="AG43" s="245"/>
      <c r="AH43" s="245"/>
      <c r="AI43" s="245"/>
    </row>
    <row r="44" spans="1:35" ht="15">
      <c r="A44" s="75"/>
      <c r="B44" s="76"/>
      <c r="C44" s="77" t="s">
        <v>916</v>
      </c>
      <c r="D44" s="78"/>
      <c r="F44" s="252">
        <f>F43*F26</f>
        <v>-254831.32651229098</v>
      </c>
      <c r="G44" s="252">
        <f t="shared" ref="G44:L44" si="41">G43*G26</f>
        <v>-209742.35416870919</v>
      </c>
      <c r="H44" s="252">
        <f t="shared" si="41"/>
        <v>-168820.50264376335</v>
      </c>
      <c r="I44" s="252">
        <f t="shared" si="41"/>
        <v>-157322.95538761653</v>
      </c>
      <c r="J44" s="252">
        <f t="shared" si="41"/>
        <v>-157136.10808179388</v>
      </c>
      <c r="K44" s="252">
        <f t="shared" si="41"/>
        <v>-104344.54868850765</v>
      </c>
      <c r="L44" s="252">
        <f t="shared" si="41"/>
        <v>-252433.98954384067</v>
      </c>
      <c r="N44" s="66">
        <f>N43*N27</f>
        <v>-191787.57925790202</v>
      </c>
      <c r="O44" s="66">
        <f t="shared" ref="O44:R44" si="42">O43*O27</f>
        <v>-183922.92159764608</v>
      </c>
      <c r="P44" s="66">
        <f t="shared" si="42"/>
        <v>-234229.42161527445</v>
      </c>
      <c r="Q44" s="66">
        <f t="shared" si="42"/>
        <v>-221714.43266915603</v>
      </c>
      <c r="R44" s="66">
        <f t="shared" si="42"/>
        <v>-207795.39101808832</v>
      </c>
      <c r="T44" s="85">
        <f>SUM(F44:R44)</f>
        <v>-2344081.5311845895</v>
      </c>
      <c r="U44" s="118">
        <f>+T44/T43</f>
        <v>-0.21940165321649374</v>
      </c>
      <c r="AA44" s="147"/>
      <c r="AD44" s="251">
        <v>875.56</v>
      </c>
      <c r="AE44" s="245"/>
      <c r="AF44" s="245" t="s">
        <v>917</v>
      </c>
      <c r="AG44" s="251">
        <v>8755.59</v>
      </c>
      <c r="AH44" s="245"/>
      <c r="AI44" s="245"/>
    </row>
    <row r="45" spans="1:35" ht="15">
      <c r="A45" s="75"/>
      <c r="B45" s="76"/>
      <c r="C45" s="77"/>
      <c r="D45" s="78"/>
      <c r="F45" s="66">
        <f>F44+F43</f>
        <v>659926.5915210424</v>
      </c>
      <c r="G45" s="66">
        <f t="shared" ref="G45:R45" si="43">G44+G43</f>
        <v>705161.9498646243</v>
      </c>
      <c r="H45" s="66">
        <f t="shared" si="43"/>
        <v>677096.61638956994</v>
      </c>
      <c r="I45" s="66">
        <f t="shared" si="43"/>
        <v>765566.78444571653</v>
      </c>
      <c r="J45" s="66">
        <f t="shared" si="43"/>
        <v>688658.28415153932</v>
      </c>
      <c r="K45" s="66">
        <f t="shared" si="43"/>
        <v>714873.42814482562</v>
      </c>
      <c r="L45" s="66">
        <f t="shared" si="43"/>
        <v>631294.51668949274</v>
      </c>
      <c r="N45" s="66">
        <f t="shared" si="43"/>
        <v>723035.17657543137</v>
      </c>
      <c r="O45" s="66">
        <f t="shared" si="43"/>
        <v>691827.81423568726</v>
      </c>
      <c r="P45" s="66">
        <f t="shared" si="43"/>
        <v>673566.67421805882</v>
      </c>
      <c r="Q45" s="66">
        <f t="shared" si="43"/>
        <v>690504.48316417728</v>
      </c>
      <c r="R45" s="66">
        <f t="shared" si="43"/>
        <v>718380.02481524495</v>
      </c>
      <c r="S45" s="110"/>
      <c r="T45" s="66">
        <f>+T44+T43</f>
        <v>8339892.3442154098</v>
      </c>
      <c r="U45" s="118">
        <f>+T45/T43</f>
        <v>0.78059834678350626</v>
      </c>
      <c r="AA45" s="147"/>
      <c r="AD45" s="245"/>
      <c r="AE45" s="245"/>
      <c r="AF45" s="245"/>
      <c r="AG45" s="245"/>
      <c r="AH45" s="245"/>
      <c r="AI45" s="245"/>
    </row>
    <row r="46" spans="1:35" ht="15">
      <c r="A46" s="75"/>
      <c r="B46" s="76"/>
      <c r="C46" s="77"/>
      <c r="D46" s="78"/>
      <c r="AA46" s="147"/>
      <c r="AD46" s="245"/>
      <c r="AE46" s="245"/>
      <c r="AF46" s="245"/>
      <c r="AG46" s="251">
        <v>545958.91</v>
      </c>
      <c r="AH46" s="245"/>
      <c r="AI46" s="245"/>
    </row>
    <row r="47" spans="1:35">
      <c r="A47" s="75"/>
      <c r="B47" s="76"/>
      <c r="C47" s="77"/>
      <c r="D47" s="78"/>
      <c r="AA47" s="147"/>
    </row>
    <row r="48" spans="1:35" ht="15">
      <c r="A48" s="75"/>
      <c r="B48" s="76"/>
      <c r="C48" s="77"/>
      <c r="D48" s="78"/>
      <c r="N48" s="115" t="s">
        <v>279</v>
      </c>
      <c r="O48" s="115"/>
      <c r="P48" s="115"/>
      <c r="Q48" s="115"/>
      <c r="R48" s="115"/>
      <c r="S48" s="115"/>
      <c r="T48" s="115">
        <f>+T45-T30</f>
        <v>333465.21457103919</v>
      </c>
      <c r="AA48" s="147"/>
    </row>
    <row r="49" spans="1:4">
      <c r="A49" s="75"/>
      <c r="B49" s="76"/>
      <c r="C49" s="77"/>
      <c r="D49" s="78"/>
    </row>
    <row r="50" spans="1:4">
      <c r="A50" s="75" t="s">
        <v>918</v>
      </c>
      <c r="B50" s="76"/>
      <c r="C50" s="77"/>
      <c r="D50" s="78"/>
    </row>
    <row r="51" spans="1:4">
      <c r="A51" s="75"/>
      <c r="B51" s="76"/>
      <c r="C51" s="77"/>
      <c r="D51" s="78"/>
    </row>
    <row r="52" spans="1:4">
      <c r="A52" s="75"/>
      <c r="B52" s="76"/>
      <c r="C52" s="77"/>
      <c r="D52" s="78"/>
    </row>
    <row r="53" spans="1:4">
      <c r="A53" s="75" t="s">
        <v>402</v>
      </c>
      <c r="B53" s="76" t="s">
        <v>919</v>
      </c>
      <c r="C53" s="77" t="s">
        <v>920</v>
      </c>
      <c r="D53" s="78">
        <v>949351.43</v>
      </c>
    </row>
    <row r="54" spans="1:4">
      <c r="A54" s="75" t="s">
        <v>854</v>
      </c>
      <c r="B54" s="76" t="s">
        <v>921</v>
      </c>
      <c r="C54" s="77" t="s">
        <v>922</v>
      </c>
      <c r="D54" s="78">
        <v>7875</v>
      </c>
    </row>
    <row r="55" spans="1:4">
      <c r="A55" s="75" t="s">
        <v>402</v>
      </c>
      <c r="B55" s="76" t="s">
        <v>923</v>
      </c>
      <c r="C55" s="77" t="s">
        <v>924</v>
      </c>
      <c r="D55" s="78">
        <v>42974.62</v>
      </c>
    </row>
    <row r="56" spans="1:4">
      <c r="A56" s="75" t="s">
        <v>402</v>
      </c>
      <c r="B56" s="76" t="s">
        <v>925</v>
      </c>
      <c r="C56" s="77" t="s">
        <v>926</v>
      </c>
      <c r="D56" s="78">
        <v>2109.92</v>
      </c>
    </row>
    <row r="57" spans="1:4">
      <c r="A57" s="75" t="s">
        <v>402</v>
      </c>
      <c r="B57" s="76" t="s">
        <v>927</v>
      </c>
      <c r="C57" s="77" t="s">
        <v>928</v>
      </c>
      <c r="D57" s="78">
        <v>26319.37</v>
      </c>
    </row>
    <row r="58" spans="1:4">
      <c r="A58" s="75" t="s">
        <v>854</v>
      </c>
      <c r="B58" s="76" t="s">
        <v>929</v>
      </c>
      <c r="C58" s="77" t="s">
        <v>930</v>
      </c>
      <c r="D58" s="78">
        <v>8539.2099999999991</v>
      </c>
    </row>
    <row r="59" spans="1:4">
      <c r="A59" s="75" t="s">
        <v>402</v>
      </c>
      <c r="B59" s="76" t="s">
        <v>931</v>
      </c>
      <c r="C59" s="77" t="s">
        <v>932</v>
      </c>
      <c r="D59" s="78">
        <v>291725.58</v>
      </c>
    </row>
    <row r="60" spans="1:4">
      <c r="A60" s="75" t="s">
        <v>402</v>
      </c>
      <c r="B60" s="76" t="s">
        <v>933</v>
      </c>
      <c r="C60" s="77" t="s">
        <v>934</v>
      </c>
      <c r="D60" s="78">
        <v>313395.02</v>
      </c>
    </row>
    <row r="61" spans="1:4">
      <c r="A61" s="75" t="s">
        <v>402</v>
      </c>
      <c r="B61" s="76" t="s">
        <v>935</v>
      </c>
      <c r="C61" s="77" t="s">
        <v>936</v>
      </c>
      <c r="D61" s="78">
        <v>246921.73</v>
      </c>
    </row>
    <row r="62" spans="1:4">
      <c r="A62" s="75" t="s">
        <v>402</v>
      </c>
      <c r="B62" s="76" t="s">
        <v>937</v>
      </c>
      <c r="C62" s="77" t="s">
        <v>938</v>
      </c>
      <c r="D62" s="78">
        <v>200975.39</v>
      </c>
    </row>
    <row r="63" spans="1:4">
      <c r="A63" s="75" t="s">
        <v>402</v>
      </c>
      <c r="B63" s="76" t="s">
        <v>939</v>
      </c>
      <c r="C63" s="77" t="s">
        <v>940</v>
      </c>
      <c r="D63" s="78">
        <v>35456.74</v>
      </c>
    </row>
    <row r="64" spans="1:4">
      <c r="A64" s="75" t="s">
        <v>402</v>
      </c>
      <c r="B64" s="76" t="s">
        <v>941</v>
      </c>
      <c r="C64" s="77" t="s">
        <v>942</v>
      </c>
      <c r="D64" s="78">
        <v>1006.13</v>
      </c>
    </row>
    <row r="65" spans="1:20">
      <c r="A65" s="75" t="s">
        <v>402</v>
      </c>
      <c r="B65" s="76" t="s">
        <v>943</v>
      </c>
      <c r="C65" s="77" t="s">
        <v>944</v>
      </c>
      <c r="D65" s="78">
        <v>22484.2</v>
      </c>
    </row>
    <row r="66" spans="1:20">
      <c r="A66" s="75"/>
      <c r="B66" s="76"/>
      <c r="C66" s="77" t="s">
        <v>945</v>
      </c>
      <c r="D66" s="78">
        <f>SUM(D53:D65)</f>
        <v>2149134.3400000003</v>
      </c>
    </row>
    <row r="67" spans="1:20">
      <c r="A67" s="75"/>
      <c r="B67" s="76"/>
      <c r="C67" s="77"/>
      <c r="D67" s="78"/>
    </row>
    <row r="68" spans="1:20">
      <c r="A68" s="75"/>
      <c r="B68" s="76"/>
      <c r="C68" s="77"/>
      <c r="D68" s="78"/>
    </row>
    <row r="69" spans="1:20">
      <c r="A69" s="111"/>
      <c r="B69" s="112"/>
      <c r="C69" s="77" t="s">
        <v>946</v>
      </c>
      <c r="D69" s="113">
        <v>6615801.6200000001</v>
      </c>
    </row>
    <row r="70" spans="1:20">
      <c r="C70" s="109" t="s">
        <v>947</v>
      </c>
      <c r="D70" s="66">
        <f>+D66+D25</f>
        <v>6615801.620000001</v>
      </c>
    </row>
    <row r="71" spans="1:20">
      <c r="C71" s="109" t="s">
        <v>12</v>
      </c>
      <c r="D71" s="66">
        <f>+D69-D70</f>
        <v>0</v>
      </c>
    </row>
    <row r="75" spans="1:20">
      <c r="F75" s="181"/>
      <c r="G75" s="181"/>
      <c r="H75" s="181"/>
      <c r="I75" s="181"/>
      <c r="J75" s="181"/>
      <c r="K75" s="181"/>
      <c r="L75" s="181"/>
      <c r="M75" s="67"/>
      <c r="N75" s="184"/>
      <c r="O75" s="184"/>
      <c r="P75" s="184"/>
      <c r="Q75" s="184"/>
      <c r="R75" s="184"/>
      <c r="S75" s="68"/>
      <c r="T75" s="68"/>
    </row>
    <row r="76" spans="1:20">
      <c r="N76" s="74"/>
      <c r="O76" s="74"/>
      <c r="P76" s="74"/>
      <c r="Q76" s="74"/>
      <c r="R76" s="74"/>
      <c r="S76" s="114"/>
    </row>
    <row r="77" spans="1:20">
      <c r="N77" s="74"/>
      <c r="O77" s="74"/>
      <c r="P77" s="74"/>
      <c r="Q77" s="74"/>
      <c r="R77" s="74"/>
      <c r="S77" s="114"/>
    </row>
    <row r="81" spans="1:24">
      <c r="A81" s="65" t="s">
        <v>948</v>
      </c>
    </row>
    <row r="82" spans="1:24">
      <c r="D82" s="66" t="s">
        <v>949</v>
      </c>
      <c r="G82" s="66" t="s">
        <v>950</v>
      </c>
      <c r="J82" s="135" t="s">
        <v>256</v>
      </c>
      <c r="W82" s="66"/>
      <c r="X82" s="66"/>
    </row>
    <row r="83" spans="1:24">
      <c r="A83" s="65" t="s">
        <v>951</v>
      </c>
      <c r="D83" s="66">
        <v>117596</v>
      </c>
      <c r="E83" s="110">
        <f t="shared" ref="E83:E88" si="44">+D83/$J$90</f>
        <v>1.6551883333403711E-2</v>
      </c>
      <c r="F83" s="66">
        <f>+E83*$L$90</f>
        <v>5519.4773273282763</v>
      </c>
      <c r="G83" s="66">
        <v>27463</v>
      </c>
      <c r="H83" s="110">
        <f t="shared" ref="H83:H88" si="45">+G83/$J$90</f>
        <v>3.8654747779283826E-3</v>
      </c>
      <c r="I83" s="66">
        <f>+H83*$L$90</f>
        <v>1289.0013762408282</v>
      </c>
      <c r="J83" s="66">
        <f t="shared" ref="J83:J88" si="46">+G83+D83</f>
        <v>145059</v>
      </c>
      <c r="K83" s="110">
        <f>+J83/$J$90</f>
        <v>2.0417358111332093E-2</v>
      </c>
      <c r="L83" s="66">
        <f>+K83*L$90</f>
        <v>6808.4787035691043</v>
      </c>
      <c r="W83" s="66"/>
      <c r="X83" s="66"/>
    </row>
    <row r="84" spans="1:24">
      <c r="A84" s="65" t="s">
        <v>952</v>
      </c>
      <c r="D84" s="66">
        <v>51649</v>
      </c>
      <c r="E84" s="110">
        <f t="shared" si="44"/>
        <v>7.2697049413837905E-3</v>
      </c>
      <c r="F84" s="66">
        <f t="shared" ref="F84:F88" si="47">+E84*$L$90</f>
        <v>2424.1937181466897</v>
      </c>
      <c r="G84" s="66">
        <v>16236</v>
      </c>
      <c r="H84" s="110">
        <f t="shared" si="45"/>
        <v>2.2852510102481598E-3</v>
      </c>
      <c r="I84" s="66">
        <f t="shared" ref="I84:I88" si="48">+H84*$L$90</f>
        <v>762.05171848108671</v>
      </c>
      <c r="J84" s="66">
        <f t="shared" si="46"/>
        <v>67885</v>
      </c>
      <c r="K84" s="110">
        <f t="shared" ref="K84:K88" si="49">+J84/J$90</f>
        <v>9.5549559516319507E-3</v>
      </c>
      <c r="L84" s="66">
        <f t="shared" ref="L84:L88" si="50">+K84*L$90</f>
        <v>3186.2454366277766</v>
      </c>
      <c r="W84" s="66"/>
      <c r="X84" s="66"/>
    </row>
    <row r="85" spans="1:24">
      <c r="A85" s="65" t="s">
        <v>953</v>
      </c>
      <c r="D85" s="66">
        <v>3409455</v>
      </c>
      <c r="E85" s="110">
        <f t="shared" si="44"/>
        <v>0.4798879331821656</v>
      </c>
      <c r="F85" s="66">
        <f t="shared" si="47"/>
        <v>160025.93260864337</v>
      </c>
      <c r="G85" s="66">
        <v>0</v>
      </c>
      <c r="H85" s="110">
        <f t="shared" si="45"/>
        <v>0</v>
      </c>
      <c r="I85" s="66">
        <f t="shared" si="48"/>
        <v>0</v>
      </c>
      <c r="J85" s="66">
        <f t="shared" si="46"/>
        <v>3409455</v>
      </c>
      <c r="K85" s="110">
        <f t="shared" si="49"/>
        <v>0.4798879331821656</v>
      </c>
      <c r="L85" s="66">
        <f t="shared" si="50"/>
        <v>160025.93260864337</v>
      </c>
      <c r="W85" s="66"/>
      <c r="X85" s="66"/>
    </row>
    <row r="86" spans="1:24">
      <c r="A86" s="65" t="s">
        <v>954</v>
      </c>
      <c r="D86" s="66">
        <v>1361567</v>
      </c>
      <c r="E86" s="110">
        <f t="shared" si="44"/>
        <v>0.19164340738301039</v>
      </c>
      <c r="F86" s="66">
        <f t="shared" si="47"/>
        <v>63906.409964100632</v>
      </c>
      <c r="G86" s="66">
        <v>72102</v>
      </c>
      <c r="H86" s="110">
        <f t="shared" si="45"/>
        <v>1.0148507535163392E-2</v>
      </c>
      <c r="I86" s="66">
        <f t="shared" si="48"/>
        <v>3384.1742427890686</v>
      </c>
      <c r="J86" s="66">
        <f t="shared" si="46"/>
        <v>1433669</v>
      </c>
      <c r="K86" s="110">
        <f t="shared" si="49"/>
        <v>0.20179191491817378</v>
      </c>
      <c r="L86" s="66">
        <f t="shared" si="50"/>
        <v>67290.584206889704</v>
      </c>
      <c r="W86" s="66"/>
      <c r="X86" s="66"/>
    </row>
    <row r="87" spans="1:24">
      <c r="A87" s="65" t="s">
        <v>955</v>
      </c>
      <c r="D87" s="66">
        <v>450724</v>
      </c>
      <c r="E87" s="110">
        <f t="shared" si="44"/>
        <v>6.344034715096647E-2</v>
      </c>
      <c r="F87" s="66">
        <f t="shared" si="47"/>
        <v>21155.148975158249</v>
      </c>
      <c r="H87" s="110">
        <f t="shared" si="45"/>
        <v>0</v>
      </c>
      <c r="I87" s="66">
        <f t="shared" si="48"/>
        <v>0</v>
      </c>
      <c r="J87" s="66">
        <f t="shared" si="46"/>
        <v>450724</v>
      </c>
      <c r="K87" s="110">
        <f t="shared" si="49"/>
        <v>6.344034715096647E-2</v>
      </c>
      <c r="L87" s="66">
        <f t="shared" si="50"/>
        <v>21155.148975158249</v>
      </c>
      <c r="W87" s="66"/>
      <c r="X87" s="66"/>
    </row>
    <row r="88" spans="1:24">
      <c r="A88" s="65" t="s">
        <v>956</v>
      </c>
      <c r="D88" s="66">
        <v>1597898</v>
      </c>
      <c r="E88" s="110">
        <f t="shared" si="44"/>
        <v>0.22490749068573013</v>
      </c>
      <c r="F88" s="66">
        <f t="shared" si="47"/>
        <v>74998.824640150997</v>
      </c>
      <c r="H88" s="110">
        <f t="shared" si="45"/>
        <v>0</v>
      </c>
      <c r="I88" s="66">
        <f t="shared" si="48"/>
        <v>0</v>
      </c>
      <c r="J88" s="66">
        <f t="shared" si="46"/>
        <v>1597898</v>
      </c>
      <c r="K88" s="110">
        <f t="shared" si="49"/>
        <v>0.22490749068573013</v>
      </c>
      <c r="L88" s="66">
        <f t="shared" si="50"/>
        <v>74998.824640150997</v>
      </c>
      <c r="W88" s="66"/>
      <c r="X88" s="66"/>
    </row>
    <row r="89" spans="1:24">
      <c r="W89" s="66"/>
      <c r="X89" s="66"/>
    </row>
    <row r="90" spans="1:24">
      <c r="D90" s="66">
        <f t="shared" ref="D90:I90" si="51">SUM(D83:D89)</f>
        <v>6988889</v>
      </c>
      <c r="E90" s="110">
        <f t="shared" si="51"/>
        <v>0.98370076667666018</v>
      </c>
      <c r="F90" s="66">
        <f t="shared" si="51"/>
        <v>328029.98723352823</v>
      </c>
      <c r="G90" s="66">
        <f t="shared" si="51"/>
        <v>115801</v>
      </c>
      <c r="H90" s="110">
        <f t="shared" si="51"/>
        <v>1.6299233323339934E-2</v>
      </c>
      <c r="I90" s="66">
        <f t="shared" si="51"/>
        <v>5435.2273375109835</v>
      </c>
      <c r="J90" s="66">
        <f>+G90+D90</f>
        <v>7104690</v>
      </c>
      <c r="K90" s="110">
        <f>SUM(K83:K88)</f>
        <v>1</v>
      </c>
      <c r="L90" s="66">
        <f>+T48</f>
        <v>333465.21457103919</v>
      </c>
      <c r="W90" s="66"/>
      <c r="X90" s="66"/>
    </row>
    <row r="91" spans="1:24">
      <c r="A91" s="65" t="s">
        <v>626</v>
      </c>
      <c r="J91" s="66">
        <v>2536526</v>
      </c>
      <c r="W91" s="66"/>
      <c r="X91" s="66"/>
    </row>
    <row r="92" spans="1:24">
      <c r="A92" s="65" t="s">
        <v>957</v>
      </c>
      <c r="J92" s="66">
        <v>812</v>
      </c>
      <c r="W92" s="66"/>
      <c r="X92" s="66"/>
    </row>
    <row r="93" spans="1:24">
      <c r="A93" s="65" t="s">
        <v>958</v>
      </c>
      <c r="J93" s="66">
        <v>5161</v>
      </c>
      <c r="W93" s="66"/>
      <c r="X93" s="66"/>
    </row>
    <row r="94" spans="1:24" ht="15">
      <c r="A94" s="65" t="s">
        <v>959</v>
      </c>
      <c r="J94" s="134">
        <v>46719</v>
      </c>
      <c r="W94" s="66"/>
      <c r="X94" s="66"/>
    </row>
    <row r="95" spans="1:24">
      <c r="J95" s="66">
        <f>SUM(J90:J94)</f>
        <v>9693908</v>
      </c>
      <c r="W95" s="66"/>
      <c r="X95" s="66"/>
    </row>
    <row r="96" spans="1:24">
      <c r="W96" s="66"/>
    </row>
    <row r="97" spans="23:23">
      <c r="W97" s="66"/>
    </row>
  </sheetData>
  <pageMargins left="0.7" right="0.7" top="0.75" bottom="0.75" header="0.3" footer="0.3"/>
  <pageSetup paperSize="17"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topLeftCell="B1" workbookViewId="0">
      <selection activeCell="O27" sqref="O27"/>
    </sheetView>
  </sheetViews>
  <sheetFormatPr defaultRowHeight="15"/>
  <cols>
    <col min="3" max="3" width="1.5703125" customWidth="1"/>
    <col min="4" max="4" width="2.7109375" customWidth="1"/>
    <col min="5" max="5" width="8.5703125" style="65" hidden="1" customWidth="1"/>
    <col min="6" max="7" width="10.28515625" style="65" hidden="1" customWidth="1"/>
    <col min="8" max="9" width="9.5703125" style="65" hidden="1" customWidth="1"/>
    <col min="10" max="10" width="8.5703125" style="65" bestFit="1" customWidth="1"/>
    <col min="11" max="11" width="8.85546875" style="65" bestFit="1" customWidth="1"/>
    <col min="12" max="12" width="8.5703125" style="65" bestFit="1" customWidth="1"/>
    <col min="13" max="13" width="8.7109375" style="65" bestFit="1" customWidth="1"/>
    <col min="14" max="15" width="8.42578125" style="65" bestFit="1" customWidth="1"/>
    <col min="16" max="16" width="8.85546875" style="65" bestFit="1" customWidth="1"/>
    <col min="17" max="17" width="10.42578125" style="65" bestFit="1" customWidth="1"/>
    <col min="18" max="18" width="8.5703125" style="65" bestFit="1" customWidth="1"/>
    <col min="19" max="19" width="8.7109375" style="65" bestFit="1" customWidth="1"/>
    <col min="20" max="20" width="8.42578125" style="65" bestFit="1" customWidth="1"/>
    <col min="21" max="21" width="8.28515625" style="65" bestFit="1" customWidth="1"/>
    <col min="22" max="22" width="8.7109375" style="65" bestFit="1" customWidth="1"/>
    <col min="23" max="23" width="7.85546875" style="65" bestFit="1" customWidth="1"/>
    <col min="24" max="24" width="8.42578125" style="66" bestFit="1" customWidth="1"/>
  </cols>
  <sheetData>
    <row r="1" spans="1:24">
      <c r="A1" s="65" t="s">
        <v>960</v>
      </c>
      <c r="B1" s="65"/>
      <c r="C1" s="66"/>
      <c r="D1" s="66"/>
      <c r="E1" s="66"/>
      <c r="F1" s="66"/>
      <c r="G1" s="66"/>
      <c r="H1" s="66"/>
      <c r="I1" s="66"/>
      <c r="J1" s="66"/>
      <c r="K1" s="66"/>
      <c r="L1" s="66"/>
      <c r="M1" s="66"/>
      <c r="N1" s="66"/>
      <c r="O1" s="66"/>
      <c r="P1" s="66"/>
      <c r="Q1" s="66"/>
      <c r="R1" s="66"/>
    </row>
    <row r="2" spans="1:24" ht="25.5">
      <c r="A2" s="65"/>
      <c r="B2" s="65"/>
      <c r="C2" s="66"/>
      <c r="D2" s="66"/>
      <c r="E2" s="181" t="s">
        <v>961</v>
      </c>
      <c r="F2" s="181" t="s">
        <v>962</v>
      </c>
      <c r="G2" s="181" t="s">
        <v>963</v>
      </c>
      <c r="H2" s="181" t="s">
        <v>964</v>
      </c>
      <c r="I2" s="181" t="s">
        <v>965</v>
      </c>
      <c r="J2" s="181" t="s">
        <v>830</v>
      </c>
      <c r="K2" s="181" t="s">
        <v>831</v>
      </c>
      <c r="L2" s="181" t="s">
        <v>832</v>
      </c>
      <c r="M2" s="181" t="s">
        <v>833</v>
      </c>
      <c r="N2" s="181" t="s">
        <v>834</v>
      </c>
      <c r="O2" s="181" t="s">
        <v>835</v>
      </c>
      <c r="P2" s="181" t="s">
        <v>836</v>
      </c>
      <c r="Q2" s="182" t="s">
        <v>445</v>
      </c>
      <c r="R2" s="184" t="s">
        <v>838</v>
      </c>
      <c r="S2" s="184" t="s">
        <v>839</v>
      </c>
      <c r="T2" s="184" t="s">
        <v>840</v>
      </c>
      <c r="U2" s="184" t="s">
        <v>841</v>
      </c>
      <c r="V2" s="184" t="s">
        <v>842</v>
      </c>
      <c r="W2" s="182" t="s">
        <v>447</v>
      </c>
      <c r="X2" s="182" t="s">
        <v>448</v>
      </c>
    </row>
    <row r="3" spans="1:24" ht="25.5">
      <c r="A3" s="116" t="s">
        <v>966</v>
      </c>
      <c r="B3" s="117" t="s">
        <v>643</v>
      </c>
      <c r="C3" s="117"/>
      <c r="D3" s="117"/>
      <c r="E3" s="73">
        <v>56900.97</v>
      </c>
      <c r="F3" s="73">
        <v>54016.88</v>
      </c>
      <c r="G3" s="73">
        <v>53790.3</v>
      </c>
      <c r="H3" s="73">
        <v>44923.95</v>
      </c>
      <c r="I3" s="73">
        <v>49408.75</v>
      </c>
      <c r="J3" s="73">
        <v>51285.06</v>
      </c>
      <c r="K3" s="73">
        <v>50187.42</v>
      </c>
      <c r="L3" s="73">
        <v>39109.83</v>
      </c>
      <c r="M3" s="73">
        <v>50795.65</v>
      </c>
      <c r="N3" s="73">
        <v>55177.73</v>
      </c>
      <c r="O3" s="73">
        <v>53753.46</v>
      </c>
      <c r="P3" s="73">
        <v>42479.14</v>
      </c>
      <c r="Q3" s="114">
        <f>SUM(E3:P3)</f>
        <v>601829.14</v>
      </c>
      <c r="R3" s="74">
        <v>71813</v>
      </c>
      <c r="S3" s="74">
        <v>68859</v>
      </c>
      <c r="T3" s="74">
        <v>71246</v>
      </c>
      <c r="U3" s="74">
        <v>71596</v>
      </c>
      <c r="V3" s="74">
        <v>72714</v>
      </c>
      <c r="W3" s="114">
        <f>SUM(R3:V3)</f>
        <v>356228</v>
      </c>
      <c r="X3" s="114">
        <f t="shared" ref="X3:X7" si="0">SUM(J3:P3)+W3</f>
        <v>699016.29</v>
      </c>
    </row>
    <row r="4" spans="1:24" ht="25.5">
      <c r="A4" s="116" t="s">
        <v>967</v>
      </c>
      <c r="B4" s="117" t="s">
        <v>644</v>
      </c>
      <c r="C4" s="117"/>
      <c r="D4" s="117"/>
      <c r="E4" s="73">
        <v>3004.88</v>
      </c>
      <c r="F4" s="73">
        <v>2650.36</v>
      </c>
      <c r="G4" s="73">
        <v>3924.78</v>
      </c>
      <c r="H4" s="73">
        <v>4095.37</v>
      </c>
      <c r="I4" s="73">
        <v>3339.9</v>
      </c>
      <c r="J4" s="73">
        <v>2790.41</v>
      </c>
      <c r="K4" s="73">
        <v>2122.59</v>
      </c>
      <c r="L4" s="73">
        <v>1793.11</v>
      </c>
      <c r="M4" s="73">
        <v>2499.33</v>
      </c>
      <c r="N4" s="73">
        <v>5746.11</v>
      </c>
      <c r="O4" s="73">
        <v>6798.95</v>
      </c>
      <c r="P4" s="73">
        <v>2839.02</v>
      </c>
      <c r="Q4" s="114">
        <f>SUM(E4:P4)</f>
        <v>41604.81</v>
      </c>
      <c r="R4" s="74">
        <v>3775</v>
      </c>
      <c r="S4" s="74">
        <v>3578</v>
      </c>
      <c r="T4" s="74">
        <v>3731</v>
      </c>
      <c r="U4" s="74">
        <v>3734</v>
      </c>
      <c r="V4" s="74">
        <v>3727</v>
      </c>
      <c r="W4" s="114">
        <f>SUM(R4:V4)</f>
        <v>18545</v>
      </c>
      <c r="X4" s="114">
        <f t="shared" si="0"/>
        <v>43134.520000000004</v>
      </c>
    </row>
    <row r="5" spans="1:24">
      <c r="A5" s="65"/>
      <c r="B5" s="65"/>
      <c r="C5" s="66"/>
      <c r="D5" s="66"/>
      <c r="E5" s="66">
        <f t="shared" ref="E5:V5" si="1">SUM(E3:E4)</f>
        <v>59905.85</v>
      </c>
      <c r="F5" s="66">
        <f t="shared" si="1"/>
        <v>56667.24</v>
      </c>
      <c r="G5" s="66">
        <f t="shared" si="1"/>
        <v>57715.08</v>
      </c>
      <c r="H5" s="66">
        <f t="shared" si="1"/>
        <v>49019.32</v>
      </c>
      <c r="I5" s="66">
        <f t="shared" si="1"/>
        <v>52748.65</v>
      </c>
      <c r="J5" s="66">
        <f t="shared" si="1"/>
        <v>54075.47</v>
      </c>
      <c r="K5" s="66">
        <f t="shared" si="1"/>
        <v>52310.009999999995</v>
      </c>
      <c r="L5" s="66">
        <f t="shared" si="1"/>
        <v>40902.94</v>
      </c>
      <c r="M5" s="66">
        <f t="shared" si="1"/>
        <v>53294.98</v>
      </c>
      <c r="N5" s="66">
        <f t="shared" si="1"/>
        <v>60923.840000000004</v>
      </c>
      <c r="O5" s="66">
        <f t="shared" si="1"/>
        <v>60552.409999999996</v>
      </c>
      <c r="P5" s="66">
        <f t="shared" si="1"/>
        <v>45318.159999999996</v>
      </c>
      <c r="Q5" s="66">
        <f t="shared" si="1"/>
        <v>643433.94999999995</v>
      </c>
      <c r="R5" s="66">
        <f t="shared" si="1"/>
        <v>75588</v>
      </c>
      <c r="S5" s="66">
        <f t="shared" si="1"/>
        <v>72437</v>
      </c>
      <c r="T5" s="66">
        <f t="shared" si="1"/>
        <v>74977</v>
      </c>
      <c r="U5" s="66">
        <f t="shared" si="1"/>
        <v>75330</v>
      </c>
      <c r="V5" s="66">
        <f t="shared" si="1"/>
        <v>76441</v>
      </c>
      <c r="W5" s="114">
        <f>SUM(R5:V5)</f>
        <v>374773</v>
      </c>
      <c r="X5" s="114">
        <f t="shared" si="0"/>
        <v>742150.80999999994</v>
      </c>
    </row>
    <row r="6" spans="1:24">
      <c r="A6" s="179"/>
      <c r="B6" s="179"/>
      <c r="C6" s="179"/>
      <c r="D6" s="179"/>
      <c r="X6" s="114">
        <f t="shared" si="0"/>
        <v>0</v>
      </c>
    </row>
    <row r="7" spans="1:24" s="66" customFormat="1" ht="12.75">
      <c r="A7" s="66" t="s">
        <v>968</v>
      </c>
      <c r="E7" s="66">
        <v>870760.21999999974</v>
      </c>
      <c r="F7" s="66">
        <v>821648.40999999992</v>
      </c>
      <c r="G7" s="66">
        <v>881013.19000000006</v>
      </c>
      <c r="H7" s="66">
        <v>905142.53</v>
      </c>
      <c r="I7" s="66">
        <v>935264.79</v>
      </c>
      <c r="J7" s="66">
        <v>866494.4800000001</v>
      </c>
      <c r="K7" s="66">
        <v>899452.81</v>
      </c>
      <c r="L7" s="66">
        <v>833779.97</v>
      </c>
      <c r="M7" s="66">
        <v>928065.75999999978</v>
      </c>
      <c r="N7" s="66">
        <v>833457.89999999991</v>
      </c>
      <c r="O7" s="66">
        <v>808711.9</v>
      </c>
      <c r="P7" s="66">
        <v>457399.45000000007</v>
      </c>
      <c r="Q7" s="66">
        <f>SUM(E7:P7)</f>
        <v>10041191.409999998</v>
      </c>
      <c r="R7" s="66">
        <v>925613</v>
      </c>
      <c r="S7" s="66">
        <v>887678</v>
      </c>
      <c r="T7" s="66">
        <v>918791</v>
      </c>
      <c r="U7" s="66">
        <v>923084</v>
      </c>
      <c r="V7" s="66">
        <v>936635</v>
      </c>
      <c r="W7" s="114">
        <f>SUM(R7:V7)</f>
        <v>4591801</v>
      </c>
      <c r="X7" s="114">
        <f t="shared" si="0"/>
        <v>10219163.27</v>
      </c>
    </row>
    <row r="8" spans="1:24" s="66" customFormat="1" ht="12.75"/>
    <row r="9" spans="1:24" s="66" customFormat="1" ht="12.75">
      <c r="A9" s="66" t="s">
        <v>969</v>
      </c>
      <c r="E9" s="110">
        <f>+E5/E7</f>
        <v>6.8797182765193407E-2</v>
      </c>
      <c r="F9" s="110">
        <f t="shared" ref="F9:X9" si="2">+F5/F7</f>
        <v>6.8967747409138178E-2</v>
      </c>
      <c r="G9" s="110">
        <f t="shared" si="2"/>
        <v>6.5509893217376228E-2</v>
      </c>
      <c r="H9" s="110">
        <f t="shared" si="2"/>
        <v>5.41564652806669E-2</v>
      </c>
      <c r="I9" s="110">
        <f t="shared" si="2"/>
        <v>5.6399696175881912E-2</v>
      </c>
      <c r="J9" s="110">
        <f t="shared" si="2"/>
        <v>6.2407171941822402E-2</v>
      </c>
      <c r="K9" s="110">
        <f t="shared" si="2"/>
        <v>5.8157592503379908E-2</v>
      </c>
      <c r="L9" s="110">
        <f t="shared" si="2"/>
        <v>4.9057235088053271E-2</v>
      </c>
      <c r="M9" s="110">
        <f t="shared" si="2"/>
        <v>5.7425866029148641E-2</v>
      </c>
      <c r="N9" s="110">
        <f t="shared" si="2"/>
        <v>7.309768135859053E-2</v>
      </c>
      <c r="O9" s="110">
        <f t="shared" si="2"/>
        <v>7.487513167544585E-2</v>
      </c>
      <c r="P9" s="110">
        <f t="shared" si="2"/>
        <v>9.9077862905169622E-2</v>
      </c>
      <c r="Q9" s="110">
        <f t="shared" si="2"/>
        <v>6.4079442740151898E-2</v>
      </c>
      <c r="R9" s="110">
        <f t="shared" si="2"/>
        <v>8.1662638705376864E-2</v>
      </c>
      <c r="S9" s="110">
        <f t="shared" si="2"/>
        <v>8.1602788398495857E-2</v>
      </c>
      <c r="T9" s="110">
        <f t="shared" si="2"/>
        <v>8.1603977400736397E-2</v>
      </c>
      <c r="U9" s="110">
        <f t="shared" si="2"/>
        <v>8.1606874347296673E-2</v>
      </c>
      <c r="V9" s="110">
        <f t="shared" si="2"/>
        <v>8.1612367677910816E-2</v>
      </c>
      <c r="W9" s="110">
        <f t="shared" si="2"/>
        <v>8.1617866279483808E-2</v>
      </c>
      <c r="X9" s="110">
        <f t="shared" si="2"/>
        <v>7.2623441899465804E-2</v>
      </c>
    </row>
    <row r="10" spans="1:24" s="66" customFormat="1" ht="12.75"/>
    <row r="11" spans="1:24" s="66" customFormat="1" ht="12.75">
      <c r="J11" s="104" t="s">
        <v>891</v>
      </c>
      <c r="K11" s="104" t="s">
        <v>892</v>
      </c>
      <c r="L11" s="104" t="s">
        <v>893</v>
      </c>
      <c r="M11" s="104" t="s">
        <v>894</v>
      </c>
      <c r="N11" s="104" t="s">
        <v>895</v>
      </c>
      <c r="O11" s="104" t="s">
        <v>896</v>
      </c>
      <c r="P11" s="104" t="s">
        <v>897</v>
      </c>
      <c r="Q11" s="104"/>
      <c r="R11" s="105" t="s">
        <v>898</v>
      </c>
      <c r="S11" s="105" t="s">
        <v>899</v>
      </c>
      <c r="T11" s="105" t="s">
        <v>900</v>
      </c>
      <c r="U11" s="105" t="s">
        <v>901</v>
      </c>
      <c r="V11" s="105" t="s">
        <v>902</v>
      </c>
      <c r="W11" s="105"/>
      <c r="X11" s="105" t="s">
        <v>970</v>
      </c>
    </row>
    <row r="12" spans="1:24" s="66" customFormat="1">
      <c r="A12" s="66" t="s">
        <v>971</v>
      </c>
      <c r="J12" s="66">
        <f>+'Payroll Base and Adjustment '!F43</f>
        <v>914757.91803333338</v>
      </c>
      <c r="K12" s="66">
        <f>+'Payroll Base and Adjustment '!G43</f>
        <v>914904.30403333344</v>
      </c>
      <c r="L12" s="66">
        <f>+'Payroll Base and Adjustment '!H43</f>
        <v>845917.11903333326</v>
      </c>
      <c r="M12" s="66">
        <f>+'Payroll Base and Adjustment '!I43</f>
        <v>922889.73983333306</v>
      </c>
      <c r="N12" s="66">
        <f>+'Payroll Base and Adjustment '!J43</f>
        <v>845794.3922333332</v>
      </c>
      <c r="O12" s="66">
        <f>+'Payroll Base and Adjustment '!K43</f>
        <v>819217.97683333326</v>
      </c>
      <c r="P12" s="66">
        <f>+'Payroll Base and Adjustment '!L43</f>
        <v>883728.50623333338</v>
      </c>
      <c r="Q12" s="66">
        <f>+'Payroll Base and Adjustment '!M43</f>
        <v>0</v>
      </c>
      <c r="R12" s="66">
        <f>+'Payroll Base and Adjustment '!N43</f>
        <v>914822.75583333336</v>
      </c>
      <c r="S12" s="66">
        <f>+'Payroll Base and Adjustment '!O43</f>
        <v>875750.73583333334</v>
      </c>
      <c r="T12" s="66">
        <f>+'Payroll Base and Adjustment '!P43</f>
        <v>907796.09583333333</v>
      </c>
      <c r="U12" s="66">
        <f>+'Payroll Base and Adjustment '!Q43</f>
        <v>912218.91583333327</v>
      </c>
      <c r="V12" s="66">
        <f>+'Payroll Base and Adjustment '!R43</f>
        <v>926175.41583333327</v>
      </c>
      <c r="X12" s="217">
        <f>SUM(J12:V12)</f>
        <v>10683973.875400001</v>
      </c>
    </row>
    <row r="14" spans="1:24" s="179" customFormat="1">
      <c r="N14" s="65"/>
      <c r="O14" s="65"/>
      <c r="P14" s="65"/>
      <c r="Q14" s="65"/>
      <c r="R14" s="65"/>
      <c r="S14" s="65"/>
      <c r="T14" s="65"/>
      <c r="U14" s="65"/>
      <c r="V14" s="65"/>
      <c r="W14" s="65"/>
      <c r="X14" s="66"/>
    </row>
    <row r="15" spans="1:24" s="179" customFormat="1" ht="17.25">
      <c r="N15" s="65"/>
      <c r="O15" s="215" t="s">
        <v>282</v>
      </c>
      <c r="P15" s="215" t="s">
        <v>283</v>
      </c>
      <c r="Q15" s="215" t="s">
        <v>284</v>
      </c>
      <c r="R15" s="215" t="s">
        <v>285</v>
      </c>
      <c r="S15" s="65"/>
      <c r="T15" s="65"/>
      <c r="U15" s="65"/>
      <c r="V15" s="65"/>
      <c r="W15" s="65"/>
      <c r="X15" s="66"/>
    </row>
    <row r="16" spans="1:24" s="179" customFormat="1">
      <c r="N16" s="213"/>
      <c r="O16" s="214"/>
      <c r="P16" s="214"/>
      <c r="Q16" s="214"/>
      <c r="R16" s="214"/>
      <c r="S16" s="65"/>
      <c r="T16" s="65"/>
      <c r="U16" s="65"/>
      <c r="V16" s="65"/>
      <c r="W16" s="65"/>
      <c r="X16" s="66"/>
    </row>
    <row r="17" spans="1:24" s="179" customFormat="1" ht="17.25">
      <c r="N17" s="65"/>
      <c r="O17" s="134">
        <f>+X12</f>
        <v>10683973.875400001</v>
      </c>
      <c r="P17" s="134">
        <f>+X12</f>
        <v>10683973.875400001</v>
      </c>
      <c r="Q17" s="134">
        <v>1176000</v>
      </c>
      <c r="R17" s="134">
        <v>1814400</v>
      </c>
      <c r="S17" s="65"/>
      <c r="T17" s="65"/>
      <c r="U17" s="65"/>
      <c r="V17" s="65"/>
      <c r="W17" s="65"/>
      <c r="X17" s="66"/>
    </row>
    <row r="18" spans="1:24" s="179" customFormat="1">
      <c r="L18" s="65" t="s">
        <v>6</v>
      </c>
      <c r="O18" s="66">
        <v>28626</v>
      </c>
      <c r="P18" s="66">
        <v>28626</v>
      </c>
      <c r="Q18" s="66"/>
      <c r="R18" s="66"/>
      <c r="S18" s="65"/>
      <c r="T18" s="65"/>
      <c r="U18" s="65"/>
      <c r="V18" s="65"/>
      <c r="W18" s="65"/>
      <c r="X18" s="66"/>
    </row>
    <row r="19" spans="1:24" s="179" customFormat="1">
      <c r="L19" s="65" t="s">
        <v>5</v>
      </c>
      <c r="O19" s="66">
        <v>298157</v>
      </c>
      <c r="P19" s="66">
        <v>298157</v>
      </c>
      <c r="Q19" s="66"/>
      <c r="R19" s="66"/>
      <c r="S19" s="65"/>
      <c r="T19" s="65"/>
      <c r="U19" s="65"/>
      <c r="V19" s="65"/>
      <c r="W19" s="65"/>
      <c r="X19" s="66"/>
    </row>
    <row r="20" spans="1:24" s="179" customFormat="1">
      <c r="L20" s="65" t="s">
        <v>286</v>
      </c>
      <c r="O20" s="66">
        <v>695</v>
      </c>
      <c r="P20" s="66">
        <v>695</v>
      </c>
      <c r="Q20" s="66"/>
      <c r="R20" s="66"/>
      <c r="S20" s="65"/>
      <c r="T20" s="65"/>
      <c r="U20" s="65"/>
      <c r="V20" s="65"/>
      <c r="W20" s="65"/>
      <c r="X20" s="66"/>
    </row>
    <row r="21" spans="1:24" s="179" customFormat="1">
      <c r="L21" s="65" t="s">
        <v>287</v>
      </c>
      <c r="O21" s="66">
        <v>24625</v>
      </c>
      <c r="P21" s="66">
        <v>24625</v>
      </c>
      <c r="Q21" s="66"/>
      <c r="R21" s="66"/>
      <c r="S21" s="65"/>
      <c r="T21" s="65"/>
      <c r="U21" s="65"/>
      <c r="V21" s="65"/>
      <c r="W21" s="65"/>
      <c r="X21" s="66"/>
    </row>
    <row r="22" spans="1:24" s="179" customFormat="1">
      <c r="L22" s="65" t="s">
        <v>288</v>
      </c>
      <c r="O22" s="66">
        <v>4624</v>
      </c>
      <c r="P22" s="66">
        <v>4624</v>
      </c>
      <c r="Q22" s="66"/>
      <c r="R22" s="66"/>
      <c r="S22" s="65"/>
      <c r="T22" s="65"/>
      <c r="U22" s="65"/>
      <c r="V22" s="65"/>
      <c r="W22" s="65"/>
      <c r="X22" s="66"/>
    </row>
    <row r="23" spans="1:24" s="179" customFormat="1" ht="17.25">
      <c r="L23" s="65" t="s">
        <v>289</v>
      </c>
      <c r="O23" s="134">
        <v>274885.64800000004</v>
      </c>
      <c r="P23" s="134">
        <v>0</v>
      </c>
      <c r="Q23" s="134">
        <v>0</v>
      </c>
      <c r="R23" s="134">
        <v>0</v>
      </c>
      <c r="S23" s="65"/>
      <c r="T23" s="65"/>
      <c r="U23" s="65"/>
      <c r="V23" s="65"/>
      <c r="W23" s="65"/>
      <c r="X23" s="66"/>
    </row>
    <row r="24" spans="1:24" s="179" customFormat="1">
      <c r="L24" s="65" t="s">
        <v>290</v>
      </c>
      <c r="O24" s="66">
        <f>SUM(O18:O23)</f>
        <v>631612.64800000004</v>
      </c>
      <c r="P24" s="66">
        <f>SUM(P18:P23)</f>
        <v>356727</v>
      </c>
      <c r="Q24" s="66">
        <f>SUM(Q18:Q23)</f>
        <v>0</v>
      </c>
      <c r="R24" s="66">
        <f>SUM(R18:R23)</f>
        <v>0</v>
      </c>
      <c r="S24" s="65"/>
      <c r="T24" s="65"/>
      <c r="U24" s="65"/>
      <c r="V24" s="65"/>
      <c r="W24" s="65"/>
      <c r="X24" s="66"/>
    </row>
    <row r="25" spans="1:24" s="179" customFormat="1">
      <c r="L25" s="65"/>
      <c r="O25" s="66"/>
      <c r="P25" s="66"/>
      <c r="Q25" s="66"/>
      <c r="R25" s="66"/>
      <c r="S25" s="65"/>
      <c r="T25" s="65"/>
      <c r="U25" s="65"/>
      <c r="V25" s="65"/>
      <c r="W25" s="65"/>
      <c r="X25" s="66"/>
    </row>
    <row r="26" spans="1:24" s="179" customFormat="1" ht="17.25">
      <c r="L26" s="65"/>
      <c r="O26" s="215" t="s">
        <v>282</v>
      </c>
      <c r="P26" s="215" t="s">
        <v>283</v>
      </c>
      <c r="Q26" s="215" t="s">
        <v>284</v>
      </c>
      <c r="R26" s="215" t="s">
        <v>285</v>
      </c>
      <c r="S26" s="65"/>
      <c r="T26" s="65"/>
      <c r="U26" s="65"/>
      <c r="V26" s="65"/>
      <c r="W26" s="65"/>
      <c r="X26" s="66"/>
    </row>
    <row r="27" spans="1:24" s="179" customFormat="1">
      <c r="L27" s="65" t="s">
        <v>291</v>
      </c>
      <c r="O27" s="66">
        <f>+O17-O24</f>
        <v>10052361.227400001</v>
      </c>
      <c r="P27" s="66">
        <f t="shared" ref="P27:R27" si="3">+P17-P24</f>
        <v>10327246.875400001</v>
      </c>
      <c r="Q27" s="66">
        <f t="shared" si="3"/>
        <v>1176000</v>
      </c>
      <c r="R27" s="66">
        <f t="shared" si="3"/>
        <v>1814400</v>
      </c>
      <c r="S27" s="65"/>
      <c r="T27" s="65"/>
      <c r="U27" s="65"/>
      <c r="V27" s="65"/>
      <c r="W27" s="65"/>
      <c r="X27" s="66"/>
    </row>
    <row r="28" spans="1:24" s="179" customFormat="1">
      <c r="L28" s="65" t="s">
        <v>292</v>
      </c>
      <c r="O28" s="216">
        <v>6.2E-2</v>
      </c>
      <c r="P28" s="216">
        <v>1.4500000000000001E-2</v>
      </c>
      <c r="Q28" s="216">
        <v>6.0000000000000001E-3</v>
      </c>
      <c r="R28" s="216">
        <v>5.0000000000000001E-3</v>
      </c>
      <c r="S28" s="65"/>
      <c r="T28" s="65"/>
      <c r="U28" s="65"/>
      <c r="V28" s="65"/>
      <c r="W28" s="65"/>
      <c r="X28" s="66"/>
    </row>
    <row r="29" spans="1:24" s="179" customFormat="1" ht="17.25">
      <c r="N29" s="65"/>
      <c r="O29" s="66">
        <f>+O27*O28</f>
        <v>623246.39609880012</v>
      </c>
      <c r="P29" s="66">
        <f t="shared" ref="P29:R29" si="4">+P27*P28</f>
        <v>149745.07969330004</v>
      </c>
      <c r="Q29" s="66">
        <f t="shared" si="4"/>
        <v>7056</v>
      </c>
      <c r="R29" s="66">
        <f t="shared" si="4"/>
        <v>9072</v>
      </c>
      <c r="S29" s="218">
        <f>SUM(O29:R29)</f>
        <v>789119.47579210019</v>
      </c>
      <c r="U29" s="179" t="s">
        <v>972</v>
      </c>
      <c r="V29" s="65"/>
      <c r="W29" s="65"/>
      <c r="X29" s="66">
        <f>+S29</f>
        <v>789119.47579210019</v>
      </c>
    </row>
    <row r="30" spans="1:24" s="179" customFormat="1" ht="17.25">
      <c r="N30" s="65"/>
      <c r="O30" s="65"/>
      <c r="P30" s="65"/>
      <c r="Q30" s="65"/>
      <c r="R30" s="65"/>
      <c r="S30" s="65"/>
      <c r="U30" s="179" t="s">
        <v>281</v>
      </c>
      <c r="V30" s="65"/>
      <c r="W30" s="65"/>
      <c r="X30" s="134">
        <f>+X5</f>
        <v>742150.80999999994</v>
      </c>
    </row>
    <row r="31" spans="1:24" s="179" customFormat="1">
      <c r="E31" s="65"/>
      <c r="F31" s="65"/>
      <c r="G31" s="65"/>
      <c r="H31" s="65"/>
      <c r="I31" s="65"/>
      <c r="J31" s="65"/>
      <c r="K31" s="65"/>
      <c r="L31" s="65"/>
      <c r="M31" s="65"/>
      <c r="N31" s="65"/>
      <c r="O31" s="65"/>
      <c r="P31" s="65"/>
      <c r="Q31" s="65"/>
      <c r="R31" s="65"/>
      <c r="S31" s="65"/>
      <c r="T31" s="65"/>
      <c r="U31" s="65" t="s">
        <v>973</v>
      </c>
      <c r="V31" s="65"/>
      <c r="W31" s="65"/>
      <c r="X31" s="66">
        <f>+X29-X30</f>
        <v>46968.665792100248</v>
      </c>
    </row>
    <row r="32" spans="1:24">
      <c r="A32" s="179"/>
      <c r="B32" s="179"/>
      <c r="C32" s="179"/>
      <c r="D32" s="179"/>
      <c r="P32" s="219"/>
      <c r="Q32" s="220"/>
      <c r="R32" s="219"/>
      <c r="U32" s="65" t="s">
        <v>974</v>
      </c>
      <c r="X32" s="222">
        <f>1+'Payroll Base and Adjustment '!U44</f>
        <v>0.78059834678350626</v>
      </c>
    </row>
    <row r="33" spans="1:24">
      <c r="A33" s="179"/>
      <c r="B33" s="179"/>
      <c r="C33" s="179"/>
      <c r="D33" s="179"/>
      <c r="P33" s="219"/>
      <c r="Q33" s="219"/>
      <c r="R33" s="219"/>
      <c r="U33" s="65" t="s">
        <v>975</v>
      </c>
      <c r="X33" s="115">
        <f>+X31*X32</f>
        <v>36663.662867940475</v>
      </c>
    </row>
    <row r="34" spans="1:24">
      <c r="A34" s="179"/>
      <c r="B34" s="179"/>
      <c r="C34" s="179"/>
      <c r="D34" s="179"/>
      <c r="P34" s="219"/>
      <c r="Q34" s="221"/>
      <c r="R34" s="219"/>
    </row>
    <row r="35" spans="1:24">
      <c r="A35" s="179"/>
      <c r="B35" s="179"/>
      <c r="C35" s="179"/>
      <c r="D35" s="179"/>
      <c r="P35" s="219"/>
      <c r="Q35" s="219"/>
      <c r="R35" s="219"/>
    </row>
    <row r="36" spans="1:24">
      <c r="A36" s="179"/>
      <c r="B36" s="179"/>
      <c r="C36" s="179"/>
      <c r="D36" s="179"/>
      <c r="P36" s="219"/>
      <c r="Q36" s="219"/>
      <c r="R36" s="219"/>
    </row>
    <row r="37" spans="1:24">
      <c r="A37" s="179"/>
      <c r="B37" s="179"/>
      <c r="C37" s="179"/>
      <c r="D37" s="179"/>
    </row>
    <row r="38" spans="1:24">
      <c r="A38" s="179"/>
      <c r="B38" s="179"/>
      <c r="C38" s="179"/>
      <c r="D38" s="179"/>
    </row>
    <row r="39" spans="1:24">
      <c r="A39" s="179"/>
      <c r="B39" s="179"/>
      <c r="C39" s="179"/>
      <c r="D39" s="179"/>
    </row>
    <row r="40" spans="1:24">
      <c r="A40" s="179"/>
      <c r="B40" s="179"/>
      <c r="C40" s="179"/>
      <c r="D40" s="179"/>
    </row>
    <row r="41" spans="1:24">
      <c r="A41" s="179"/>
      <c r="B41" s="179"/>
      <c r="C41" s="179"/>
      <c r="D41" s="179"/>
    </row>
    <row r="42" spans="1:24">
      <c r="A42" s="179"/>
      <c r="B42" s="179"/>
      <c r="C42" s="179"/>
      <c r="D42" s="179"/>
    </row>
    <row r="43" spans="1:24">
      <c r="A43" s="179"/>
      <c r="B43" s="179"/>
      <c r="C43" s="179"/>
      <c r="D43" s="179"/>
    </row>
    <row r="44" spans="1:24">
      <c r="A44" s="179"/>
      <c r="B44" s="179"/>
      <c r="C44" s="179"/>
      <c r="D44" s="179"/>
    </row>
    <row r="45" spans="1:24">
      <c r="A45" s="179"/>
      <c r="B45" s="179"/>
      <c r="C45" s="179"/>
      <c r="D45" s="179"/>
    </row>
    <row r="46" spans="1:24">
      <c r="A46" s="179"/>
      <c r="B46" s="179"/>
      <c r="C46" s="179"/>
      <c r="D46" s="179"/>
    </row>
    <row r="47" spans="1:24">
      <c r="A47" s="179"/>
      <c r="B47" s="179"/>
      <c r="C47" s="179"/>
      <c r="D47" s="179"/>
    </row>
    <row r="48" spans="1:24">
      <c r="A48" s="179" t="s">
        <v>976</v>
      </c>
      <c r="B48" s="179"/>
      <c r="C48" s="179"/>
      <c r="D48" s="179"/>
    </row>
    <row r="49" spans="1:4">
      <c r="A49" s="179"/>
      <c r="B49" s="179"/>
      <c r="C49" s="179"/>
      <c r="D49" s="179"/>
    </row>
    <row r="50" spans="1:4">
      <c r="A50" s="179" t="s">
        <v>0</v>
      </c>
      <c r="B50" s="179"/>
      <c r="C50" s="179"/>
      <c r="D50" s="179"/>
    </row>
    <row r="52" spans="1:4">
      <c r="A52" s="179"/>
      <c r="B52" s="179"/>
      <c r="C52" s="179"/>
      <c r="D52" s="179"/>
    </row>
    <row r="54" spans="1:4">
      <c r="A54" s="179"/>
      <c r="B54" s="179"/>
      <c r="C54" s="179"/>
      <c r="D54" s="179"/>
    </row>
  </sheetData>
  <pageMargins left="0.7" right="0.7" top="0.75" bottom="0.75" header="0.3" footer="0.3"/>
  <pageSetup paperSize="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9"/>
  <sheetViews>
    <sheetView workbookViewId="0">
      <pane xSplit="3" ySplit="2" topLeftCell="Y3" activePane="bottomRight" state="frozen"/>
      <selection pane="topRight" activeCell="D1" sqref="D1"/>
      <selection pane="bottomLeft" activeCell="A3" sqref="A3"/>
      <selection pane="bottomRight" activeCell="AK22" sqref="AK22:AK27"/>
    </sheetView>
  </sheetViews>
  <sheetFormatPr defaultRowHeight="15"/>
  <cols>
    <col min="3" max="3" width="57.7109375" bestFit="1" customWidth="1"/>
    <col min="4" max="4" width="11" bestFit="1" customWidth="1"/>
    <col min="12" max="13" width="10.5703125" bestFit="1" customWidth="1"/>
    <col min="19" max="19" width="10.5703125" bestFit="1" customWidth="1"/>
    <col min="22" max="22" width="6" bestFit="1" customWidth="1"/>
    <col min="23" max="23" width="33" bestFit="1" customWidth="1"/>
    <col min="31" max="31" width="5.140625" customWidth="1"/>
    <col min="33" max="33" width="11.28515625" bestFit="1" customWidth="1"/>
    <col min="34" max="35" width="11.28515625" style="179" customWidth="1"/>
    <col min="36" max="36" width="4.42578125" customWidth="1"/>
    <col min="37" max="37" width="11.85546875" bestFit="1" customWidth="1"/>
    <col min="38" max="38" width="5" customWidth="1"/>
    <col min="39" max="39" width="11.28515625" bestFit="1" customWidth="1"/>
    <col min="40" max="40" width="15.42578125" bestFit="1" customWidth="1"/>
  </cols>
  <sheetData>
    <row r="1" spans="1:39">
      <c r="A1" s="179"/>
      <c r="B1" s="179"/>
      <c r="C1" s="179"/>
      <c r="D1" s="180" t="s">
        <v>829</v>
      </c>
      <c r="E1" s="180"/>
      <c r="F1" s="180"/>
      <c r="G1" s="179"/>
      <c r="H1" s="179"/>
      <c r="I1" s="179"/>
      <c r="J1" s="179"/>
      <c r="K1" s="179"/>
      <c r="L1" s="179"/>
      <c r="M1" s="179"/>
      <c r="N1" s="179"/>
      <c r="O1" s="179"/>
      <c r="P1" s="179"/>
      <c r="Q1" s="179"/>
      <c r="R1" s="179"/>
      <c r="S1" s="179"/>
      <c r="T1" s="179"/>
      <c r="U1" s="179"/>
      <c r="V1" s="65"/>
      <c r="W1" s="65"/>
      <c r="X1" s="66"/>
      <c r="Y1" s="66"/>
      <c r="Z1" s="66"/>
      <c r="AA1" s="66"/>
      <c r="AB1" s="66"/>
      <c r="AC1" s="66"/>
      <c r="AD1" s="65"/>
      <c r="AE1" s="179"/>
      <c r="AF1" s="179"/>
      <c r="AG1" s="179"/>
      <c r="AJ1" s="179"/>
      <c r="AK1" s="179"/>
      <c r="AL1" s="179"/>
      <c r="AM1" s="179"/>
    </row>
    <row r="2" spans="1:39">
      <c r="A2" s="198"/>
      <c r="B2" s="199"/>
      <c r="C2" s="200"/>
      <c r="D2" s="201"/>
      <c r="E2" s="180"/>
      <c r="F2" s="180"/>
      <c r="G2" s="179"/>
      <c r="H2" s="179"/>
      <c r="I2" s="179"/>
      <c r="J2" s="179"/>
      <c r="K2" s="179"/>
      <c r="L2" s="179"/>
      <c r="M2" s="179"/>
      <c r="N2" s="179"/>
      <c r="O2" s="179"/>
      <c r="P2" s="179"/>
      <c r="Q2" s="179"/>
      <c r="R2" s="179"/>
      <c r="S2" s="179"/>
      <c r="T2" s="179"/>
      <c r="U2" s="179"/>
      <c r="V2" s="65"/>
      <c r="W2" s="65"/>
      <c r="X2" s="66" t="s">
        <v>977</v>
      </c>
      <c r="Y2" s="66"/>
      <c r="Z2" s="66"/>
      <c r="AA2" s="66" t="s">
        <v>978</v>
      </c>
      <c r="AB2" s="66"/>
      <c r="AC2" s="66"/>
      <c r="AD2" s="65"/>
      <c r="AE2" s="179"/>
      <c r="AF2" s="179"/>
      <c r="AG2" s="179"/>
      <c r="AJ2" s="179"/>
      <c r="AK2" s="179"/>
      <c r="AL2" s="179"/>
      <c r="AM2" s="179"/>
    </row>
    <row r="3" spans="1:39" ht="25.5">
      <c r="A3" s="198"/>
      <c r="B3" s="199"/>
      <c r="C3" s="200"/>
      <c r="D3" s="201"/>
      <c r="E3" s="180"/>
      <c r="F3" s="181" t="s">
        <v>830</v>
      </c>
      <c r="G3" s="181" t="s">
        <v>831</v>
      </c>
      <c r="H3" s="181" t="s">
        <v>832</v>
      </c>
      <c r="I3" s="181" t="s">
        <v>833</v>
      </c>
      <c r="J3" s="181" t="s">
        <v>834</v>
      </c>
      <c r="K3" s="181" t="s">
        <v>835</v>
      </c>
      <c r="L3" s="181" t="s">
        <v>836</v>
      </c>
      <c r="M3" s="182" t="s">
        <v>445</v>
      </c>
      <c r="N3" s="184" t="s">
        <v>838</v>
      </c>
      <c r="O3" s="184" t="s">
        <v>839</v>
      </c>
      <c r="P3" s="184" t="s">
        <v>840</v>
      </c>
      <c r="Q3" s="184" t="s">
        <v>841</v>
      </c>
      <c r="R3" s="184" t="s">
        <v>842</v>
      </c>
      <c r="S3" s="182" t="s">
        <v>447</v>
      </c>
      <c r="T3" s="182" t="s">
        <v>448</v>
      </c>
      <c r="U3" s="179"/>
      <c r="V3" s="65"/>
      <c r="W3" s="65"/>
      <c r="X3" s="136" t="s">
        <v>834</v>
      </c>
      <c r="Y3" s="136" t="s">
        <v>835</v>
      </c>
      <c r="Z3" s="136" t="s">
        <v>836</v>
      </c>
      <c r="AA3" s="136" t="s">
        <v>834</v>
      </c>
      <c r="AB3" s="136" t="s">
        <v>835</v>
      </c>
      <c r="AC3" s="136" t="s">
        <v>836</v>
      </c>
      <c r="AD3" s="65" t="s">
        <v>256</v>
      </c>
      <c r="AE3" s="179"/>
      <c r="AF3" s="239" t="s">
        <v>979</v>
      </c>
      <c r="AG3" s="239" t="s">
        <v>980</v>
      </c>
      <c r="AH3" s="239" t="s">
        <v>981</v>
      </c>
      <c r="AI3" s="239" t="s">
        <v>256</v>
      </c>
      <c r="AJ3" s="179"/>
      <c r="AK3" s="179" t="s">
        <v>976</v>
      </c>
      <c r="AL3" s="179"/>
      <c r="AM3" s="179" t="s">
        <v>0</v>
      </c>
    </row>
    <row r="4" spans="1:39">
      <c r="A4" s="202" t="s">
        <v>402</v>
      </c>
      <c r="B4" s="203" t="s">
        <v>919</v>
      </c>
      <c r="C4" s="203" t="s">
        <v>920</v>
      </c>
      <c r="D4" s="204">
        <v>949351.43</v>
      </c>
      <c r="E4" s="185"/>
      <c r="F4" s="186">
        <v>136151.09</v>
      </c>
      <c r="G4" s="186">
        <v>100773.3</v>
      </c>
      <c r="H4" s="186">
        <v>98288.02</v>
      </c>
      <c r="I4" s="186">
        <v>114760.53</v>
      </c>
      <c r="J4" s="186">
        <v>171971.59</v>
      </c>
      <c r="K4" s="186">
        <v>208417.93</v>
      </c>
      <c r="L4" s="186">
        <v>118988.97</v>
      </c>
      <c r="M4" s="187">
        <f>SUM(F4:L4)</f>
        <v>949351.42999999993</v>
      </c>
      <c r="N4" s="188">
        <v>126005</v>
      </c>
      <c r="O4" s="188">
        <v>120741</v>
      </c>
      <c r="P4" s="188">
        <v>126005</v>
      </c>
      <c r="Q4" s="188">
        <v>126005</v>
      </c>
      <c r="R4" s="188">
        <v>126005</v>
      </c>
      <c r="S4" s="187">
        <f>SUM(N4:R4)</f>
        <v>624761</v>
      </c>
      <c r="T4" s="187">
        <f>+M4+S4</f>
        <v>1574112.43</v>
      </c>
      <c r="U4" s="179"/>
      <c r="V4" s="137" t="s">
        <v>919</v>
      </c>
      <c r="W4" s="138" t="s">
        <v>487</v>
      </c>
      <c r="X4" s="139">
        <v>117521</v>
      </c>
      <c r="Y4" s="139">
        <v>112410</v>
      </c>
      <c r="Z4" s="139">
        <v>131269</v>
      </c>
      <c r="AA4" s="140">
        <f>+X4-J4</f>
        <v>-54450.59</v>
      </c>
      <c r="AB4" s="140">
        <f t="shared" ref="AB4:AC17" si="0">+Y4-K4</f>
        <v>-96007.93</v>
      </c>
      <c r="AC4" s="140">
        <f t="shared" si="0"/>
        <v>12280.029999999999</v>
      </c>
      <c r="AD4" s="141">
        <f>SUM(AA4:AC4)</f>
        <v>-138178.49</v>
      </c>
      <c r="AE4" s="179"/>
      <c r="AF4" s="183">
        <f>SUM(J4:L4)</f>
        <v>499378.49</v>
      </c>
      <c r="AG4" s="142">
        <f>AF4*4</f>
        <v>1997513.96</v>
      </c>
      <c r="AH4" s="142">
        <f>+AG4*0.05</f>
        <v>99875.698000000004</v>
      </c>
      <c r="AI4" s="142">
        <f>+AH4+AG4</f>
        <v>2097389.6579999998</v>
      </c>
      <c r="AJ4" s="143"/>
      <c r="AK4" s="183">
        <f>+T4</f>
        <v>1574112.43</v>
      </c>
      <c r="AL4" s="179"/>
      <c r="AM4" s="183">
        <f t="shared" ref="AM4:AM14" si="1">+AI4-AK4</f>
        <v>523277.22799999989</v>
      </c>
    </row>
    <row r="5" spans="1:39">
      <c r="A5" s="198" t="s">
        <v>854</v>
      </c>
      <c r="B5" s="199" t="s">
        <v>921</v>
      </c>
      <c r="C5" s="200" t="s">
        <v>922</v>
      </c>
      <c r="D5" s="201">
        <v>7875</v>
      </c>
      <c r="E5" s="180"/>
      <c r="F5" s="73">
        <v>1125</v>
      </c>
      <c r="G5" s="73">
        <v>1125</v>
      </c>
      <c r="H5" s="73">
        <v>1125</v>
      </c>
      <c r="I5" s="73">
        <v>1125</v>
      </c>
      <c r="J5" s="73">
        <v>1125</v>
      </c>
      <c r="K5" s="73">
        <v>1125</v>
      </c>
      <c r="L5" s="73">
        <v>1125</v>
      </c>
      <c r="M5" s="114">
        <f t="shared" ref="M5:M17" si="2">SUM(F5:L5)</f>
        <v>7875</v>
      </c>
      <c r="N5" s="74">
        <v>1229</v>
      </c>
      <c r="O5" s="74">
        <v>1229</v>
      </c>
      <c r="P5" s="74">
        <v>1229</v>
      </c>
      <c r="Q5" s="74">
        <v>1229</v>
      </c>
      <c r="R5" s="74">
        <v>1229</v>
      </c>
      <c r="S5" s="114">
        <f t="shared" ref="S5:S17" si="3">SUM(N5:R5)</f>
        <v>6145</v>
      </c>
      <c r="T5" s="114">
        <f t="shared" ref="T5:T18" si="4">+M5+S5</f>
        <v>14020</v>
      </c>
      <c r="U5" s="179"/>
      <c r="V5" s="144" t="s">
        <v>921</v>
      </c>
      <c r="W5" s="145" t="s">
        <v>488</v>
      </c>
      <c r="X5" s="146">
        <v>1229</v>
      </c>
      <c r="Y5" s="146">
        <v>1229</v>
      </c>
      <c r="Z5" s="146">
        <v>1229</v>
      </c>
      <c r="AA5" s="66">
        <f t="shared" ref="AA5:AA17" si="5">+X5-J5</f>
        <v>104</v>
      </c>
      <c r="AB5" s="66">
        <f t="shared" si="0"/>
        <v>104</v>
      </c>
      <c r="AC5" s="66">
        <f t="shared" si="0"/>
        <v>104</v>
      </c>
      <c r="AD5" s="147">
        <f t="shared" ref="AD5:AD17" si="6">SUM(AA5:AC5)</f>
        <v>312</v>
      </c>
      <c r="AE5" s="179"/>
      <c r="AF5" s="179"/>
      <c r="AG5" s="179"/>
      <c r="AI5" s="183">
        <f>T5</f>
        <v>14020</v>
      </c>
      <c r="AJ5" s="179"/>
      <c r="AK5" s="183">
        <f>AI5</f>
        <v>14020</v>
      </c>
      <c r="AL5" s="179"/>
      <c r="AM5" s="183">
        <f t="shared" si="1"/>
        <v>0</v>
      </c>
    </row>
    <row r="6" spans="1:39">
      <c r="A6" s="202" t="s">
        <v>402</v>
      </c>
      <c r="B6" s="203" t="s">
        <v>923</v>
      </c>
      <c r="C6" s="203" t="s">
        <v>924</v>
      </c>
      <c r="D6" s="204">
        <v>42974.62</v>
      </c>
      <c r="E6" s="185"/>
      <c r="F6" s="186">
        <v>2819.06</v>
      </c>
      <c r="G6" s="186">
        <v>5434.82</v>
      </c>
      <c r="H6" s="186">
        <v>2822.28</v>
      </c>
      <c r="I6" s="186">
        <v>1229.0999999999999</v>
      </c>
      <c r="J6" s="186">
        <v>12949.31</v>
      </c>
      <c r="K6" s="186">
        <v>8449.74</v>
      </c>
      <c r="L6" s="186">
        <v>9270.31</v>
      </c>
      <c r="M6" s="187">
        <f t="shared" si="2"/>
        <v>42974.619999999995</v>
      </c>
      <c r="N6" s="188">
        <v>4200</v>
      </c>
      <c r="O6" s="188">
        <v>4031</v>
      </c>
      <c r="P6" s="188">
        <v>4200</v>
      </c>
      <c r="Q6" s="188">
        <v>4200</v>
      </c>
      <c r="R6" s="188">
        <v>4200</v>
      </c>
      <c r="S6" s="187">
        <f t="shared" si="3"/>
        <v>20831</v>
      </c>
      <c r="T6" s="187">
        <f t="shared" si="4"/>
        <v>63805.619999999995</v>
      </c>
      <c r="U6" s="179"/>
      <c r="V6" s="148" t="s">
        <v>923</v>
      </c>
      <c r="W6" s="149" t="s">
        <v>489</v>
      </c>
      <c r="X6" s="150">
        <v>3928</v>
      </c>
      <c r="Y6" s="150">
        <v>3765</v>
      </c>
      <c r="Z6" s="150">
        <v>4368</v>
      </c>
      <c r="AA6" s="151">
        <f t="shared" si="5"/>
        <v>-9021.31</v>
      </c>
      <c r="AB6" s="151">
        <f t="shared" si="0"/>
        <v>-4684.74</v>
      </c>
      <c r="AC6" s="151">
        <f t="shared" si="0"/>
        <v>-4902.3099999999995</v>
      </c>
      <c r="AD6" s="152">
        <f t="shared" si="6"/>
        <v>-18608.36</v>
      </c>
      <c r="AE6" s="179"/>
      <c r="AF6" s="183">
        <f>SUM(J6:L6, )</f>
        <v>30669.360000000001</v>
      </c>
      <c r="AG6" s="142">
        <f>+(AF6+AF15)*4</f>
        <v>201113.48</v>
      </c>
      <c r="AH6" s="142">
        <f>+AG6*0.05</f>
        <v>10055.674000000001</v>
      </c>
      <c r="AI6" s="142">
        <f>+AH6+AG6</f>
        <v>211169.15400000001</v>
      </c>
      <c r="AJ6" s="143"/>
      <c r="AK6" s="183">
        <f>+T6+T15</f>
        <v>129220.35999999999</v>
      </c>
      <c r="AL6" s="179"/>
      <c r="AM6" s="183">
        <f t="shared" si="1"/>
        <v>81948.794000000024</v>
      </c>
    </row>
    <row r="7" spans="1:39">
      <c r="A7" s="198" t="s">
        <v>402</v>
      </c>
      <c r="B7" s="199" t="s">
        <v>925</v>
      </c>
      <c r="C7" s="200" t="s">
        <v>926</v>
      </c>
      <c r="D7" s="201">
        <v>2109.92</v>
      </c>
      <c r="E7" s="180"/>
      <c r="F7" s="73">
        <v>-992.42</v>
      </c>
      <c r="G7" s="73">
        <v>3417.26</v>
      </c>
      <c r="H7" s="73">
        <v>-987.06</v>
      </c>
      <c r="I7" s="73">
        <v>2450.88</v>
      </c>
      <c r="J7" s="73">
        <v>444.23</v>
      </c>
      <c r="K7" s="73">
        <v>-847.15</v>
      </c>
      <c r="L7" s="73">
        <v>-1375.82</v>
      </c>
      <c r="M7" s="114">
        <f t="shared" si="2"/>
        <v>2109.92</v>
      </c>
      <c r="N7" s="74">
        <v>1526</v>
      </c>
      <c r="O7" s="74">
        <v>1457</v>
      </c>
      <c r="P7" s="74">
        <v>1526</v>
      </c>
      <c r="Q7" s="74">
        <v>1526</v>
      </c>
      <c r="R7" s="74">
        <v>1526</v>
      </c>
      <c r="S7" s="114">
        <f t="shared" si="3"/>
        <v>7561</v>
      </c>
      <c r="T7" s="114">
        <f t="shared" si="4"/>
        <v>9670.92</v>
      </c>
      <c r="U7" s="179"/>
      <c r="V7" s="144" t="s">
        <v>925</v>
      </c>
      <c r="W7" s="145" t="s">
        <v>490</v>
      </c>
      <c r="X7" s="146">
        <v>1414</v>
      </c>
      <c r="Y7" s="146">
        <v>1347</v>
      </c>
      <c r="Z7" s="146">
        <v>1596</v>
      </c>
      <c r="AA7" s="66">
        <f t="shared" si="5"/>
        <v>969.77</v>
      </c>
      <c r="AB7" s="66">
        <f t="shared" si="0"/>
        <v>2194.15</v>
      </c>
      <c r="AC7" s="66">
        <f t="shared" si="0"/>
        <v>2971.8199999999997</v>
      </c>
      <c r="AD7" s="147">
        <f t="shared" si="6"/>
        <v>6135.74</v>
      </c>
      <c r="AE7" s="179"/>
      <c r="AF7" s="179"/>
      <c r="AG7" s="179"/>
      <c r="AI7" s="183">
        <f t="shared" ref="AI7:AI12" si="7">T7</f>
        <v>9670.92</v>
      </c>
      <c r="AJ7" s="179"/>
      <c r="AK7" s="183">
        <f>AI7</f>
        <v>9670.92</v>
      </c>
      <c r="AL7" s="179"/>
      <c r="AM7" s="183">
        <f t="shared" si="1"/>
        <v>0</v>
      </c>
    </row>
    <row r="8" spans="1:39">
      <c r="A8" s="198" t="s">
        <v>402</v>
      </c>
      <c r="B8" s="199" t="s">
        <v>927</v>
      </c>
      <c r="C8" s="200" t="s">
        <v>928</v>
      </c>
      <c r="D8" s="201">
        <v>26319.37</v>
      </c>
      <c r="E8" s="180"/>
      <c r="F8" s="73">
        <v>304.76</v>
      </c>
      <c r="G8" s="73">
        <v>10058.9</v>
      </c>
      <c r="H8" s="73">
        <v>234.92</v>
      </c>
      <c r="I8" s="73">
        <v>9689.67</v>
      </c>
      <c r="J8" s="73">
        <v>5535.72</v>
      </c>
      <c r="K8" s="73">
        <v>251.96</v>
      </c>
      <c r="L8" s="73">
        <v>243.44</v>
      </c>
      <c r="M8" s="114">
        <f t="shared" si="2"/>
        <v>26319.37</v>
      </c>
      <c r="N8" s="74">
        <v>4951</v>
      </c>
      <c r="O8" s="74">
        <v>4725</v>
      </c>
      <c r="P8" s="74">
        <v>4951</v>
      </c>
      <c r="Q8" s="74">
        <v>4951</v>
      </c>
      <c r="R8" s="74">
        <v>4951</v>
      </c>
      <c r="S8" s="114">
        <f t="shared" si="3"/>
        <v>24529</v>
      </c>
      <c r="T8" s="114">
        <f t="shared" si="4"/>
        <v>50848.369999999995</v>
      </c>
      <c r="U8" s="179"/>
      <c r="V8" s="144" t="s">
        <v>927</v>
      </c>
      <c r="W8" s="145" t="s">
        <v>491</v>
      </c>
      <c r="X8" s="146">
        <v>4588</v>
      </c>
      <c r="Y8" s="146">
        <v>4369</v>
      </c>
      <c r="Z8" s="146">
        <v>5176</v>
      </c>
      <c r="AA8" s="66">
        <f t="shared" si="5"/>
        <v>-947.72000000000025</v>
      </c>
      <c r="AB8" s="66">
        <f t="shared" si="0"/>
        <v>4117.04</v>
      </c>
      <c r="AC8" s="66">
        <f t="shared" si="0"/>
        <v>4932.5600000000004</v>
      </c>
      <c r="AD8" s="147">
        <f t="shared" si="6"/>
        <v>8101.88</v>
      </c>
      <c r="AE8" s="179"/>
      <c r="AF8" s="179"/>
      <c r="AG8" s="179"/>
      <c r="AI8" s="183">
        <f t="shared" si="7"/>
        <v>50848.369999999995</v>
      </c>
      <c r="AJ8" s="179"/>
      <c r="AK8" s="183">
        <f>AI8</f>
        <v>50848.369999999995</v>
      </c>
      <c r="AL8" s="179"/>
      <c r="AM8" s="183">
        <f t="shared" si="1"/>
        <v>0</v>
      </c>
    </row>
    <row r="9" spans="1:39">
      <c r="A9" s="198" t="s">
        <v>854</v>
      </c>
      <c r="B9" s="199" t="s">
        <v>929</v>
      </c>
      <c r="C9" s="200" t="s">
        <v>930</v>
      </c>
      <c r="D9" s="201">
        <v>8539.2099999999991</v>
      </c>
      <c r="E9" s="180"/>
      <c r="F9" s="73">
        <v>1517</v>
      </c>
      <c r="G9" s="73">
        <v>1517</v>
      </c>
      <c r="H9" s="73">
        <v>1517</v>
      </c>
      <c r="I9" s="73">
        <v>2254.6799999999998</v>
      </c>
      <c r="J9" s="73">
        <v>1535.57</v>
      </c>
      <c r="K9" s="73">
        <v>1535.57</v>
      </c>
      <c r="L9" s="73">
        <v>-1337.61</v>
      </c>
      <c r="M9" s="114">
        <f t="shared" si="2"/>
        <v>8539.2099999999991</v>
      </c>
      <c r="N9" s="74">
        <v>1466</v>
      </c>
      <c r="O9" s="74">
        <v>1466</v>
      </c>
      <c r="P9" s="74">
        <v>1465</v>
      </c>
      <c r="Q9" s="74">
        <v>1466</v>
      </c>
      <c r="R9" s="74">
        <v>1466</v>
      </c>
      <c r="S9" s="114">
        <f t="shared" si="3"/>
        <v>7329</v>
      </c>
      <c r="T9" s="114">
        <f t="shared" si="4"/>
        <v>15868.21</v>
      </c>
      <c r="U9" s="179"/>
      <c r="V9" s="144" t="s">
        <v>929</v>
      </c>
      <c r="W9" s="145" t="s">
        <v>492</v>
      </c>
      <c r="X9" s="146">
        <v>1466</v>
      </c>
      <c r="Y9" s="146">
        <v>1466</v>
      </c>
      <c r="Z9" s="146">
        <v>1465</v>
      </c>
      <c r="AA9" s="66">
        <f t="shared" si="5"/>
        <v>-69.569999999999936</v>
      </c>
      <c r="AB9" s="66">
        <f t="shared" si="0"/>
        <v>-69.569999999999936</v>
      </c>
      <c r="AC9" s="66">
        <f t="shared" si="0"/>
        <v>2802.6099999999997</v>
      </c>
      <c r="AD9" s="147">
        <f t="shared" si="6"/>
        <v>2663.47</v>
      </c>
      <c r="AE9" s="179"/>
      <c r="AF9" s="179"/>
      <c r="AG9" s="179"/>
      <c r="AI9" s="183">
        <f t="shared" si="7"/>
        <v>15868.21</v>
      </c>
      <c r="AJ9" s="179"/>
      <c r="AK9" s="183">
        <f>AI9</f>
        <v>15868.21</v>
      </c>
      <c r="AL9" s="179"/>
      <c r="AM9" s="183">
        <f t="shared" si="1"/>
        <v>0</v>
      </c>
    </row>
    <row r="10" spans="1:39">
      <c r="A10" s="198"/>
      <c r="B10" s="199" t="s">
        <v>982</v>
      </c>
      <c r="C10" s="200" t="s">
        <v>983</v>
      </c>
      <c r="D10" s="201"/>
      <c r="E10" s="180"/>
      <c r="F10" s="73"/>
      <c r="G10" s="73"/>
      <c r="H10" s="73"/>
      <c r="I10" s="73"/>
      <c r="J10" s="73"/>
      <c r="K10" s="73"/>
      <c r="L10" s="73"/>
      <c r="M10" s="114">
        <f t="shared" si="2"/>
        <v>0</v>
      </c>
      <c r="N10" s="74">
        <v>32</v>
      </c>
      <c r="O10" s="74">
        <v>33</v>
      </c>
      <c r="P10" s="74">
        <v>33</v>
      </c>
      <c r="Q10" s="74">
        <v>33</v>
      </c>
      <c r="R10" s="74">
        <v>33</v>
      </c>
      <c r="S10" s="114">
        <f t="shared" si="3"/>
        <v>164</v>
      </c>
      <c r="T10" s="114">
        <f t="shared" si="4"/>
        <v>164</v>
      </c>
      <c r="U10" s="179"/>
      <c r="V10" s="144" t="s">
        <v>982</v>
      </c>
      <c r="W10" s="145" t="s">
        <v>493</v>
      </c>
      <c r="X10" s="146">
        <v>33</v>
      </c>
      <c r="Y10" s="146">
        <v>33</v>
      </c>
      <c r="Z10" s="146">
        <v>33</v>
      </c>
      <c r="AA10" s="66">
        <f t="shared" si="5"/>
        <v>33</v>
      </c>
      <c r="AB10" s="66">
        <f t="shared" si="0"/>
        <v>33</v>
      </c>
      <c r="AC10" s="66">
        <f t="shared" si="0"/>
        <v>33</v>
      </c>
      <c r="AD10" s="147">
        <f t="shared" si="6"/>
        <v>99</v>
      </c>
      <c r="AE10" s="179"/>
      <c r="AF10" s="179"/>
      <c r="AG10" s="179"/>
      <c r="AI10" s="183">
        <f t="shared" si="7"/>
        <v>164</v>
      </c>
      <c r="AJ10" s="179"/>
      <c r="AK10" s="183">
        <f>AI10</f>
        <v>164</v>
      </c>
      <c r="AL10" s="179"/>
      <c r="AM10" s="183">
        <f t="shared" si="1"/>
        <v>0</v>
      </c>
    </row>
    <row r="11" spans="1:39">
      <c r="A11" s="198" t="s">
        <v>402</v>
      </c>
      <c r="B11" s="199" t="s">
        <v>931</v>
      </c>
      <c r="C11" s="200" t="s">
        <v>932</v>
      </c>
      <c r="D11" s="201">
        <v>291725.58</v>
      </c>
      <c r="E11" s="180"/>
      <c r="F11" s="73">
        <v>73049</v>
      </c>
      <c r="G11" s="73">
        <v>73049</v>
      </c>
      <c r="H11" s="73">
        <v>73049</v>
      </c>
      <c r="I11" s="73">
        <v>72578.55</v>
      </c>
      <c r="J11" s="73">
        <v>72877.75</v>
      </c>
      <c r="K11" s="73">
        <v>72877.75</v>
      </c>
      <c r="L11" s="73">
        <v>-145755.47</v>
      </c>
      <c r="M11" s="114">
        <f t="shared" si="2"/>
        <v>291725.57999999996</v>
      </c>
      <c r="N11" s="74">
        <v>42245</v>
      </c>
      <c r="O11" s="74">
        <v>42243</v>
      </c>
      <c r="P11" s="74">
        <v>42244</v>
      </c>
      <c r="Q11" s="74">
        <v>42243</v>
      </c>
      <c r="R11" s="74">
        <v>42245</v>
      </c>
      <c r="S11" s="114">
        <f t="shared" si="3"/>
        <v>211220</v>
      </c>
      <c r="T11" s="114">
        <f t="shared" si="4"/>
        <v>502945.57999999996</v>
      </c>
      <c r="U11" s="179"/>
      <c r="V11" s="144" t="s">
        <v>931</v>
      </c>
      <c r="W11" s="145" t="s">
        <v>494</v>
      </c>
      <c r="X11" s="146">
        <v>42243</v>
      </c>
      <c r="Y11" s="146">
        <v>42244</v>
      </c>
      <c r="Z11" s="146">
        <v>42243</v>
      </c>
      <c r="AA11" s="66">
        <f t="shared" si="5"/>
        <v>-30634.75</v>
      </c>
      <c r="AB11" s="66">
        <f t="shared" si="0"/>
        <v>-30633.75</v>
      </c>
      <c r="AC11" s="66">
        <f t="shared" si="0"/>
        <v>187998.47</v>
      </c>
      <c r="AD11" s="147">
        <f t="shared" si="6"/>
        <v>126729.97</v>
      </c>
      <c r="AE11" s="179"/>
      <c r="AF11" s="179"/>
      <c r="AG11" s="179"/>
      <c r="AI11" s="183">
        <f t="shared" si="7"/>
        <v>502945.57999999996</v>
      </c>
      <c r="AJ11" s="179"/>
      <c r="AK11" s="183">
        <f>-795788+808439</f>
        <v>12651</v>
      </c>
      <c r="AL11" s="179"/>
      <c r="AM11" s="183">
        <f t="shared" si="1"/>
        <v>490294.57999999996</v>
      </c>
    </row>
    <row r="12" spans="1:39">
      <c r="A12" s="198" t="s">
        <v>402</v>
      </c>
      <c r="B12" s="199" t="s">
        <v>933</v>
      </c>
      <c r="C12" s="200" t="s">
        <v>934</v>
      </c>
      <c r="D12" s="201">
        <v>313395.02</v>
      </c>
      <c r="E12" s="180"/>
      <c r="F12" s="73">
        <v>99847.98</v>
      </c>
      <c r="G12" s="73">
        <v>60105.22</v>
      </c>
      <c r="H12" s="73">
        <v>-25272.48</v>
      </c>
      <c r="I12" s="73">
        <v>138551.32999999999</v>
      </c>
      <c r="J12" s="73">
        <v>-3104.51</v>
      </c>
      <c r="K12" s="73">
        <v>20.89</v>
      </c>
      <c r="L12" s="73">
        <v>43246.59</v>
      </c>
      <c r="M12" s="114">
        <f t="shared" si="2"/>
        <v>313395.02</v>
      </c>
      <c r="N12" s="74">
        <v>250</v>
      </c>
      <c r="O12" s="74">
        <v>250</v>
      </c>
      <c r="P12" s="74">
        <v>250</v>
      </c>
      <c r="Q12" s="74">
        <v>250</v>
      </c>
      <c r="R12" s="74">
        <v>250</v>
      </c>
      <c r="S12" s="114">
        <f t="shared" si="3"/>
        <v>1250</v>
      </c>
      <c r="T12" s="114">
        <f t="shared" si="4"/>
        <v>314645.02</v>
      </c>
      <c r="U12" s="179"/>
      <c r="V12" s="144" t="s">
        <v>933</v>
      </c>
      <c r="W12" s="145" t="s">
        <v>495</v>
      </c>
      <c r="X12" s="146">
        <v>250</v>
      </c>
      <c r="Y12" s="146">
        <v>250</v>
      </c>
      <c r="Z12" s="146">
        <v>250</v>
      </c>
      <c r="AA12" s="66">
        <f t="shared" si="5"/>
        <v>3354.51</v>
      </c>
      <c r="AB12" s="66">
        <f t="shared" si="0"/>
        <v>229.11</v>
      </c>
      <c r="AC12" s="66">
        <f t="shared" si="0"/>
        <v>-42996.59</v>
      </c>
      <c r="AD12" s="147">
        <f t="shared" si="6"/>
        <v>-39412.969999999994</v>
      </c>
      <c r="AE12" s="179"/>
      <c r="AF12" s="179"/>
      <c r="AG12" s="179"/>
      <c r="AI12" s="183">
        <f t="shared" si="7"/>
        <v>314645.02</v>
      </c>
      <c r="AJ12" s="179"/>
      <c r="AK12" s="183">
        <f>AI12</f>
        <v>314645.02</v>
      </c>
      <c r="AL12" s="179"/>
      <c r="AM12" s="183">
        <f t="shared" si="1"/>
        <v>0</v>
      </c>
    </row>
    <row r="13" spans="1:39">
      <c r="A13" s="198" t="s">
        <v>402</v>
      </c>
      <c r="B13" s="199" t="s">
        <v>935</v>
      </c>
      <c r="C13" s="200" t="s">
        <v>936</v>
      </c>
      <c r="D13" s="201">
        <v>246921.73</v>
      </c>
      <c r="E13" s="180"/>
      <c r="F13" s="73">
        <v>2097</v>
      </c>
      <c r="G13" s="73">
        <v>2097</v>
      </c>
      <c r="H13" s="73">
        <v>2097</v>
      </c>
      <c r="I13" s="73">
        <v>2097</v>
      </c>
      <c r="J13" s="73">
        <v>2248.7199999999998</v>
      </c>
      <c r="K13" s="73">
        <v>2248.7199999999998</v>
      </c>
      <c r="L13" s="73">
        <v>234036.29</v>
      </c>
      <c r="M13" s="114">
        <f t="shared" si="2"/>
        <v>246921.73</v>
      </c>
      <c r="N13" s="74">
        <v>34362</v>
      </c>
      <c r="O13" s="74">
        <v>34363</v>
      </c>
      <c r="P13" s="74">
        <v>34362</v>
      </c>
      <c r="Q13" s="74">
        <v>34363</v>
      </c>
      <c r="R13" s="74">
        <v>34362</v>
      </c>
      <c r="S13" s="114">
        <f t="shared" si="3"/>
        <v>171812</v>
      </c>
      <c r="T13" s="114">
        <f t="shared" si="4"/>
        <v>418733.73</v>
      </c>
      <c r="U13" s="179"/>
      <c r="V13" s="144" t="s">
        <v>935</v>
      </c>
      <c r="W13" s="145" t="s">
        <v>496</v>
      </c>
      <c r="X13" s="146">
        <v>34363</v>
      </c>
      <c r="Y13" s="146">
        <v>34362</v>
      </c>
      <c r="Z13" s="146">
        <v>34363</v>
      </c>
      <c r="AA13" s="66">
        <f t="shared" si="5"/>
        <v>32114.28</v>
      </c>
      <c r="AB13" s="66">
        <f t="shared" si="0"/>
        <v>32113.279999999999</v>
      </c>
      <c r="AC13" s="66">
        <f t="shared" si="0"/>
        <v>-199673.29</v>
      </c>
      <c r="AD13" s="147">
        <f t="shared" si="6"/>
        <v>-135445.73000000001</v>
      </c>
      <c r="AE13" s="179"/>
      <c r="AF13" s="179"/>
      <c r="AG13" s="179"/>
      <c r="AI13" s="183">
        <v>-880000</v>
      </c>
      <c r="AJ13" s="179"/>
      <c r="AK13" s="183">
        <f>T13</f>
        <v>418733.73</v>
      </c>
      <c r="AL13" s="179"/>
      <c r="AM13" s="183">
        <f t="shared" si="1"/>
        <v>-1298733.73</v>
      </c>
    </row>
    <row r="14" spans="1:39">
      <c r="A14" s="198" t="s">
        <v>402</v>
      </c>
      <c r="B14" s="199" t="s">
        <v>937</v>
      </c>
      <c r="C14" s="200" t="s">
        <v>938</v>
      </c>
      <c r="D14" s="201">
        <v>200975.39</v>
      </c>
      <c r="E14" s="180"/>
      <c r="F14" s="73">
        <v>39491.86</v>
      </c>
      <c r="G14" s="73">
        <v>-14490.82</v>
      </c>
      <c r="H14" s="73">
        <v>34509.870000000003</v>
      </c>
      <c r="I14" s="73">
        <v>37958.65</v>
      </c>
      <c r="J14" s="73">
        <v>34219.82</v>
      </c>
      <c r="K14" s="73">
        <v>32569.919999999998</v>
      </c>
      <c r="L14" s="73">
        <v>36716.089999999997</v>
      </c>
      <c r="M14" s="114">
        <f t="shared" si="2"/>
        <v>200975.38999999998</v>
      </c>
      <c r="N14" s="74">
        <v>41138</v>
      </c>
      <c r="O14" s="74">
        <v>39269</v>
      </c>
      <c r="P14" s="74">
        <v>41138</v>
      </c>
      <c r="Q14" s="74">
        <v>41138</v>
      </c>
      <c r="R14" s="74">
        <v>41138</v>
      </c>
      <c r="S14" s="114">
        <f t="shared" si="3"/>
        <v>203821</v>
      </c>
      <c r="T14" s="114">
        <f t="shared" si="4"/>
        <v>404796.39</v>
      </c>
      <c r="U14" s="179"/>
      <c r="V14" s="144" t="s">
        <v>937</v>
      </c>
      <c r="W14" s="145" t="s">
        <v>497</v>
      </c>
      <c r="X14" s="146">
        <v>38127</v>
      </c>
      <c r="Y14" s="146">
        <v>36311</v>
      </c>
      <c r="Z14" s="146">
        <v>43008</v>
      </c>
      <c r="AA14" s="66">
        <f t="shared" si="5"/>
        <v>3907.1800000000003</v>
      </c>
      <c r="AB14" s="66">
        <f t="shared" si="0"/>
        <v>3741.0800000000017</v>
      </c>
      <c r="AC14" s="66">
        <f t="shared" si="0"/>
        <v>6291.9100000000035</v>
      </c>
      <c r="AD14" s="147">
        <f t="shared" si="6"/>
        <v>13940.170000000006</v>
      </c>
      <c r="AE14" s="179"/>
      <c r="AF14" s="179"/>
      <c r="AG14" s="179"/>
      <c r="AI14" s="183">
        <f>'401k estimate'!G145</f>
        <v>714994.49000000022</v>
      </c>
      <c r="AJ14" s="179"/>
      <c r="AK14" s="183">
        <f>T14</f>
        <v>404796.39</v>
      </c>
      <c r="AL14" s="179"/>
      <c r="AM14" s="183">
        <f t="shared" si="1"/>
        <v>310198.10000000021</v>
      </c>
    </row>
    <row r="15" spans="1:39" s="240" customFormat="1">
      <c r="A15" s="202" t="s">
        <v>402</v>
      </c>
      <c r="B15" s="203" t="s">
        <v>939</v>
      </c>
      <c r="C15" s="203" t="s">
        <v>940</v>
      </c>
      <c r="D15" s="204">
        <v>35456.74</v>
      </c>
      <c r="E15" s="185"/>
      <c r="F15" s="186">
        <v>4550.87</v>
      </c>
      <c r="G15" s="186">
        <v>4251.3</v>
      </c>
      <c r="H15" s="186">
        <v>3603.47</v>
      </c>
      <c r="I15" s="186">
        <v>3442.09</v>
      </c>
      <c r="J15" s="186">
        <v>7034.52</v>
      </c>
      <c r="K15" s="186">
        <v>7626.49</v>
      </c>
      <c r="L15" s="186">
        <v>4948</v>
      </c>
      <c r="M15" s="187">
        <f t="shared" si="2"/>
        <v>35456.74</v>
      </c>
      <c r="N15" s="188">
        <v>6023</v>
      </c>
      <c r="O15" s="188">
        <v>5995</v>
      </c>
      <c r="P15" s="188">
        <v>5974</v>
      </c>
      <c r="Q15" s="188">
        <v>5968</v>
      </c>
      <c r="R15" s="188">
        <v>5998</v>
      </c>
      <c r="S15" s="187">
        <f t="shared" si="3"/>
        <v>29958</v>
      </c>
      <c r="T15" s="187">
        <f t="shared" si="4"/>
        <v>65414.74</v>
      </c>
      <c r="V15" s="148" t="s">
        <v>939</v>
      </c>
      <c r="W15" s="149" t="s">
        <v>498</v>
      </c>
      <c r="X15" s="150">
        <v>6004</v>
      </c>
      <c r="Y15" s="150">
        <v>5986</v>
      </c>
      <c r="Z15" s="150">
        <v>6042</v>
      </c>
      <c r="AA15" s="151">
        <f t="shared" si="5"/>
        <v>-1030.5200000000004</v>
      </c>
      <c r="AB15" s="151">
        <f t="shared" si="0"/>
        <v>-1640.4899999999998</v>
      </c>
      <c r="AC15" s="151">
        <f t="shared" si="0"/>
        <v>1094</v>
      </c>
      <c r="AD15" s="152">
        <f t="shared" si="6"/>
        <v>-1577.0100000000002</v>
      </c>
      <c r="AF15" s="183">
        <f>SUM(J15:L15)</f>
        <v>19609.010000000002</v>
      </c>
    </row>
    <row r="16" spans="1:39">
      <c r="A16" s="198" t="s">
        <v>402</v>
      </c>
      <c r="B16" s="199" t="s">
        <v>941</v>
      </c>
      <c r="C16" s="200" t="s">
        <v>942</v>
      </c>
      <c r="D16" s="201">
        <v>1006.13</v>
      </c>
      <c r="E16" s="180"/>
      <c r="F16" s="73">
        <v>144.81</v>
      </c>
      <c r="G16" s="73">
        <v>0</v>
      </c>
      <c r="H16" s="73">
        <v>0</v>
      </c>
      <c r="I16" s="73">
        <v>0</v>
      </c>
      <c r="J16" s="73">
        <v>0</v>
      </c>
      <c r="K16" s="73">
        <v>861.32</v>
      </c>
      <c r="L16" s="73">
        <v>0</v>
      </c>
      <c r="M16" s="114">
        <f t="shared" si="2"/>
        <v>1006.1300000000001</v>
      </c>
      <c r="N16" s="74">
        <v>39169</v>
      </c>
      <c r="O16" s="74">
        <v>33868</v>
      </c>
      <c r="P16" s="74">
        <v>39169</v>
      </c>
      <c r="Q16" s="74">
        <v>39169</v>
      </c>
      <c r="R16" s="74">
        <v>39169</v>
      </c>
      <c r="S16" s="114">
        <f t="shared" si="3"/>
        <v>190544</v>
      </c>
      <c r="T16" s="114">
        <f t="shared" si="4"/>
        <v>191550.13</v>
      </c>
      <c r="U16" s="179"/>
      <c r="V16" s="144" t="s">
        <v>941</v>
      </c>
      <c r="W16" s="145" t="s">
        <v>499</v>
      </c>
      <c r="X16" s="146">
        <v>30622</v>
      </c>
      <c r="Y16" s="146">
        <v>25476</v>
      </c>
      <c r="Z16" s="146">
        <v>44474</v>
      </c>
      <c r="AA16" s="66">
        <f t="shared" si="5"/>
        <v>30622</v>
      </c>
      <c r="AB16" s="66">
        <f t="shared" si="0"/>
        <v>24614.68</v>
      </c>
      <c r="AC16" s="66">
        <f t="shared" si="0"/>
        <v>44474</v>
      </c>
      <c r="AD16" s="147">
        <f t="shared" si="6"/>
        <v>99710.68</v>
      </c>
      <c r="AE16" s="179"/>
      <c r="AF16" s="179"/>
      <c r="AG16" s="179"/>
      <c r="AI16" s="183">
        <f>T16</f>
        <v>191550.13</v>
      </c>
      <c r="AJ16" s="179"/>
      <c r="AK16" s="183">
        <f>AI16</f>
        <v>191550.13</v>
      </c>
      <c r="AL16" s="179"/>
      <c r="AM16" s="183">
        <f>+AI16-AK16</f>
        <v>0</v>
      </c>
    </row>
    <row r="17" spans="1:43">
      <c r="A17" s="198" t="s">
        <v>402</v>
      </c>
      <c r="B17" s="199" t="s">
        <v>943</v>
      </c>
      <c r="C17" s="200" t="s">
        <v>944</v>
      </c>
      <c r="D17" s="201">
        <v>22484.2</v>
      </c>
      <c r="E17" s="180"/>
      <c r="F17" s="73">
        <v>3334.4</v>
      </c>
      <c r="G17" s="73">
        <v>2754.55</v>
      </c>
      <c r="H17" s="73">
        <v>2259.5300000000002</v>
      </c>
      <c r="I17" s="73">
        <v>2671.46</v>
      </c>
      <c r="J17" s="73">
        <v>4541.84</v>
      </c>
      <c r="K17" s="73">
        <v>4572.57</v>
      </c>
      <c r="L17" s="73">
        <v>2349.85</v>
      </c>
      <c r="M17" s="114">
        <f t="shared" si="2"/>
        <v>22484.2</v>
      </c>
      <c r="N17" s="74">
        <v>3963</v>
      </c>
      <c r="O17" s="74">
        <v>3783</v>
      </c>
      <c r="P17" s="74">
        <v>3963</v>
      </c>
      <c r="Q17" s="74">
        <v>3964</v>
      </c>
      <c r="R17" s="74">
        <v>3965</v>
      </c>
      <c r="S17" s="114">
        <f t="shared" si="3"/>
        <v>19638</v>
      </c>
      <c r="T17" s="114">
        <f t="shared" si="4"/>
        <v>42122.2</v>
      </c>
      <c r="U17" s="179"/>
      <c r="V17" s="144" t="s">
        <v>943</v>
      </c>
      <c r="W17" s="145" t="s">
        <v>500</v>
      </c>
      <c r="X17" s="146">
        <v>3670</v>
      </c>
      <c r="Y17" s="146">
        <v>3494</v>
      </c>
      <c r="Z17" s="146">
        <v>4144</v>
      </c>
      <c r="AA17" s="66">
        <f t="shared" si="5"/>
        <v>-871.84000000000015</v>
      </c>
      <c r="AB17" s="66">
        <f t="shared" si="0"/>
        <v>-1078.5699999999997</v>
      </c>
      <c r="AC17" s="66">
        <f t="shared" si="0"/>
        <v>1794.15</v>
      </c>
      <c r="AD17" s="147">
        <f t="shared" si="6"/>
        <v>-156.25999999999976</v>
      </c>
      <c r="AE17" s="179"/>
      <c r="AF17" s="179"/>
      <c r="AG17" s="179"/>
      <c r="AI17" s="183">
        <f>T17</f>
        <v>42122.2</v>
      </c>
      <c r="AJ17" s="179"/>
      <c r="AK17" s="183">
        <f>AI17</f>
        <v>42122.2</v>
      </c>
      <c r="AL17" s="179"/>
      <c r="AM17" s="183">
        <f>+AI17-AK17</f>
        <v>0</v>
      </c>
      <c r="AN17" s="179"/>
      <c r="AO17" s="179"/>
      <c r="AP17" s="179"/>
      <c r="AQ17" s="179"/>
    </row>
    <row r="18" spans="1:43">
      <c r="A18" s="198"/>
      <c r="B18" s="199"/>
      <c r="C18" s="200" t="s">
        <v>945</v>
      </c>
      <c r="D18" s="201">
        <f>SUM(D4:D17)</f>
        <v>2149134.3400000003</v>
      </c>
      <c r="E18" s="180"/>
      <c r="F18" s="183">
        <f t="shared" ref="F18:L18" si="8">SUM(F4:F17)</f>
        <v>363440.41</v>
      </c>
      <c r="G18" s="183">
        <f t="shared" si="8"/>
        <v>250092.52999999994</v>
      </c>
      <c r="H18" s="183">
        <f t="shared" si="8"/>
        <v>193246.55</v>
      </c>
      <c r="I18" s="183">
        <f t="shared" si="8"/>
        <v>388808.94000000006</v>
      </c>
      <c r="J18" s="183">
        <f t="shared" si="8"/>
        <v>311379.56000000006</v>
      </c>
      <c r="K18" s="183">
        <f t="shared" si="8"/>
        <v>339710.70999999996</v>
      </c>
      <c r="L18" s="183">
        <f t="shared" si="8"/>
        <v>302455.64</v>
      </c>
      <c r="M18" s="183">
        <f>SUM(M4:M17)</f>
        <v>2149134.34</v>
      </c>
      <c r="N18" s="183">
        <f t="shared" ref="N18:S18" si="9">SUM(N4:N17)</f>
        <v>306559</v>
      </c>
      <c r="O18" s="183">
        <f t="shared" si="9"/>
        <v>293453</v>
      </c>
      <c r="P18" s="183">
        <f t="shared" si="9"/>
        <v>306509</v>
      </c>
      <c r="Q18" s="183">
        <f t="shared" si="9"/>
        <v>306505</v>
      </c>
      <c r="R18" s="183">
        <f t="shared" si="9"/>
        <v>306537</v>
      </c>
      <c r="S18" s="183">
        <f t="shared" si="9"/>
        <v>1519563</v>
      </c>
      <c r="T18" s="114">
        <f t="shared" si="4"/>
        <v>3668697.34</v>
      </c>
      <c r="U18" s="179"/>
      <c r="V18" s="65"/>
      <c r="W18" s="65"/>
      <c r="X18" s="66"/>
      <c r="Y18" s="66"/>
      <c r="Z18" s="66"/>
      <c r="AA18" s="66"/>
      <c r="AB18" s="66"/>
      <c r="AC18" s="66"/>
      <c r="AD18" s="147">
        <f>SUM(AD4:AD17)</f>
        <v>-75685.909999999989</v>
      </c>
      <c r="AE18" s="179"/>
      <c r="AF18" s="179"/>
      <c r="AG18" s="179"/>
      <c r="AI18" s="183">
        <f>SUM(AI4:AI17)</f>
        <v>3285387.7320000003</v>
      </c>
      <c r="AJ18" s="179"/>
      <c r="AK18" s="183">
        <f>SUM(AK4:AK17)</f>
        <v>3178402.7600000002</v>
      </c>
      <c r="AL18" s="179"/>
      <c r="AM18" s="183">
        <f>SUM(AM4:AM17)</f>
        <v>106984.97200000018</v>
      </c>
      <c r="AN18" s="179"/>
      <c r="AO18" s="179"/>
      <c r="AP18" s="179"/>
      <c r="AQ18" s="179"/>
    </row>
    <row r="19" spans="1:43">
      <c r="A19" s="198"/>
      <c r="B19" s="199"/>
      <c r="C19" s="200"/>
      <c r="D19" s="201"/>
      <c r="E19" s="180"/>
      <c r="F19" s="180"/>
      <c r="G19" s="179"/>
      <c r="H19" s="179"/>
      <c r="I19" s="179"/>
      <c r="J19" s="179"/>
      <c r="K19" s="179"/>
      <c r="L19" s="183"/>
      <c r="M19" s="179"/>
      <c r="N19" s="179"/>
      <c r="O19" s="179"/>
      <c r="P19" s="179"/>
      <c r="Q19" s="179"/>
      <c r="R19" s="179"/>
      <c r="S19" s="179"/>
      <c r="T19" s="179"/>
      <c r="U19" s="179"/>
      <c r="V19" s="65"/>
      <c r="W19" s="65"/>
      <c r="X19" s="66"/>
      <c r="Y19" s="66"/>
      <c r="Z19" s="66"/>
      <c r="AA19" s="66"/>
      <c r="AB19" s="66"/>
      <c r="AC19" s="66"/>
      <c r="AD19" s="65"/>
      <c r="AE19" s="179"/>
      <c r="AF19" s="179"/>
      <c r="AG19" s="179"/>
      <c r="AJ19" s="179"/>
      <c r="AK19" s="183">
        <f>AK18-AI18</f>
        <v>-106984.97200000007</v>
      </c>
      <c r="AL19" s="179"/>
      <c r="AM19" s="179"/>
      <c r="AN19" s="179"/>
      <c r="AO19" s="179"/>
      <c r="AP19" s="179"/>
      <c r="AQ19" s="179"/>
    </row>
    <row r="20" spans="1:43">
      <c r="A20" s="198"/>
      <c r="B20" s="199"/>
      <c r="C20" s="200"/>
      <c r="D20" s="201"/>
      <c r="E20" s="180"/>
      <c r="F20" s="180"/>
      <c r="G20" s="180"/>
      <c r="H20" s="180"/>
      <c r="I20" s="180"/>
      <c r="J20" s="180"/>
      <c r="K20" s="180"/>
      <c r="L20" s="180"/>
      <c r="M20" s="183"/>
      <c r="N20" s="180"/>
      <c r="O20" s="180"/>
      <c r="P20" s="180"/>
      <c r="Q20" s="180"/>
      <c r="R20" s="180"/>
      <c r="S20" s="183"/>
      <c r="T20" s="114"/>
      <c r="U20" s="179"/>
      <c r="V20" s="65"/>
      <c r="W20" s="65"/>
      <c r="X20" s="66"/>
      <c r="Y20" s="66"/>
      <c r="Z20" s="66"/>
      <c r="AA20" s="66"/>
      <c r="AB20" s="66"/>
      <c r="AC20" s="66"/>
      <c r="AD20" s="65"/>
      <c r="AE20" s="179"/>
      <c r="AF20" s="179"/>
      <c r="AG20" s="179"/>
      <c r="AJ20" s="179"/>
      <c r="AK20" s="179"/>
      <c r="AL20" s="179"/>
      <c r="AM20" s="179"/>
      <c r="AN20" s="179"/>
      <c r="AO20" s="179"/>
      <c r="AP20" s="179"/>
      <c r="AQ20" s="179"/>
    </row>
    <row r="21" spans="1:43">
      <c r="A21" s="198"/>
      <c r="B21" s="199"/>
      <c r="C21" s="200"/>
      <c r="D21" s="201"/>
      <c r="E21" s="180"/>
      <c r="F21" s="180"/>
      <c r="G21" s="180"/>
      <c r="H21" s="180"/>
      <c r="I21" s="180"/>
      <c r="J21" s="180"/>
      <c r="K21" s="180"/>
      <c r="L21" s="180">
        <f>499370*4</f>
        <v>1997480</v>
      </c>
      <c r="M21" s="183"/>
      <c r="N21" s="180"/>
      <c r="O21" s="180"/>
      <c r="P21" s="180"/>
      <c r="Q21" s="180"/>
      <c r="R21" s="180"/>
      <c r="S21" s="183"/>
      <c r="T21" s="114"/>
      <c r="U21" s="179"/>
      <c r="V21" s="65"/>
      <c r="W21" s="147">
        <f>SUM(X4:Z4)*4</f>
        <v>1444800</v>
      </c>
      <c r="X21" s="66"/>
      <c r="Y21" s="66"/>
      <c r="Z21" s="66"/>
      <c r="AA21" s="66"/>
      <c r="AB21" s="66"/>
      <c r="AC21" s="66"/>
      <c r="AD21" s="65"/>
      <c r="AE21" s="179"/>
      <c r="AF21" s="179"/>
      <c r="AG21" s="179"/>
      <c r="AJ21" s="179"/>
      <c r="AK21" s="179"/>
      <c r="AL21" s="179"/>
      <c r="AM21" s="179"/>
      <c r="AN21" s="179"/>
      <c r="AO21" s="179"/>
      <c r="AP21" s="179"/>
      <c r="AQ21" s="179"/>
    </row>
    <row r="22" spans="1:43">
      <c r="A22" s="198"/>
      <c r="B22" s="199"/>
      <c r="C22" s="200"/>
      <c r="D22" s="201"/>
      <c r="E22" s="180"/>
      <c r="F22" s="180"/>
      <c r="G22" s="180"/>
      <c r="H22" s="180"/>
      <c r="I22" s="180"/>
      <c r="J22" s="180"/>
      <c r="K22" s="180"/>
      <c r="L22" s="180">
        <f>30669*4</f>
        <v>122676</v>
      </c>
      <c r="M22" s="183"/>
      <c r="N22" s="180"/>
      <c r="O22" s="180"/>
      <c r="P22" s="180"/>
      <c r="Q22" s="180"/>
      <c r="R22" s="180"/>
      <c r="S22" s="183"/>
      <c r="T22" s="114"/>
      <c r="U22" s="179"/>
      <c r="V22" s="65"/>
      <c r="W22" s="147">
        <f>SUM(X6:Z6)*4</f>
        <v>48244</v>
      </c>
      <c r="X22" s="66"/>
      <c r="Y22" s="66"/>
      <c r="Z22" s="66"/>
      <c r="AA22" s="66"/>
      <c r="AB22" s="66"/>
      <c r="AC22" s="66"/>
      <c r="AD22" s="65"/>
      <c r="AE22" s="179"/>
      <c r="AF22" s="179"/>
      <c r="AG22" s="179" t="s">
        <v>5</v>
      </c>
      <c r="AI22" s="183">
        <f>+AI4+AI5</f>
        <v>2111409.6579999998</v>
      </c>
      <c r="AJ22" s="179"/>
      <c r="AK22" s="183">
        <f>+AK4+AK5</f>
        <v>1588132.43</v>
      </c>
      <c r="AL22" s="179"/>
      <c r="AM22" s="179"/>
      <c r="AN22" s="179"/>
      <c r="AO22" s="179"/>
      <c r="AP22" s="179"/>
      <c r="AQ22" s="179"/>
    </row>
    <row r="23" spans="1:43">
      <c r="A23" s="198"/>
      <c r="B23" s="199"/>
      <c r="C23" s="200"/>
      <c r="D23" s="201"/>
      <c r="E23" s="180"/>
      <c r="F23" s="180"/>
      <c r="G23" s="180"/>
      <c r="H23" s="180"/>
      <c r="I23" s="180"/>
      <c r="J23" s="180"/>
      <c r="K23" s="180"/>
      <c r="L23" s="180"/>
      <c r="M23" s="183"/>
      <c r="N23" s="180"/>
      <c r="O23" s="180"/>
      <c r="P23" s="180"/>
      <c r="Q23" s="180"/>
      <c r="R23" s="180"/>
      <c r="S23" s="183"/>
      <c r="T23" s="114"/>
      <c r="U23" s="179"/>
      <c r="V23" s="65"/>
      <c r="W23" s="65"/>
      <c r="X23" s="66"/>
      <c r="Y23" s="66"/>
      <c r="Z23" s="66"/>
      <c r="AA23" s="66"/>
      <c r="AB23" s="66"/>
      <c r="AC23" s="66"/>
      <c r="AD23" s="65"/>
      <c r="AE23" s="179"/>
      <c r="AF23" s="179"/>
      <c r="AG23" s="179" t="s">
        <v>6</v>
      </c>
      <c r="AI23" s="183">
        <f>+AI6</f>
        <v>211169.15400000001</v>
      </c>
      <c r="AJ23" s="179"/>
      <c r="AK23" s="183">
        <f>+AK6</f>
        <v>129220.35999999999</v>
      </c>
      <c r="AL23" s="179"/>
      <c r="AM23" s="179"/>
      <c r="AN23" s="179"/>
      <c r="AO23" s="179"/>
      <c r="AP23" s="179"/>
      <c r="AQ23" s="179"/>
    </row>
    <row r="24" spans="1:43">
      <c r="A24" s="198"/>
      <c r="B24" s="199"/>
      <c r="C24" s="200"/>
      <c r="D24" s="201"/>
      <c r="E24" s="180"/>
      <c r="F24" s="180"/>
      <c r="G24" s="180"/>
      <c r="H24" s="180"/>
      <c r="I24" s="180"/>
      <c r="J24" s="180"/>
      <c r="K24" s="180"/>
      <c r="L24" s="180"/>
      <c r="M24" s="183"/>
      <c r="N24" s="180"/>
      <c r="O24" s="180"/>
      <c r="P24" s="180"/>
      <c r="Q24" s="180"/>
      <c r="R24" s="180"/>
      <c r="S24" s="183"/>
      <c r="T24" s="227"/>
      <c r="U24" s="228"/>
      <c r="V24" s="219"/>
      <c r="W24" s="219"/>
      <c r="X24" s="229"/>
      <c r="Y24" s="229"/>
      <c r="Z24" s="229"/>
      <c r="AA24" s="229"/>
      <c r="AB24" s="229"/>
      <c r="AC24" s="229"/>
      <c r="AD24" s="219"/>
      <c r="AE24" s="228"/>
      <c r="AF24" s="228"/>
      <c r="AG24" s="228" t="s">
        <v>1031</v>
      </c>
      <c r="AH24" s="228"/>
      <c r="AI24" s="317">
        <f>+AI8</f>
        <v>50848.369999999995</v>
      </c>
      <c r="AJ24" s="228"/>
      <c r="AK24" s="317">
        <f>+AK8</f>
        <v>50848.369999999995</v>
      </c>
      <c r="AL24" s="230"/>
      <c r="AM24" s="228"/>
      <c r="AN24" s="228"/>
      <c r="AO24" s="228"/>
      <c r="AP24" s="228"/>
      <c r="AQ24" s="228"/>
    </row>
    <row r="25" spans="1:43">
      <c r="A25" s="198"/>
      <c r="B25" s="199"/>
      <c r="C25" s="200"/>
      <c r="D25" s="201"/>
      <c r="E25" s="180"/>
      <c r="F25" s="180"/>
      <c r="G25" s="180"/>
      <c r="H25" s="180"/>
      <c r="I25" s="180"/>
      <c r="J25" s="180"/>
      <c r="K25" s="180"/>
      <c r="L25" s="180"/>
      <c r="M25" s="183"/>
      <c r="N25" s="180"/>
      <c r="O25" s="180"/>
      <c r="P25" s="180"/>
      <c r="Q25" s="180"/>
      <c r="R25" s="180"/>
      <c r="S25" s="183"/>
      <c r="T25" s="227"/>
      <c r="U25" s="228"/>
      <c r="V25" s="219"/>
      <c r="W25" s="219"/>
      <c r="X25" s="229"/>
      <c r="Y25" s="229"/>
      <c r="Z25" s="229"/>
      <c r="AA25" s="229"/>
      <c r="AB25" s="229"/>
      <c r="AC25" s="229"/>
      <c r="AD25" s="219"/>
      <c r="AE25" s="228"/>
      <c r="AF25" s="228"/>
      <c r="AG25" s="228" t="s">
        <v>1032</v>
      </c>
      <c r="AH25" s="228"/>
      <c r="AI25" s="317">
        <f>+AI9+AI10+AI11+AI12+AI13+AI14</f>
        <v>668617.30000000028</v>
      </c>
      <c r="AJ25" s="228"/>
      <c r="AK25" s="317">
        <f>+AK9+AK10+AK11+AK12+AK13+AK14</f>
        <v>1166858.3500000001</v>
      </c>
      <c r="AL25" s="228"/>
      <c r="AM25" s="228"/>
      <c r="AN25" s="228"/>
      <c r="AO25" s="228"/>
      <c r="AP25" s="228"/>
      <c r="AQ25" s="228"/>
    </row>
    <row r="26" spans="1:43">
      <c r="A26" s="198"/>
      <c r="B26" s="199"/>
      <c r="C26" s="200"/>
      <c r="D26" s="201"/>
      <c r="E26" s="180"/>
      <c r="F26" s="180"/>
      <c r="G26" s="179"/>
      <c r="H26" s="179"/>
      <c r="I26" s="179"/>
      <c r="J26" s="179"/>
      <c r="K26" s="179"/>
      <c r="L26" s="179"/>
      <c r="M26" s="179"/>
      <c r="N26" s="179"/>
      <c r="O26" s="179"/>
      <c r="P26" s="179"/>
      <c r="Q26" s="179"/>
      <c r="R26" s="179"/>
      <c r="S26" s="179"/>
      <c r="T26" s="228"/>
      <c r="U26" s="228"/>
      <c r="V26" s="228"/>
      <c r="W26" s="228"/>
      <c r="X26" s="231"/>
      <c r="Y26" s="228"/>
      <c r="Z26" s="228"/>
      <c r="AA26" s="228"/>
      <c r="AB26" s="228"/>
      <c r="AC26" s="228"/>
      <c r="AD26" s="228"/>
      <c r="AE26" s="228"/>
      <c r="AF26" s="228"/>
      <c r="AG26" s="228" t="s">
        <v>1033</v>
      </c>
      <c r="AH26" s="228"/>
      <c r="AI26" s="317">
        <f>+AI17+AI16+AI7</f>
        <v>243343.25000000003</v>
      </c>
      <c r="AJ26" s="228"/>
      <c r="AK26" s="317">
        <f>+AK17+AK16+AK7</f>
        <v>243343.25000000003</v>
      </c>
      <c r="AL26" s="228"/>
      <c r="AM26" s="228"/>
      <c r="AN26" s="228"/>
      <c r="AO26" s="228"/>
      <c r="AP26" s="228"/>
      <c r="AQ26" s="228"/>
    </row>
    <row r="27" spans="1:43">
      <c r="A27" s="198"/>
      <c r="B27" s="199"/>
      <c r="C27" s="200"/>
      <c r="D27" s="201"/>
      <c r="E27" s="180"/>
      <c r="F27" s="180"/>
      <c r="G27" s="180"/>
      <c r="H27" s="180"/>
      <c r="I27" s="180"/>
      <c r="J27" s="180"/>
      <c r="K27" s="180"/>
      <c r="L27" s="180"/>
      <c r="M27" s="183"/>
      <c r="N27" s="180"/>
      <c r="O27" s="180"/>
      <c r="P27" s="180"/>
      <c r="Q27" s="180"/>
      <c r="R27" s="180"/>
      <c r="S27" s="179"/>
      <c r="T27" s="228"/>
      <c r="U27" s="232"/>
      <c r="V27" s="232"/>
      <c r="W27" s="232"/>
      <c r="X27" s="233"/>
      <c r="Y27" s="228"/>
      <c r="Z27" s="228"/>
      <c r="AA27" s="228"/>
      <c r="AB27" s="228"/>
      <c r="AC27" s="228"/>
      <c r="AD27" s="228"/>
      <c r="AE27" s="228"/>
      <c r="AF27" s="228"/>
      <c r="AG27" s="235"/>
      <c r="AH27" s="235"/>
      <c r="AI27" s="235">
        <f>SUM(AI22:AI26)</f>
        <v>3285387.7320000003</v>
      </c>
      <c r="AJ27" s="236"/>
      <c r="AK27" s="235">
        <f>SUM(AK22:AK26)</f>
        <v>3178402.7600000002</v>
      </c>
      <c r="AL27" s="236"/>
      <c r="AM27" s="236"/>
      <c r="AN27" s="228"/>
      <c r="AO27" s="228"/>
      <c r="AP27" s="228"/>
      <c r="AQ27" s="228"/>
    </row>
    <row r="28" spans="1:43">
      <c r="A28" s="198"/>
      <c r="B28" s="199"/>
      <c r="C28" s="200"/>
      <c r="D28" s="201"/>
      <c r="E28" s="180"/>
      <c r="F28" s="180"/>
      <c r="G28" s="179"/>
      <c r="H28" s="179"/>
      <c r="I28" s="179"/>
      <c r="J28" s="179"/>
      <c r="K28" s="179"/>
      <c r="L28" s="179"/>
      <c r="M28" s="179"/>
      <c r="N28" s="179"/>
      <c r="O28" s="179"/>
      <c r="P28" s="179"/>
      <c r="Q28" s="179"/>
      <c r="R28" s="179"/>
      <c r="S28" s="179"/>
      <c r="T28" s="228"/>
      <c r="U28" s="232"/>
      <c r="V28" s="232"/>
      <c r="W28" s="232"/>
      <c r="X28" s="233"/>
      <c r="Y28" s="228"/>
      <c r="Z28" s="234"/>
      <c r="AA28" s="234"/>
      <c r="AB28" s="234"/>
      <c r="AC28" s="234"/>
      <c r="AD28" s="234"/>
      <c r="AE28" s="234"/>
      <c r="AF28" s="234"/>
      <c r="AG28" s="227"/>
      <c r="AH28" s="227"/>
      <c r="AI28" s="227"/>
      <c r="AJ28" s="238"/>
      <c r="AK28" s="238"/>
      <c r="AL28" s="238"/>
      <c r="AM28" s="238"/>
      <c r="AN28" s="236"/>
      <c r="AO28" s="235"/>
      <c r="AP28" s="235"/>
      <c r="AQ28" s="228"/>
    </row>
    <row r="29" spans="1:43">
      <c r="A29" s="198"/>
      <c r="B29" s="199"/>
      <c r="C29" s="200"/>
      <c r="D29" s="201"/>
      <c r="E29" s="180"/>
      <c r="F29" s="180"/>
      <c r="G29" s="179"/>
      <c r="H29" s="179"/>
      <c r="I29" s="179"/>
      <c r="J29" s="179"/>
      <c r="K29" s="179"/>
      <c r="L29" s="179"/>
      <c r="M29" s="179"/>
      <c r="N29" s="179"/>
      <c r="O29" s="179"/>
      <c r="P29" s="179"/>
      <c r="Q29" s="179"/>
      <c r="R29" s="179"/>
      <c r="S29" s="179"/>
      <c r="T29" s="228"/>
      <c r="U29" s="232"/>
      <c r="V29" s="232"/>
      <c r="W29" s="232"/>
      <c r="X29" s="233"/>
      <c r="Y29" s="231"/>
      <c r="Z29" s="237"/>
      <c r="AA29" s="237"/>
      <c r="AB29" s="237"/>
      <c r="AC29" s="237"/>
      <c r="AD29" s="237"/>
      <c r="AE29" s="237"/>
      <c r="AF29" s="237"/>
      <c r="AG29" s="227"/>
      <c r="AH29" s="227"/>
      <c r="AI29" s="227"/>
      <c r="AJ29" s="238"/>
      <c r="AK29" s="238"/>
      <c r="AL29" s="238"/>
      <c r="AM29" s="238"/>
      <c r="AN29" s="238"/>
      <c r="AO29" s="227"/>
      <c r="AP29" s="227"/>
      <c r="AQ29" s="228"/>
    </row>
    <row r="30" spans="1:43">
      <c r="A30" s="198"/>
      <c r="B30" s="199"/>
      <c r="C30" s="200"/>
      <c r="D30" s="201"/>
      <c r="E30" s="180"/>
      <c r="F30" s="180"/>
      <c r="G30" s="179"/>
      <c r="H30" s="179"/>
      <c r="I30" s="179"/>
      <c r="J30" s="179"/>
      <c r="K30" s="179"/>
      <c r="L30" s="179"/>
      <c r="M30" s="179"/>
      <c r="N30" s="179"/>
      <c r="O30" s="179"/>
      <c r="P30" s="179"/>
      <c r="Q30" s="179"/>
      <c r="R30" s="179"/>
      <c r="S30" s="179"/>
      <c r="T30" s="228"/>
      <c r="U30" s="232"/>
      <c r="V30" s="232"/>
      <c r="W30" s="232"/>
      <c r="X30" s="233"/>
      <c r="Y30" s="231"/>
      <c r="Z30" s="237"/>
      <c r="AA30" s="237"/>
      <c r="AB30" s="237"/>
      <c r="AC30" s="237"/>
      <c r="AD30" s="237"/>
      <c r="AE30" s="237"/>
      <c r="AF30" s="237"/>
      <c r="AG30" s="228"/>
      <c r="AH30" s="228"/>
      <c r="AI30" s="228"/>
      <c r="AJ30" s="228"/>
      <c r="AK30" s="228"/>
      <c r="AL30" s="228"/>
      <c r="AM30" s="228"/>
      <c r="AN30" s="238"/>
      <c r="AO30" s="227"/>
      <c r="AP30" s="227"/>
      <c r="AQ30" s="228"/>
    </row>
    <row r="31" spans="1:43">
      <c r="A31" s="198"/>
      <c r="B31" s="199"/>
      <c r="C31" s="200"/>
      <c r="D31" s="201"/>
      <c r="E31" s="180"/>
      <c r="F31" s="180"/>
      <c r="G31" s="179"/>
      <c r="H31" s="179"/>
      <c r="I31" s="179"/>
      <c r="J31" s="179"/>
      <c r="K31" s="179"/>
      <c r="L31" s="179"/>
      <c r="M31" s="179"/>
      <c r="N31" s="179"/>
      <c r="O31" s="179"/>
      <c r="P31" s="179"/>
      <c r="Q31" s="179"/>
      <c r="R31" s="179"/>
      <c r="S31" s="179"/>
      <c r="T31" s="228"/>
      <c r="U31" s="228"/>
      <c r="V31" s="219"/>
      <c r="W31" s="219"/>
      <c r="X31" s="229"/>
      <c r="Y31" s="229"/>
      <c r="Z31" s="229"/>
      <c r="AA31" s="229"/>
      <c r="AB31" s="229"/>
      <c r="AC31" s="229"/>
      <c r="AD31" s="219"/>
      <c r="AE31" s="228"/>
      <c r="AF31" s="228"/>
      <c r="AG31" s="228"/>
      <c r="AH31" s="228"/>
      <c r="AI31" s="228"/>
      <c r="AJ31" s="228"/>
      <c r="AK31" s="228"/>
      <c r="AL31" s="228"/>
      <c r="AM31" s="228"/>
      <c r="AN31" s="228"/>
      <c r="AO31" s="228"/>
      <c r="AP31" s="228"/>
      <c r="AQ31" s="228"/>
    </row>
    <row r="32" spans="1:43">
      <c r="A32" s="198"/>
      <c r="B32" s="199"/>
      <c r="C32" s="200"/>
      <c r="D32" s="201"/>
      <c r="E32" s="180"/>
      <c r="F32" s="180"/>
      <c r="G32" s="179"/>
      <c r="H32" s="179"/>
      <c r="I32" s="179"/>
      <c r="J32" s="179"/>
      <c r="K32" s="179"/>
      <c r="L32" s="179"/>
      <c r="M32" s="179"/>
      <c r="N32" s="179"/>
      <c r="O32" s="179"/>
      <c r="P32" s="179"/>
      <c r="Q32" s="179"/>
      <c r="R32" s="179"/>
      <c r="S32" s="179"/>
      <c r="T32" s="228"/>
      <c r="U32" s="228"/>
      <c r="V32" s="219"/>
      <c r="W32" s="219"/>
      <c r="X32" s="229"/>
      <c r="Y32" s="229"/>
      <c r="Z32" s="229"/>
      <c r="AA32" s="229"/>
      <c r="AB32" s="229"/>
      <c r="AC32" s="229"/>
      <c r="AD32" s="219"/>
      <c r="AE32" s="228"/>
      <c r="AF32" s="228"/>
      <c r="AG32" s="228"/>
      <c r="AH32" s="228"/>
      <c r="AI32" s="228"/>
      <c r="AJ32" s="228"/>
      <c r="AK32" s="228"/>
      <c r="AL32" s="228"/>
      <c r="AM32" s="228"/>
      <c r="AN32" s="228"/>
      <c r="AO32" s="228"/>
      <c r="AP32" s="228"/>
      <c r="AQ32" s="228"/>
    </row>
    <row r="33" spans="1:43">
      <c r="A33" s="198"/>
      <c r="B33" s="199"/>
      <c r="C33" s="200"/>
      <c r="D33" s="201"/>
      <c r="E33" s="180"/>
      <c r="F33" s="180"/>
      <c r="G33" s="179"/>
      <c r="H33" s="179"/>
      <c r="I33" s="179"/>
      <c r="J33" s="179"/>
      <c r="K33" s="179"/>
      <c r="L33" s="179"/>
      <c r="M33" s="179"/>
      <c r="N33" s="179"/>
      <c r="O33" s="179"/>
      <c r="P33" s="179"/>
      <c r="Q33" s="179"/>
      <c r="R33" s="179"/>
      <c r="S33" s="179"/>
      <c r="T33" s="228"/>
      <c r="U33" s="228"/>
      <c r="V33" s="219"/>
      <c r="W33" s="219"/>
      <c r="X33" s="229"/>
      <c r="Y33" s="229"/>
      <c r="Z33" s="229"/>
      <c r="AA33" s="229"/>
      <c r="AB33" s="229"/>
      <c r="AC33" s="229"/>
      <c r="AD33" s="219"/>
      <c r="AE33" s="228"/>
      <c r="AF33" s="228"/>
      <c r="AG33" s="228"/>
      <c r="AH33" s="228"/>
      <c r="AI33" s="228"/>
      <c r="AJ33" s="228"/>
      <c r="AK33" s="228"/>
      <c r="AL33" s="228"/>
      <c r="AM33" s="228"/>
      <c r="AN33" s="228"/>
      <c r="AO33" s="228"/>
      <c r="AP33" s="228"/>
      <c r="AQ33" s="228"/>
    </row>
    <row r="34" spans="1:43">
      <c r="A34" s="205" t="s">
        <v>402</v>
      </c>
      <c r="B34" s="206" t="s">
        <v>846</v>
      </c>
      <c r="C34" s="207" t="s">
        <v>847</v>
      </c>
      <c r="D34" s="208">
        <v>5038843.55</v>
      </c>
      <c r="E34" s="180"/>
      <c r="F34" s="180"/>
      <c r="G34" s="179"/>
      <c r="H34" s="179"/>
      <c r="I34" s="179"/>
      <c r="J34" s="179"/>
      <c r="K34" s="179"/>
      <c r="L34" s="179"/>
      <c r="M34" s="179"/>
      <c r="N34" s="179"/>
      <c r="O34" s="179"/>
      <c r="P34" s="179"/>
      <c r="Q34" s="179"/>
      <c r="R34" s="179"/>
      <c r="S34" s="179"/>
      <c r="T34" s="228"/>
      <c r="U34" s="228"/>
      <c r="V34" s="219"/>
      <c r="W34" s="219"/>
      <c r="X34" s="229"/>
      <c r="Y34" s="229"/>
      <c r="Z34" s="229"/>
      <c r="AA34" s="229"/>
      <c r="AB34" s="229"/>
      <c r="AC34" s="229"/>
      <c r="AD34" s="219"/>
      <c r="AE34" s="228"/>
      <c r="AF34" s="228"/>
      <c r="AG34" s="179"/>
      <c r="AJ34" s="179"/>
      <c r="AK34" s="179"/>
      <c r="AL34" s="179"/>
      <c r="AM34" s="179"/>
      <c r="AN34" s="228"/>
      <c r="AO34" s="228"/>
      <c r="AP34" s="228"/>
      <c r="AQ34" s="228"/>
    </row>
    <row r="35" spans="1:43">
      <c r="A35" s="198" t="s">
        <v>402</v>
      </c>
      <c r="B35" s="199" t="s">
        <v>848</v>
      </c>
      <c r="C35" s="200" t="s">
        <v>849</v>
      </c>
      <c r="D35" s="201">
        <v>235438.45</v>
      </c>
      <c r="E35" s="180"/>
      <c r="F35" s="180"/>
      <c r="G35" s="179"/>
      <c r="H35" s="179"/>
      <c r="I35" s="179"/>
      <c r="J35" s="179"/>
      <c r="K35" s="179"/>
      <c r="L35" s="179"/>
      <c r="M35" s="179"/>
      <c r="N35" s="179"/>
      <c r="O35" s="179"/>
      <c r="P35" s="179"/>
      <c r="Q35" s="179"/>
      <c r="R35" s="179"/>
      <c r="S35" s="179"/>
      <c r="T35" s="179"/>
      <c r="U35" s="179"/>
      <c r="V35" s="65"/>
      <c r="W35" s="65"/>
      <c r="X35" s="66"/>
      <c r="Y35" s="66"/>
      <c r="Z35" s="66"/>
      <c r="AA35" s="66"/>
      <c r="AB35" s="66"/>
      <c r="AC35" s="66"/>
      <c r="AD35" s="65"/>
      <c r="AE35" s="179"/>
      <c r="AF35" s="179"/>
      <c r="AG35" s="179"/>
      <c r="AJ35" s="179"/>
      <c r="AK35" s="179"/>
      <c r="AL35" s="179"/>
      <c r="AM35" s="179"/>
      <c r="AN35" s="179"/>
      <c r="AO35" s="179"/>
      <c r="AP35" s="179"/>
      <c r="AQ35" s="179"/>
    </row>
    <row r="36" spans="1:43">
      <c r="A36" s="198" t="s">
        <v>402</v>
      </c>
      <c r="B36" s="199" t="s">
        <v>850</v>
      </c>
      <c r="C36" s="200" t="s">
        <v>851</v>
      </c>
      <c r="D36" s="201">
        <v>192647.19</v>
      </c>
      <c r="E36" s="180"/>
      <c r="F36" s="180"/>
      <c r="G36" s="179"/>
      <c r="H36" s="179"/>
      <c r="I36" s="179"/>
      <c r="J36" s="179"/>
      <c r="K36" s="179"/>
      <c r="L36" s="179"/>
      <c r="M36" s="179"/>
      <c r="N36" s="179"/>
      <c r="O36" s="179"/>
      <c r="P36" s="179"/>
      <c r="Q36" s="179"/>
      <c r="R36" s="179"/>
      <c r="S36" s="179"/>
      <c r="T36" s="179"/>
      <c r="U36" s="179"/>
      <c r="V36" s="65"/>
      <c r="W36" s="65"/>
      <c r="X36" s="66"/>
      <c r="Y36" s="66"/>
      <c r="Z36" s="66"/>
      <c r="AA36" s="66"/>
      <c r="AB36" s="66"/>
      <c r="AC36" s="66"/>
      <c r="AD36" s="65"/>
      <c r="AE36" s="179"/>
      <c r="AF36" s="179"/>
      <c r="AG36" s="179"/>
      <c r="AJ36" s="179"/>
      <c r="AK36" s="179"/>
      <c r="AL36" s="179"/>
      <c r="AM36" s="179"/>
      <c r="AN36" s="179"/>
      <c r="AO36" s="179"/>
      <c r="AP36" s="179"/>
      <c r="AQ36" s="179"/>
    </row>
    <row r="37" spans="1:43">
      <c r="A37" s="198" t="s">
        <v>402</v>
      </c>
      <c r="B37" s="199" t="s">
        <v>852</v>
      </c>
      <c r="C37" s="200" t="s">
        <v>853</v>
      </c>
      <c r="D37" s="201">
        <v>936.57</v>
      </c>
      <c r="E37" s="180"/>
      <c r="F37" s="180"/>
      <c r="G37" s="179"/>
      <c r="H37" s="179"/>
      <c r="I37" s="179"/>
      <c r="J37" s="179"/>
      <c r="K37" s="179"/>
      <c r="L37" s="179"/>
      <c r="M37" s="179"/>
      <c r="N37" s="179"/>
      <c r="O37" s="179"/>
      <c r="P37" s="179"/>
      <c r="Q37" s="179"/>
      <c r="R37" s="179"/>
      <c r="S37" s="179"/>
      <c r="T37" s="179"/>
      <c r="U37" s="179"/>
      <c r="V37" s="65"/>
      <c r="W37" s="65"/>
      <c r="X37" s="66"/>
      <c r="Y37" s="66"/>
      <c r="Z37" s="66"/>
      <c r="AA37" s="66"/>
      <c r="AB37" s="66"/>
      <c r="AC37" s="66"/>
      <c r="AD37" s="65"/>
      <c r="AE37" s="179"/>
      <c r="AF37" s="179"/>
      <c r="AG37" s="179"/>
      <c r="AJ37" s="179"/>
      <c r="AK37" s="179"/>
      <c r="AL37" s="179"/>
      <c r="AM37" s="179"/>
      <c r="AN37" s="179"/>
      <c r="AO37" s="179"/>
      <c r="AP37" s="179"/>
      <c r="AQ37" s="179"/>
    </row>
    <row r="38" spans="1:43">
      <c r="A38" s="198" t="s">
        <v>854</v>
      </c>
      <c r="B38" s="199" t="s">
        <v>855</v>
      </c>
      <c r="C38" s="200" t="s">
        <v>856</v>
      </c>
      <c r="D38" s="201">
        <v>1250</v>
      </c>
      <c r="E38" s="180"/>
      <c r="F38" s="180"/>
      <c r="G38" s="179"/>
      <c r="H38" s="179"/>
      <c r="I38" s="179"/>
      <c r="J38" s="179"/>
      <c r="K38" s="179"/>
      <c r="L38" s="179"/>
      <c r="M38" s="179"/>
      <c r="N38" s="179"/>
      <c r="O38" s="179"/>
      <c r="P38" s="179"/>
      <c r="Q38" s="179"/>
      <c r="R38" s="179"/>
      <c r="S38" s="179"/>
      <c r="T38" s="179"/>
      <c r="U38" s="179"/>
      <c r="V38" s="65"/>
      <c r="W38" s="65"/>
      <c r="X38" s="66"/>
      <c r="Y38" s="66"/>
      <c r="Z38" s="66"/>
      <c r="AA38" s="66"/>
      <c r="AB38" s="66"/>
      <c r="AC38" s="66"/>
      <c r="AD38" s="65"/>
      <c r="AE38" s="179"/>
      <c r="AF38" s="179"/>
      <c r="AG38" s="179"/>
      <c r="AJ38" s="179"/>
      <c r="AK38" s="179"/>
      <c r="AL38" s="179"/>
      <c r="AM38" s="179"/>
      <c r="AN38" s="179"/>
      <c r="AO38" s="179"/>
      <c r="AP38" s="179"/>
      <c r="AQ38" s="179"/>
    </row>
    <row r="39" spans="1:43">
      <c r="A39" s="198" t="s">
        <v>402</v>
      </c>
      <c r="B39" s="199" t="s">
        <v>857</v>
      </c>
      <c r="C39" s="200" t="s">
        <v>858</v>
      </c>
      <c r="D39" s="201">
        <v>-494642.18</v>
      </c>
      <c r="E39" s="180"/>
      <c r="F39" s="180"/>
      <c r="G39" s="179"/>
      <c r="H39" s="179"/>
      <c r="I39" s="179"/>
      <c r="J39" s="179"/>
      <c r="K39" s="179"/>
      <c r="L39" s="179"/>
      <c r="M39" s="179"/>
      <c r="N39" s="179"/>
      <c r="O39" s="179"/>
      <c r="P39" s="179"/>
      <c r="Q39" s="179"/>
      <c r="R39" s="179"/>
      <c r="S39" s="179"/>
      <c r="T39" s="179"/>
      <c r="U39" s="179"/>
      <c r="V39" s="65"/>
      <c r="W39" s="65"/>
      <c r="X39" s="66"/>
      <c r="Y39" s="66"/>
      <c r="Z39" s="66"/>
      <c r="AA39" s="66"/>
      <c r="AB39" s="66"/>
      <c r="AC39" s="66"/>
      <c r="AD39" s="65"/>
      <c r="AE39" s="179"/>
      <c r="AF39" s="179"/>
      <c r="AG39" s="179"/>
      <c r="AJ39" s="179"/>
      <c r="AK39" s="179"/>
      <c r="AL39" s="179"/>
      <c r="AM39" s="179"/>
      <c r="AN39" s="179"/>
      <c r="AO39" s="179"/>
      <c r="AP39" s="179"/>
      <c r="AQ39" s="179"/>
    </row>
    <row r="40" spans="1:43">
      <c r="A40" s="198" t="s">
        <v>402</v>
      </c>
      <c r="B40" s="199" t="s">
        <v>859</v>
      </c>
      <c r="C40" s="200" t="s">
        <v>860</v>
      </c>
      <c r="D40" s="201">
        <v>-10549.37</v>
      </c>
      <c r="E40" s="180"/>
      <c r="F40" s="180"/>
      <c r="G40" s="179"/>
      <c r="H40" s="179"/>
      <c r="I40" s="179"/>
      <c r="J40" s="179"/>
      <c r="K40" s="179"/>
      <c r="L40" s="179"/>
      <c r="M40" s="179"/>
      <c r="N40" s="179"/>
      <c r="O40" s="179"/>
      <c r="P40" s="179"/>
      <c r="Q40" s="179"/>
      <c r="R40" s="179"/>
      <c r="S40" s="179"/>
      <c r="T40" s="179"/>
      <c r="U40" s="179"/>
      <c r="V40" s="65"/>
      <c r="W40" s="65"/>
      <c r="X40" s="66"/>
      <c r="Y40" s="66"/>
      <c r="Z40" s="66"/>
      <c r="AA40" s="66"/>
      <c r="AB40" s="66"/>
      <c r="AC40" s="66"/>
      <c r="AD40" s="65"/>
      <c r="AE40" s="179"/>
      <c r="AF40" s="179"/>
      <c r="AG40" s="179"/>
      <c r="AJ40" s="179"/>
      <c r="AK40" s="179"/>
      <c r="AL40" s="179"/>
      <c r="AM40" s="179"/>
      <c r="AN40" s="179"/>
      <c r="AO40" s="179"/>
      <c r="AP40" s="179"/>
      <c r="AQ40" s="179"/>
    </row>
    <row r="41" spans="1:43">
      <c r="A41" s="198" t="s">
        <v>402</v>
      </c>
      <c r="B41" s="199" t="s">
        <v>861</v>
      </c>
      <c r="C41" s="200" t="s">
        <v>862</v>
      </c>
      <c r="D41" s="201">
        <v>660.31</v>
      </c>
      <c r="E41" s="180"/>
      <c r="F41" s="180"/>
      <c r="G41" s="179"/>
      <c r="H41" s="179"/>
      <c r="I41" s="179"/>
      <c r="J41" s="179"/>
      <c r="K41" s="179"/>
      <c r="L41" s="179"/>
      <c r="M41" s="179"/>
      <c r="N41" s="179"/>
      <c r="O41" s="179"/>
      <c r="P41" s="179"/>
      <c r="Q41" s="179"/>
      <c r="R41" s="179"/>
      <c r="S41" s="179"/>
      <c r="T41" s="179"/>
      <c r="U41" s="179"/>
      <c r="V41" s="65"/>
      <c r="W41" s="65"/>
      <c r="X41" s="66"/>
      <c r="Y41" s="66"/>
      <c r="Z41" s="66"/>
      <c r="AA41" s="66"/>
      <c r="AB41" s="66"/>
      <c r="AC41" s="66"/>
      <c r="AD41" s="65"/>
      <c r="AE41" s="179"/>
      <c r="AF41" s="179"/>
      <c r="AG41" s="179"/>
      <c r="AJ41" s="179"/>
      <c r="AK41" s="179"/>
      <c r="AL41" s="179"/>
      <c r="AM41" s="179"/>
      <c r="AN41" s="179"/>
      <c r="AO41" s="179"/>
      <c r="AP41" s="179"/>
      <c r="AQ41" s="179"/>
    </row>
    <row r="42" spans="1:43">
      <c r="A42" s="198" t="s">
        <v>749</v>
      </c>
      <c r="B42" s="199" t="s">
        <v>863</v>
      </c>
      <c r="C42" s="200" t="s">
        <v>864</v>
      </c>
      <c r="D42" s="201">
        <v>2247.4499999999998</v>
      </c>
      <c r="E42" s="180"/>
      <c r="F42" s="180"/>
      <c r="G42" s="179"/>
      <c r="H42" s="179"/>
      <c r="I42" s="179"/>
      <c r="J42" s="179"/>
      <c r="K42" s="179"/>
      <c r="L42" s="179"/>
      <c r="M42" s="179"/>
      <c r="N42" s="179"/>
      <c r="O42" s="179"/>
      <c r="P42" s="179"/>
      <c r="Q42" s="179"/>
      <c r="R42" s="179"/>
      <c r="S42" s="179"/>
      <c r="T42" s="179"/>
      <c r="U42" s="179"/>
      <c r="V42" s="65"/>
      <c r="W42" s="65"/>
      <c r="X42" s="66"/>
      <c r="Y42" s="66"/>
      <c r="Z42" s="66"/>
      <c r="AA42" s="66"/>
      <c r="AB42" s="66"/>
      <c r="AC42" s="66"/>
      <c r="AD42" s="65"/>
      <c r="AE42" s="179"/>
      <c r="AF42" s="179"/>
      <c r="AG42" s="179"/>
      <c r="AJ42" s="179"/>
      <c r="AK42" s="179"/>
      <c r="AL42" s="179"/>
      <c r="AM42" s="179"/>
      <c r="AN42" s="179"/>
      <c r="AO42" s="179"/>
      <c r="AP42" s="179"/>
      <c r="AQ42" s="179"/>
    </row>
    <row r="43" spans="1:43">
      <c r="A43" s="198" t="s">
        <v>402</v>
      </c>
      <c r="B43" s="199" t="s">
        <v>865</v>
      </c>
      <c r="C43" s="200" t="s">
        <v>866</v>
      </c>
      <c r="D43" s="201">
        <v>5688.64</v>
      </c>
      <c r="E43" s="180"/>
      <c r="F43" s="180"/>
      <c r="G43" s="179"/>
      <c r="H43" s="179"/>
      <c r="I43" s="179"/>
      <c r="J43" s="179"/>
      <c r="K43" s="179"/>
      <c r="L43" s="179"/>
      <c r="M43" s="179"/>
      <c r="N43" s="179"/>
      <c r="O43" s="179"/>
      <c r="P43" s="179"/>
      <c r="Q43" s="179"/>
      <c r="R43" s="179"/>
      <c r="S43" s="179"/>
      <c r="T43" s="179"/>
      <c r="U43" s="179"/>
      <c r="V43" s="65"/>
      <c r="W43" s="65"/>
      <c r="X43" s="66"/>
      <c r="Y43" s="66"/>
      <c r="Z43" s="66"/>
      <c r="AA43" s="66"/>
      <c r="AB43" s="66"/>
      <c r="AC43" s="66"/>
      <c r="AD43" s="65"/>
      <c r="AE43" s="179"/>
      <c r="AF43" s="179"/>
      <c r="AG43" s="179"/>
      <c r="AJ43" s="179"/>
      <c r="AK43" s="179"/>
      <c r="AL43" s="179"/>
      <c r="AM43" s="179"/>
      <c r="AN43" s="179"/>
      <c r="AO43" s="179"/>
      <c r="AP43" s="179"/>
      <c r="AQ43" s="179"/>
    </row>
    <row r="44" spans="1:43">
      <c r="A44" s="198" t="s">
        <v>402</v>
      </c>
      <c r="B44" s="199" t="s">
        <v>867</v>
      </c>
      <c r="C44" s="200" t="s">
        <v>868</v>
      </c>
      <c r="D44" s="201">
        <v>583127.62</v>
      </c>
      <c r="E44" s="180"/>
      <c r="F44" s="180"/>
      <c r="G44" s="179"/>
      <c r="H44" s="179"/>
      <c r="I44" s="179"/>
      <c r="J44" s="179"/>
      <c r="K44" s="179"/>
      <c r="L44" s="179"/>
      <c r="M44" s="179"/>
      <c r="N44" s="179"/>
      <c r="O44" s="179"/>
      <c r="P44" s="179"/>
      <c r="Q44" s="179"/>
      <c r="R44" s="179"/>
      <c r="S44" s="179"/>
      <c r="T44" s="179"/>
      <c r="U44" s="179"/>
      <c r="V44" s="65"/>
      <c r="W44" s="65"/>
      <c r="X44" s="66"/>
      <c r="Y44" s="66"/>
      <c r="Z44" s="66"/>
      <c r="AA44" s="66"/>
      <c r="AB44" s="66"/>
      <c r="AC44" s="66"/>
      <c r="AD44" s="65"/>
      <c r="AE44" s="179"/>
      <c r="AF44" s="179"/>
      <c r="AG44" s="179"/>
      <c r="AJ44" s="179"/>
      <c r="AK44" s="179"/>
      <c r="AL44" s="179"/>
      <c r="AM44" s="179"/>
      <c r="AN44" s="179"/>
      <c r="AO44" s="179"/>
      <c r="AP44" s="179"/>
      <c r="AQ44" s="179"/>
    </row>
    <row r="45" spans="1:43">
      <c r="A45" s="198" t="s">
        <v>402</v>
      </c>
      <c r="B45" s="199" t="s">
        <v>869</v>
      </c>
      <c r="C45" s="200" t="s">
        <v>870</v>
      </c>
      <c r="D45" s="201">
        <v>37355.589999999997</v>
      </c>
      <c r="E45" s="180"/>
      <c r="F45" s="180"/>
      <c r="G45" s="179"/>
      <c r="H45" s="179"/>
      <c r="I45" s="179"/>
      <c r="J45" s="179"/>
      <c r="K45" s="179"/>
      <c r="L45" s="179"/>
      <c r="M45" s="179"/>
      <c r="N45" s="179"/>
      <c r="O45" s="179"/>
      <c r="P45" s="179"/>
      <c r="Q45" s="179"/>
      <c r="R45" s="179"/>
      <c r="S45" s="179"/>
      <c r="T45" s="179"/>
      <c r="U45" s="179"/>
      <c r="V45" s="65"/>
      <c r="W45" s="65"/>
      <c r="X45" s="66"/>
      <c r="Y45" s="66"/>
      <c r="Z45" s="66"/>
      <c r="AA45" s="66"/>
      <c r="AB45" s="66"/>
      <c r="AC45" s="66"/>
      <c r="AD45" s="65"/>
      <c r="AE45" s="179"/>
      <c r="AF45" s="179"/>
      <c r="AG45" s="179"/>
      <c r="AJ45" s="179"/>
      <c r="AK45" s="179"/>
      <c r="AL45" s="179"/>
      <c r="AM45" s="179"/>
      <c r="AN45" s="179"/>
      <c r="AO45" s="179"/>
      <c r="AP45" s="179"/>
      <c r="AQ45" s="179"/>
    </row>
    <row r="46" spans="1:43">
      <c r="A46" s="198" t="s">
        <v>749</v>
      </c>
      <c r="B46" s="199" t="s">
        <v>871</v>
      </c>
      <c r="C46" s="200" t="s">
        <v>872</v>
      </c>
      <c r="D46" s="201">
        <v>1173.6199999999999</v>
      </c>
      <c r="E46" s="180"/>
      <c r="F46" s="180"/>
      <c r="G46" s="179"/>
      <c r="H46" s="179"/>
      <c r="I46" s="179"/>
      <c r="J46" s="179"/>
      <c r="K46" s="179"/>
      <c r="L46" s="179"/>
      <c r="M46" s="179"/>
      <c r="N46" s="179"/>
      <c r="O46" s="179"/>
      <c r="P46" s="179"/>
      <c r="Q46" s="179"/>
      <c r="R46" s="179"/>
      <c r="S46" s="179"/>
      <c r="T46" s="179"/>
      <c r="U46" s="179"/>
      <c r="V46" s="65"/>
      <c r="W46" s="65"/>
      <c r="X46" s="66"/>
      <c r="Y46" s="66"/>
      <c r="Z46" s="66"/>
      <c r="AA46" s="66"/>
      <c r="AB46" s="66"/>
      <c r="AC46" s="66"/>
      <c r="AD46" s="65"/>
      <c r="AE46" s="179"/>
      <c r="AF46" s="179"/>
      <c r="AG46" s="179"/>
      <c r="AJ46" s="179"/>
      <c r="AK46" s="179"/>
      <c r="AL46" s="179"/>
      <c r="AM46" s="179"/>
      <c r="AN46" s="179"/>
      <c r="AO46" s="179"/>
      <c r="AP46" s="179"/>
      <c r="AQ46" s="179"/>
    </row>
    <row r="47" spans="1:43">
      <c r="A47" s="198" t="s">
        <v>749</v>
      </c>
      <c r="B47" s="199" t="s">
        <v>873</v>
      </c>
      <c r="C47" s="200" t="s">
        <v>874</v>
      </c>
      <c r="D47" s="201">
        <v>684.12</v>
      </c>
      <c r="E47" s="180"/>
      <c r="F47" s="180"/>
      <c r="G47" s="179"/>
      <c r="H47" s="179"/>
      <c r="I47" s="179"/>
      <c r="J47" s="179"/>
      <c r="K47" s="179"/>
      <c r="L47" s="179"/>
      <c r="M47" s="179"/>
      <c r="N47" s="179"/>
      <c r="O47" s="179"/>
      <c r="P47" s="179"/>
      <c r="Q47" s="179"/>
      <c r="R47" s="179"/>
      <c r="S47" s="179"/>
      <c r="T47" s="179"/>
      <c r="U47" s="179"/>
      <c r="V47" s="65"/>
      <c r="W47" s="65"/>
      <c r="X47" s="66"/>
      <c r="Y47" s="66"/>
      <c r="Z47" s="66"/>
      <c r="AA47" s="66"/>
      <c r="AB47" s="66"/>
      <c r="AC47" s="66"/>
      <c r="AD47" s="65"/>
      <c r="AE47" s="179"/>
      <c r="AF47" s="179"/>
      <c r="AG47" s="179"/>
      <c r="AJ47" s="179"/>
      <c r="AK47" s="179"/>
      <c r="AL47" s="179"/>
      <c r="AM47" s="179"/>
      <c r="AN47" s="179"/>
      <c r="AO47" s="179"/>
      <c r="AP47" s="179"/>
      <c r="AQ47" s="179"/>
    </row>
    <row r="48" spans="1:43">
      <c r="A48" s="198" t="s">
        <v>402</v>
      </c>
      <c r="B48" s="199" t="s">
        <v>875</v>
      </c>
      <c r="C48" s="200" t="s">
        <v>876</v>
      </c>
      <c r="D48" s="201">
        <v>29546.73</v>
      </c>
      <c r="E48" s="180"/>
      <c r="F48" s="180"/>
      <c r="G48" s="179"/>
      <c r="H48" s="179"/>
      <c r="I48" s="179"/>
      <c r="J48" s="179"/>
      <c r="K48" s="179"/>
      <c r="L48" s="179"/>
      <c r="M48" s="179"/>
      <c r="N48" s="179"/>
      <c r="O48" s="179"/>
      <c r="P48" s="179"/>
      <c r="Q48" s="179"/>
      <c r="R48" s="179"/>
      <c r="S48" s="179"/>
      <c r="T48" s="179"/>
      <c r="U48" s="179"/>
      <c r="V48" s="65"/>
      <c r="W48" s="65"/>
      <c r="X48" s="66"/>
      <c r="Y48" s="66"/>
      <c r="Z48" s="66"/>
      <c r="AA48" s="66"/>
      <c r="AB48" s="66"/>
      <c r="AC48" s="66"/>
      <c r="AD48" s="65"/>
      <c r="AE48" s="179"/>
      <c r="AF48" s="179"/>
      <c r="AN48" s="179"/>
      <c r="AO48" s="179"/>
      <c r="AP48" s="179"/>
      <c r="AQ48" s="179"/>
    </row>
    <row r="49" spans="1:30">
      <c r="A49" s="198" t="s">
        <v>402</v>
      </c>
      <c r="B49" s="199" t="s">
        <v>877</v>
      </c>
      <c r="C49" s="200" t="s">
        <v>878</v>
      </c>
      <c r="D49" s="201">
        <v>143.1</v>
      </c>
      <c r="E49" s="180"/>
      <c r="F49" s="180"/>
      <c r="G49" s="179"/>
      <c r="H49" s="179"/>
      <c r="I49" s="179"/>
      <c r="J49" s="179"/>
      <c r="K49" s="179"/>
      <c r="L49" s="179"/>
      <c r="M49" s="179"/>
      <c r="N49" s="179"/>
      <c r="O49" s="179"/>
      <c r="P49" s="179"/>
      <c r="Q49" s="179"/>
      <c r="R49" s="179"/>
      <c r="S49" s="179"/>
      <c r="T49" s="179"/>
      <c r="U49" s="179"/>
      <c r="V49" s="65"/>
      <c r="W49" s="65"/>
      <c r="X49" s="66"/>
      <c r="Y49" s="66"/>
      <c r="Z49" s="66"/>
      <c r="AA49" s="66"/>
      <c r="AB49" s="66"/>
      <c r="AC49" s="66"/>
      <c r="AD49" s="65"/>
    </row>
    <row r="50" spans="1:30">
      <c r="A50" s="198" t="s">
        <v>402</v>
      </c>
      <c r="B50" s="199" t="s">
        <v>879</v>
      </c>
      <c r="C50" s="200" t="s">
        <v>880</v>
      </c>
      <c r="D50" s="201">
        <v>242.44</v>
      </c>
      <c r="E50" s="180"/>
      <c r="F50" s="180"/>
      <c r="G50" s="179"/>
      <c r="H50" s="179"/>
      <c r="I50" s="179"/>
      <c r="J50" s="179"/>
      <c r="K50" s="179"/>
      <c r="L50" s="179"/>
      <c r="M50" s="179"/>
      <c r="N50" s="179"/>
      <c r="O50" s="179"/>
      <c r="P50" s="179"/>
      <c r="Q50" s="179"/>
      <c r="R50" s="179"/>
      <c r="S50" s="179"/>
      <c r="T50" s="179"/>
      <c r="U50" s="179"/>
      <c r="V50" s="65"/>
      <c r="W50" s="65"/>
      <c r="X50" s="66"/>
      <c r="Y50" s="66"/>
      <c r="Z50" s="66"/>
      <c r="AA50" s="66"/>
      <c r="AB50" s="66"/>
      <c r="AC50" s="66"/>
      <c r="AD50" s="65"/>
    </row>
    <row r="51" spans="1:30">
      <c r="A51" s="198" t="s">
        <v>402</v>
      </c>
      <c r="B51" s="199" t="s">
        <v>881</v>
      </c>
      <c r="C51" s="200" t="s">
        <v>882</v>
      </c>
      <c r="D51" s="201">
        <v>2568.44</v>
      </c>
      <c r="E51" s="180"/>
      <c r="F51" s="180"/>
      <c r="G51" s="179"/>
      <c r="H51" s="179"/>
      <c r="I51" s="179"/>
      <c r="J51" s="179"/>
      <c r="K51" s="179"/>
      <c r="L51" s="179"/>
      <c r="M51" s="179"/>
      <c r="N51" s="179"/>
      <c r="O51" s="179"/>
      <c r="P51" s="179"/>
      <c r="Q51" s="179"/>
      <c r="R51" s="179"/>
      <c r="S51" s="179"/>
      <c r="T51" s="179"/>
      <c r="U51" s="179"/>
      <c r="V51" s="65"/>
      <c r="W51" s="65"/>
      <c r="X51" s="66"/>
      <c r="Y51" s="66"/>
      <c r="Z51" s="66"/>
      <c r="AA51" s="66"/>
      <c r="AB51" s="66"/>
      <c r="AC51" s="66"/>
      <c r="AD51" s="65"/>
    </row>
    <row r="52" spans="1:30">
      <c r="A52" s="198" t="s">
        <v>402</v>
      </c>
      <c r="B52" s="199" t="s">
        <v>885</v>
      </c>
      <c r="C52" s="200" t="s">
        <v>886</v>
      </c>
      <c r="D52" s="201">
        <v>-1160694.99</v>
      </c>
      <c r="E52" s="180"/>
      <c r="F52" s="180"/>
      <c r="G52" s="179"/>
      <c r="H52" s="179"/>
      <c r="I52" s="179"/>
      <c r="J52" s="179"/>
      <c r="K52" s="179"/>
      <c r="L52" s="179"/>
      <c r="M52" s="179"/>
      <c r="N52" s="179"/>
      <c r="O52" s="179"/>
      <c r="P52" s="179"/>
      <c r="Q52" s="179"/>
      <c r="R52" s="179"/>
      <c r="S52" s="179"/>
      <c r="T52" s="179"/>
      <c r="U52" s="179"/>
      <c r="V52" s="65"/>
      <c r="W52" s="65"/>
      <c r="X52" s="66"/>
      <c r="Y52" s="66"/>
      <c r="Z52" s="66"/>
      <c r="AA52" s="66"/>
      <c r="AB52" s="66"/>
      <c r="AC52" s="66"/>
      <c r="AD52" s="65"/>
    </row>
    <row r="53" spans="1:30">
      <c r="A53" s="198"/>
      <c r="B53" s="199"/>
      <c r="C53" s="209" t="s">
        <v>984</v>
      </c>
      <c r="D53" s="180">
        <f>SUM(D34:D52)</f>
        <v>4466667.2800000012</v>
      </c>
      <c r="E53" s="180"/>
      <c r="F53" s="180"/>
      <c r="G53" s="179"/>
      <c r="H53" s="179"/>
      <c r="I53" s="179"/>
      <c r="J53" s="179"/>
      <c r="K53" s="179"/>
      <c r="L53" s="179"/>
      <c r="M53" s="179"/>
      <c r="N53" s="179"/>
      <c r="O53" s="179"/>
      <c r="P53" s="179"/>
      <c r="Q53" s="179"/>
      <c r="R53" s="179"/>
      <c r="S53" s="179"/>
      <c r="T53" s="179"/>
      <c r="U53" s="179"/>
      <c r="V53" s="65"/>
      <c r="W53" s="65"/>
      <c r="X53" s="66"/>
      <c r="Y53" s="66"/>
      <c r="Z53" s="66"/>
      <c r="AA53" s="66"/>
      <c r="AB53" s="66"/>
      <c r="AC53" s="66"/>
      <c r="AD53" s="65"/>
    </row>
    <row r="54" spans="1:30">
      <c r="A54" s="198"/>
      <c r="B54" s="199"/>
      <c r="C54" s="200"/>
      <c r="D54" s="201"/>
      <c r="E54" s="180"/>
      <c r="F54" s="180"/>
      <c r="G54" s="179"/>
      <c r="H54" s="179"/>
      <c r="I54" s="179"/>
      <c r="J54" s="179"/>
      <c r="K54" s="179"/>
      <c r="L54" s="179"/>
      <c r="M54" s="179"/>
      <c r="N54" s="179"/>
      <c r="O54" s="179"/>
      <c r="P54" s="179"/>
      <c r="Q54" s="179"/>
      <c r="R54" s="179"/>
      <c r="S54" s="179"/>
      <c r="T54" s="179"/>
      <c r="U54" s="179"/>
      <c r="V54" s="65"/>
      <c r="W54" s="65"/>
      <c r="X54" s="66"/>
      <c r="Y54" s="66"/>
      <c r="Z54" s="66"/>
      <c r="AA54" s="66"/>
      <c r="AB54" s="66"/>
      <c r="AC54" s="66"/>
      <c r="AD54" s="65"/>
    </row>
    <row r="55" spans="1:30">
      <c r="A55" s="198"/>
      <c r="B55" s="199"/>
      <c r="C55" s="200"/>
      <c r="D55" s="201"/>
      <c r="E55" s="180"/>
      <c r="F55" s="180"/>
      <c r="G55" s="179"/>
      <c r="H55" s="179"/>
      <c r="I55" s="179"/>
      <c r="J55" s="179"/>
      <c r="K55" s="179"/>
      <c r="L55" s="179"/>
      <c r="M55" s="179"/>
      <c r="N55" s="179"/>
      <c r="O55" s="179"/>
      <c r="P55" s="179"/>
      <c r="Q55" s="179"/>
      <c r="R55" s="179"/>
      <c r="S55" s="179"/>
      <c r="T55" s="179"/>
      <c r="U55" s="179"/>
      <c r="V55" s="65"/>
      <c r="W55" s="65"/>
      <c r="X55" s="66"/>
      <c r="Y55" s="66"/>
      <c r="Z55" s="66"/>
      <c r="AA55" s="66"/>
      <c r="AB55" s="66"/>
      <c r="AC55" s="66"/>
      <c r="AD55" s="65"/>
    </row>
    <row r="56" spans="1:30">
      <c r="A56" s="210"/>
      <c r="B56" s="211"/>
      <c r="C56" s="200" t="s">
        <v>946</v>
      </c>
      <c r="D56" s="212">
        <v>6615801.6200000001</v>
      </c>
      <c r="E56" s="180"/>
      <c r="F56" s="180"/>
      <c r="G56" s="179"/>
      <c r="H56" s="179"/>
      <c r="I56" s="179"/>
      <c r="J56" s="179"/>
      <c r="K56" s="179"/>
      <c r="L56" s="179"/>
      <c r="M56" s="179"/>
      <c r="N56" s="179"/>
      <c r="O56" s="179"/>
      <c r="P56" s="179"/>
      <c r="Q56" s="179"/>
      <c r="R56" s="179"/>
      <c r="S56" s="179"/>
      <c r="T56" s="179"/>
      <c r="U56" s="179"/>
      <c r="V56" s="65"/>
      <c r="W56" s="65"/>
      <c r="X56" s="66"/>
      <c r="Y56" s="66"/>
      <c r="Z56" s="66"/>
      <c r="AA56" s="66"/>
      <c r="AB56" s="66"/>
      <c r="AC56" s="66"/>
      <c r="AD56" s="65"/>
    </row>
    <row r="57" spans="1:30">
      <c r="A57" s="179"/>
      <c r="B57" s="179"/>
      <c r="C57" s="209" t="s">
        <v>947</v>
      </c>
      <c r="D57" s="180">
        <f>+D18+D53</f>
        <v>6615801.620000001</v>
      </c>
      <c r="E57" s="180"/>
      <c r="F57" s="180"/>
      <c r="G57" s="179"/>
      <c r="H57" s="179"/>
      <c r="I57" s="179"/>
      <c r="J57" s="179"/>
      <c r="K57" s="179"/>
      <c r="L57" s="179"/>
      <c r="M57" s="179"/>
      <c r="N57" s="179"/>
      <c r="O57" s="179"/>
      <c r="P57" s="179"/>
      <c r="Q57" s="179"/>
      <c r="R57" s="179"/>
      <c r="S57" s="179"/>
      <c r="T57" s="179"/>
      <c r="U57" s="179"/>
      <c r="V57" s="65"/>
      <c r="W57" s="65"/>
      <c r="X57" s="66"/>
      <c r="Y57" s="66"/>
      <c r="Z57" s="66"/>
      <c r="AA57" s="66"/>
      <c r="AB57" s="66"/>
      <c r="AC57" s="66"/>
      <c r="AD57" s="65"/>
    </row>
    <row r="58" spans="1:30">
      <c r="A58" s="179"/>
      <c r="B58" s="179"/>
      <c r="C58" s="209" t="s">
        <v>12</v>
      </c>
      <c r="D58" s="180">
        <f>+D56-D57</f>
        <v>0</v>
      </c>
      <c r="E58" s="180"/>
      <c r="F58" s="180"/>
      <c r="G58" s="179"/>
      <c r="H58" s="179"/>
      <c r="I58" s="179"/>
      <c r="J58" s="179"/>
      <c r="K58" s="179"/>
      <c r="L58" s="179"/>
      <c r="M58" s="179"/>
      <c r="N58" s="179"/>
      <c r="O58" s="179"/>
      <c r="P58" s="179"/>
      <c r="Q58" s="179"/>
      <c r="R58" s="179"/>
      <c r="S58" s="179"/>
      <c r="T58" s="179"/>
      <c r="U58" s="179"/>
      <c r="V58" s="65"/>
      <c r="W58" s="65"/>
      <c r="X58" s="66"/>
      <c r="Y58" s="66"/>
      <c r="Z58" s="66"/>
      <c r="AA58" s="66"/>
      <c r="AB58" s="66"/>
      <c r="AC58" s="66"/>
      <c r="AD58" s="65"/>
    </row>
    <row r="59" spans="1:30">
      <c r="A59" s="179"/>
      <c r="B59" s="179"/>
      <c r="C59" s="179"/>
      <c r="D59" s="180"/>
      <c r="E59" s="180"/>
      <c r="F59" s="180"/>
      <c r="G59" s="179"/>
      <c r="H59" s="179"/>
      <c r="I59" s="179"/>
      <c r="J59" s="179"/>
      <c r="K59" s="179"/>
      <c r="L59" s="179"/>
      <c r="M59" s="179"/>
      <c r="N59" s="179"/>
      <c r="O59" s="179"/>
      <c r="P59" s="179"/>
      <c r="Q59" s="179"/>
      <c r="R59" s="179"/>
      <c r="S59" s="179"/>
      <c r="T59" s="179"/>
      <c r="U59" s="179"/>
      <c r="V59" s="65"/>
      <c r="W59" s="65"/>
      <c r="X59" s="66"/>
      <c r="Y59" s="66"/>
      <c r="Z59" s="66"/>
      <c r="AA59" s="66"/>
      <c r="AB59" s="66"/>
      <c r="AC59" s="66"/>
      <c r="AD59" s="65"/>
    </row>
  </sheetData>
  <pageMargins left="0.7" right="0.7" top="0.75" bottom="0.75" header="0.3" footer="0.3"/>
  <pageSetup scale="28" fitToHeight="0"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8"/>
  <sheetViews>
    <sheetView workbookViewId="0">
      <pane xSplit="4" ySplit="2" topLeftCell="E137" activePane="bottomRight" state="frozen"/>
      <selection pane="topRight" activeCell="E1" sqref="E1"/>
      <selection pane="bottomLeft" activeCell="A3" sqref="A3"/>
      <selection pane="bottomRight" activeCell="F157" sqref="F157"/>
    </sheetView>
  </sheetViews>
  <sheetFormatPr defaultRowHeight="15"/>
  <cols>
    <col min="1" max="1" width="10.5703125" style="162" bestFit="1" customWidth="1"/>
    <col min="2" max="2" width="15.85546875" style="162" customWidth="1"/>
    <col min="3" max="3" width="16.85546875" style="162" customWidth="1"/>
    <col min="4" max="4" width="24.85546875" style="171" bestFit="1" customWidth="1"/>
    <col min="5" max="5" width="19.85546875" style="162" bestFit="1" customWidth="1"/>
    <col min="6" max="6" width="14.7109375" style="162" bestFit="1" customWidth="1"/>
    <col min="7" max="7" width="19.42578125" style="162" bestFit="1" customWidth="1"/>
  </cols>
  <sheetData>
    <row r="1" spans="1:7">
      <c r="A1" s="159"/>
      <c r="B1" s="159" t="s">
        <v>985</v>
      </c>
      <c r="C1" s="159" t="s">
        <v>986</v>
      </c>
      <c r="D1" s="160" t="s">
        <v>987</v>
      </c>
      <c r="E1" s="161" t="s">
        <v>988</v>
      </c>
      <c r="F1" s="161" t="s">
        <v>989</v>
      </c>
      <c r="G1" s="161" t="s">
        <v>990</v>
      </c>
    </row>
    <row r="2" spans="1:7">
      <c r="D2" s="162"/>
      <c r="E2" s="163">
        <v>0.06</v>
      </c>
      <c r="F2" s="163">
        <v>0.03</v>
      </c>
    </row>
    <row r="3" spans="1:7">
      <c r="D3" s="162"/>
    </row>
    <row r="4" spans="1:7">
      <c r="A4" s="164"/>
      <c r="B4" s="165" t="s">
        <v>991</v>
      </c>
      <c r="C4" s="165" t="s">
        <v>749</v>
      </c>
      <c r="D4" s="166">
        <v>42637.717073170737</v>
      </c>
      <c r="E4" s="167">
        <f>ROUND(+$D4*E$2,2)</f>
        <v>2558.2600000000002</v>
      </c>
      <c r="F4" s="167">
        <f>ROUND(+$D4*F$2,2)</f>
        <v>1279.1300000000001</v>
      </c>
      <c r="G4" s="168">
        <f>+F4+E4</f>
        <v>3837.3900000000003</v>
      </c>
    </row>
    <row r="5" spans="1:7">
      <c r="A5" s="164"/>
      <c r="B5" s="165" t="s">
        <v>991</v>
      </c>
      <c r="C5" s="165" t="s">
        <v>749</v>
      </c>
      <c r="D5" s="166">
        <v>44729.131707317079</v>
      </c>
      <c r="E5" s="167">
        <f t="shared" ref="E5:F36" si="0">ROUND(+$D5*E$2,2)</f>
        <v>2683.75</v>
      </c>
      <c r="F5" s="167">
        <f t="shared" si="0"/>
        <v>1341.87</v>
      </c>
      <c r="G5" s="168">
        <f t="shared" ref="G5:G68" si="1">+F5+E5</f>
        <v>4025.62</v>
      </c>
    </row>
    <row r="6" spans="1:7">
      <c r="A6" s="164"/>
      <c r="B6" s="165" t="s">
        <v>991</v>
      </c>
      <c r="C6" s="165" t="s">
        <v>749</v>
      </c>
      <c r="D6" s="166">
        <v>47501.112195121954</v>
      </c>
      <c r="E6" s="167">
        <f t="shared" si="0"/>
        <v>2850.07</v>
      </c>
      <c r="F6" s="167">
        <f t="shared" si="0"/>
        <v>1425.03</v>
      </c>
      <c r="G6" s="168">
        <f t="shared" si="1"/>
        <v>4275.1000000000004</v>
      </c>
    </row>
    <row r="7" spans="1:7">
      <c r="A7" s="164"/>
      <c r="B7" s="165" t="s">
        <v>991</v>
      </c>
      <c r="C7" s="165" t="s">
        <v>749</v>
      </c>
      <c r="D7" s="166">
        <v>38656.800000000003</v>
      </c>
      <c r="E7" s="167">
        <f t="shared" si="0"/>
        <v>2319.41</v>
      </c>
      <c r="F7" s="167">
        <f t="shared" si="0"/>
        <v>1159.7</v>
      </c>
      <c r="G7" s="168">
        <f t="shared" si="1"/>
        <v>3479.1099999999997</v>
      </c>
    </row>
    <row r="8" spans="1:7">
      <c r="A8" s="164"/>
      <c r="B8" s="165" t="s">
        <v>991</v>
      </c>
      <c r="C8" s="165" t="s">
        <v>749</v>
      </c>
      <c r="D8" s="166">
        <v>46832.468292682926</v>
      </c>
      <c r="E8" s="167">
        <f t="shared" si="0"/>
        <v>2809.95</v>
      </c>
      <c r="F8" s="167">
        <f t="shared" si="0"/>
        <v>1404.97</v>
      </c>
      <c r="G8" s="168">
        <f t="shared" si="1"/>
        <v>4214.92</v>
      </c>
    </row>
    <row r="9" spans="1:7">
      <c r="A9" s="164"/>
      <c r="B9" s="165" t="s">
        <v>991</v>
      </c>
      <c r="C9" s="165" t="s">
        <v>749</v>
      </c>
      <c r="D9" s="166">
        <v>75650</v>
      </c>
      <c r="E9" s="167">
        <f t="shared" si="0"/>
        <v>4539</v>
      </c>
      <c r="F9" s="167">
        <f t="shared" si="0"/>
        <v>2269.5</v>
      </c>
      <c r="G9" s="168">
        <f t="shared" si="1"/>
        <v>6808.5</v>
      </c>
    </row>
    <row r="10" spans="1:7">
      <c r="A10" s="164"/>
      <c r="B10" s="165" t="s">
        <v>991</v>
      </c>
      <c r="C10" s="165" t="s">
        <v>749</v>
      </c>
      <c r="D10" s="166">
        <v>42323.434146341468</v>
      </c>
      <c r="E10" s="167">
        <f t="shared" si="0"/>
        <v>2539.41</v>
      </c>
      <c r="F10" s="167">
        <f t="shared" si="0"/>
        <v>1269.7</v>
      </c>
      <c r="G10" s="168">
        <f t="shared" si="1"/>
        <v>3809.1099999999997</v>
      </c>
    </row>
    <row r="11" spans="1:7">
      <c r="A11" s="164"/>
      <c r="B11" s="165" t="s">
        <v>991</v>
      </c>
      <c r="C11" s="165" t="s">
        <v>749</v>
      </c>
      <c r="D11" s="166">
        <v>93583.255813953496</v>
      </c>
      <c r="E11" s="167">
        <f t="shared" si="0"/>
        <v>5615</v>
      </c>
      <c r="F11" s="167">
        <f t="shared" si="0"/>
        <v>2807.5</v>
      </c>
      <c r="G11" s="168">
        <f t="shared" si="1"/>
        <v>8422.5</v>
      </c>
    </row>
    <row r="12" spans="1:7">
      <c r="A12" s="164"/>
      <c r="B12" s="165" t="s">
        <v>991</v>
      </c>
      <c r="C12" s="165" t="s">
        <v>749</v>
      </c>
      <c r="D12" s="166">
        <v>75650</v>
      </c>
      <c r="E12" s="167">
        <f t="shared" si="0"/>
        <v>4539</v>
      </c>
      <c r="F12" s="167">
        <f t="shared" si="0"/>
        <v>2269.5</v>
      </c>
      <c r="G12" s="168">
        <f t="shared" si="1"/>
        <v>6808.5</v>
      </c>
    </row>
    <row r="13" spans="1:7">
      <c r="A13" s="164"/>
      <c r="B13" s="165" t="s">
        <v>991</v>
      </c>
      <c r="C13" s="165" t="s">
        <v>749</v>
      </c>
      <c r="D13" s="166">
        <v>36666.341463414639</v>
      </c>
      <c r="E13" s="167">
        <f t="shared" si="0"/>
        <v>2199.98</v>
      </c>
      <c r="F13" s="167">
        <f t="shared" si="0"/>
        <v>1099.99</v>
      </c>
      <c r="G13" s="168">
        <f t="shared" si="1"/>
        <v>3299.9700000000003</v>
      </c>
    </row>
    <row r="14" spans="1:7">
      <c r="A14" s="164"/>
      <c r="B14" s="165" t="s">
        <v>991</v>
      </c>
      <c r="C14" s="165" t="s">
        <v>749</v>
      </c>
      <c r="D14" s="166">
        <v>77760</v>
      </c>
      <c r="E14" s="167">
        <f t="shared" si="0"/>
        <v>4665.6000000000004</v>
      </c>
      <c r="F14" s="167">
        <f t="shared" si="0"/>
        <v>2332.8000000000002</v>
      </c>
      <c r="G14" s="168">
        <f t="shared" si="1"/>
        <v>6998.4000000000005</v>
      </c>
    </row>
    <row r="15" spans="1:7">
      <c r="A15" s="164"/>
      <c r="B15" s="165" t="s">
        <v>991</v>
      </c>
      <c r="C15" s="165" t="s">
        <v>749</v>
      </c>
      <c r="D15" s="166">
        <v>78790.478048780496</v>
      </c>
      <c r="E15" s="167">
        <f t="shared" si="0"/>
        <v>4727.43</v>
      </c>
      <c r="F15" s="167">
        <f t="shared" si="0"/>
        <v>2363.71</v>
      </c>
      <c r="G15" s="168">
        <f t="shared" si="1"/>
        <v>7091.14</v>
      </c>
    </row>
    <row r="16" spans="1:7">
      <c r="A16" s="164"/>
      <c r="B16" s="165" t="s">
        <v>991</v>
      </c>
      <c r="C16" s="165" t="s">
        <v>749</v>
      </c>
      <c r="D16" s="166">
        <v>89943.906976744183</v>
      </c>
      <c r="E16" s="167">
        <f t="shared" si="0"/>
        <v>5396.63</v>
      </c>
      <c r="F16" s="167">
        <f t="shared" si="0"/>
        <v>2698.32</v>
      </c>
      <c r="G16" s="168">
        <f t="shared" si="1"/>
        <v>8094.9500000000007</v>
      </c>
    </row>
    <row r="17" spans="1:7">
      <c r="A17" s="164"/>
      <c r="B17" s="165" t="s">
        <v>991</v>
      </c>
      <c r="C17" s="165" t="s">
        <v>749</v>
      </c>
      <c r="D17" s="166">
        <v>34675.882926829268</v>
      </c>
      <c r="E17" s="167">
        <f t="shared" si="0"/>
        <v>2080.5500000000002</v>
      </c>
      <c r="F17" s="167">
        <f t="shared" si="0"/>
        <v>1040.28</v>
      </c>
      <c r="G17" s="168">
        <f t="shared" si="1"/>
        <v>3120.83</v>
      </c>
    </row>
    <row r="18" spans="1:7">
      <c r="A18" s="164"/>
      <c r="B18" s="165" t="s">
        <v>991</v>
      </c>
      <c r="C18" s="165" t="s">
        <v>749</v>
      </c>
      <c r="D18" s="166">
        <v>57616.000000000007</v>
      </c>
      <c r="E18" s="167">
        <f t="shared" si="0"/>
        <v>3456.96</v>
      </c>
      <c r="F18" s="167">
        <f t="shared" si="0"/>
        <v>1728.48</v>
      </c>
      <c r="G18" s="168">
        <f t="shared" si="1"/>
        <v>5185.4400000000005</v>
      </c>
    </row>
    <row r="19" spans="1:7">
      <c r="A19" s="164"/>
      <c r="B19" s="165" t="s">
        <v>991</v>
      </c>
      <c r="C19" s="165" t="s">
        <v>749</v>
      </c>
      <c r="D19" s="166">
        <v>49046.654439999998</v>
      </c>
      <c r="E19" s="167">
        <f t="shared" si="0"/>
        <v>2942.8</v>
      </c>
      <c r="F19" s="167">
        <f t="shared" si="0"/>
        <v>1471.4</v>
      </c>
      <c r="G19" s="168">
        <f t="shared" si="1"/>
        <v>4414.2000000000007</v>
      </c>
    </row>
    <row r="20" spans="1:7">
      <c r="A20" s="164"/>
      <c r="B20" s="165" t="s">
        <v>991</v>
      </c>
      <c r="C20" s="165" t="s">
        <v>749</v>
      </c>
      <c r="D20" s="166">
        <v>43578.029268292688</v>
      </c>
      <c r="E20" s="167">
        <f t="shared" si="0"/>
        <v>2614.6799999999998</v>
      </c>
      <c r="F20" s="167">
        <f t="shared" si="0"/>
        <v>1307.3399999999999</v>
      </c>
      <c r="G20" s="168">
        <f t="shared" si="1"/>
        <v>3922.0199999999995</v>
      </c>
    </row>
    <row r="21" spans="1:7">
      <c r="A21" s="164"/>
      <c r="B21" s="165" t="s">
        <v>991</v>
      </c>
      <c r="C21" s="165" t="s">
        <v>749</v>
      </c>
      <c r="D21" s="166">
        <v>313700</v>
      </c>
      <c r="E21" s="167">
        <f t="shared" si="0"/>
        <v>18822</v>
      </c>
      <c r="F21" s="167">
        <f t="shared" si="0"/>
        <v>9411</v>
      </c>
      <c r="G21" s="168">
        <f t="shared" si="1"/>
        <v>28233</v>
      </c>
    </row>
    <row r="22" spans="1:7">
      <c r="A22" s="164"/>
      <c r="B22" s="165" t="s">
        <v>991</v>
      </c>
      <c r="C22" s="165" t="s">
        <v>749</v>
      </c>
      <c r="D22" s="166">
        <v>42742.478048780489</v>
      </c>
      <c r="E22" s="167">
        <f t="shared" si="0"/>
        <v>2564.5500000000002</v>
      </c>
      <c r="F22" s="167">
        <f t="shared" si="0"/>
        <v>1282.27</v>
      </c>
      <c r="G22" s="168">
        <f t="shared" si="1"/>
        <v>3846.82</v>
      </c>
    </row>
    <row r="23" spans="1:7">
      <c r="A23" s="164"/>
      <c r="B23" s="165" t="s">
        <v>991</v>
      </c>
      <c r="C23" s="165" t="s">
        <v>749</v>
      </c>
      <c r="D23" s="166">
        <v>55472.078048780488</v>
      </c>
      <c r="E23" s="167">
        <f t="shared" si="0"/>
        <v>3328.32</v>
      </c>
      <c r="F23" s="167">
        <f t="shared" si="0"/>
        <v>1664.16</v>
      </c>
      <c r="G23" s="168">
        <f t="shared" si="1"/>
        <v>4992.4800000000005</v>
      </c>
    </row>
    <row r="24" spans="1:7">
      <c r="A24" s="164"/>
      <c r="B24" s="165" t="s">
        <v>991</v>
      </c>
      <c r="C24" s="165" t="s">
        <v>749</v>
      </c>
      <c r="D24" s="166">
        <v>55782.556097560984</v>
      </c>
      <c r="E24" s="167">
        <f t="shared" si="0"/>
        <v>3346.95</v>
      </c>
      <c r="F24" s="167">
        <f t="shared" si="0"/>
        <v>1673.48</v>
      </c>
      <c r="G24" s="168">
        <f t="shared" si="1"/>
        <v>5020.43</v>
      </c>
    </row>
    <row r="25" spans="1:7">
      <c r="A25" s="164"/>
      <c r="B25" s="165" t="s">
        <v>991</v>
      </c>
      <c r="C25" s="165" t="s">
        <v>749</v>
      </c>
      <c r="D25" s="166">
        <v>42428.195121951227</v>
      </c>
      <c r="E25" s="167">
        <f t="shared" si="0"/>
        <v>2545.69</v>
      </c>
      <c r="F25" s="167">
        <f t="shared" si="0"/>
        <v>1272.8499999999999</v>
      </c>
      <c r="G25" s="168">
        <f t="shared" si="1"/>
        <v>3818.54</v>
      </c>
    </row>
    <row r="26" spans="1:7">
      <c r="A26" s="164"/>
      <c r="B26" s="165" t="s">
        <v>991</v>
      </c>
      <c r="C26" s="165" t="s">
        <v>749</v>
      </c>
      <c r="D26" s="166">
        <v>41606.087804878051</v>
      </c>
      <c r="E26" s="167">
        <f t="shared" si="0"/>
        <v>2496.37</v>
      </c>
      <c r="F26" s="167">
        <f t="shared" si="0"/>
        <v>1248.18</v>
      </c>
      <c r="G26" s="168">
        <f t="shared" si="1"/>
        <v>3744.55</v>
      </c>
    </row>
    <row r="27" spans="1:7">
      <c r="A27" s="164"/>
      <c r="B27" s="165" t="s">
        <v>991</v>
      </c>
      <c r="C27" s="165" t="s">
        <v>749</v>
      </c>
      <c r="D27" s="166">
        <v>183516.66666666669</v>
      </c>
      <c r="E27" s="167">
        <f t="shared" si="0"/>
        <v>11011</v>
      </c>
      <c r="F27" s="167">
        <f t="shared" si="0"/>
        <v>5505.5</v>
      </c>
      <c r="G27" s="168">
        <f t="shared" si="1"/>
        <v>16516.5</v>
      </c>
    </row>
    <row r="28" spans="1:7">
      <c r="A28" s="164"/>
      <c r="B28" s="165" t="s">
        <v>991</v>
      </c>
      <c r="C28" s="165" t="s">
        <v>749</v>
      </c>
      <c r="D28" s="166">
        <v>51494.71219512196</v>
      </c>
      <c r="E28" s="167">
        <f t="shared" si="0"/>
        <v>3089.68</v>
      </c>
      <c r="F28" s="167">
        <f t="shared" si="0"/>
        <v>1544.84</v>
      </c>
      <c r="G28" s="168">
        <f t="shared" si="1"/>
        <v>4634.5199999999995</v>
      </c>
    </row>
    <row r="29" spans="1:7">
      <c r="A29" s="164"/>
      <c r="B29" s="165" t="s">
        <v>991</v>
      </c>
      <c r="C29" s="165" t="s">
        <v>749</v>
      </c>
      <c r="D29" s="166">
        <v>54657.326829268299</v>
      </c>
      <c r="E29" s="167">
        <f t="shared" si="0"/>
        <v>3279.44</v>
      </c>
      <c r="F29" s="167">
        <f t="shared" si="0"/>
        <v>1639.72</v>
      </c>
      <c r="G29" s="168">
        <f t="shared" si="1"/>
        <v>4919.16</v>
      </c>
    </row>
    <row r="30" spans="1:7">
      <c r="A30" s="164"/>
      <c r="B30" s="165" t="s">
        <v>991</v>
      </c>
      <c r="C30" s="165" t="s">
        <v>749</v>
      </c>
      <c r="D30" s="166">
        <v>66028.331707317077</v>
      </c>
      <c r="E30" s="167">
        <f t="shared" si="0"/>
        <v>3961.7</v>
      </c>
      <c r="F30" s="167">
        <f t="shared" si="0"/>
        <v>1980.85</v>
      </c>
      <c r="G30" s="168">
        <f t="shared" si="1"/>
        <v>5942.5499999999993</v>
      </c>
    </row>
    <row r="31" spans="1:7">
      <c r="A31" s="164"/>
      <c r="B31" s="165" t="s">
        <v>991</v>
      </c>
      <c r="C31" s="165" t="s">
        <v>749</v>
      </c>
      <c r="D31" s="166">
        <v>75650</v>
      </c>
      <c r="E31" s="167">
        <f t="shared" si="0"/>
        <v>4539</v>
      </c>
      <c r="F31" s="167">
        <f t="shared" si="0"/>
        <v>2269.5</v>
      </c>
      <c r="G31" s="168">
        <f t="shared" si="1"/>
        <v>6808.5</v>
      </c>
    </row>
    <row r="32" spans="1:7">
      <c r="A32" s="164"/>
      <c r="B32" s="165" t="s">
        <v>991</v>
      </c>
      <c r="C32" s="165" t="s">
        <v>749</v>
      </c>
      <c r="D32" s="166">
        <v>33418.751219512196</v>
      </c>
      <c r="E32" s="167">
        <f t="shared" si="0"/>
        <v>2005.13</v>
      </c>
      <c r="F32" s="167">
        <f t="shared" si="0"/>
        <v>1002.56</v>
      </c>
      <c r="G32" s="168">
        <f t="shared" si="1"/>
        <v>3007.69</v>
      </c>
    </row>
    <row r="33" spans="1:7">
      <c r="A33" s="164"/>
      <c r="B33" s="165" t="s">
        <v>991</v>
      </c>
      <c r="C33" s="165" t="s">
        <v>749</v>
      </c>
      <c r="D33" s="166">
        <v>43404.284144999998</v>
      </c>
      <c r="E33" s="167">
        <f t="shared" si="0"/>
        <v>2604.2600000000002</v>
      </c>
      <c r="F33" s="167">
        <f t="shared" si="0"/>
        <v>1302.1300000000001</v>
      </c>
      <c r="G33" s="168">
        <f t="shared" si="1"/>
        <v>3906.3900000000003</v>
      </c>
    </row>
    <row r="34" spans="1:7">
      <c r="A34" s="164"/>
      <c r="B34" s="165" t="s">
        <v>991</v>
      </c>
      <c r="C34" s="165" t="s">
        <v>749</v>
      </c>
      <c r="D34" s="166">
        <v>59360.156097560983</v>
      </c>
      <c r="E34" s="167">
        <f t="shared" si="0"/>
        <v>3561.61</v>
      </c>
      <c r="F34" s="167">
        <f t="shared" si="0"/>
        <v>1780.8</v>
      </c>
      <c r="G34" s="168">
        <f t="shared" si="1"/>
        <v>5342.41</v>
      </c>
    </row>
    <row r="35" spans="1:7">
      <c r="A35" s="164"/>
      <c r="B35" s="165" t="s">
        <v>991</v>
      </c>
      <c r="C35" s="165" t="s">
        <v>749</v>
      </c>
      <c r="D35" s="166">
        <v>47759.843902439025</v>
      </c>
      <c r="E35" s="167">
        <f t="shared" si="0"/>
        <v>2865.59</v>
      </c>
      <c r="F35" s="167">
        <f t="shared" si="0"/>
        <v>1432.8</v>
      </c>
      <c r="G35" s="168">
        <f t="shared" si="1"/>
        <v>4298.3900000000003</v>
      </c>
    </row>
    <row r="36" spans="1:7">
      <c r="A36" s="164"/>
      <c r="B36" s="165" t="s">
        <v>991</v>
      </c>
      <c r="C36" s="165" t="s">
        <v>749</v>
      </c>
      <c r="D36" s="166">
        <v>49046.654439999998</v>
      </c>
      <c r="E36" s="167">
        <f t="shared" si="0"/>
        <v>2942.8</v>
      </c>
      <c r="F36" s="167">
        <f t="shared" si="0"/>
        <v>1471.4</v>
      </c>
      <c r="G36" s="168">
        <f t="shared" si="1"/>
        <v>4414.2000000000007</v>
      </c>
    </row>
    <row r="37" spans="1:7">
      <c r="A37" s="164"/>
      <c r="B37" s="165" t="s">
        <v>991</v>
      </c>
      <c r="C37" s="165" t="s">
        <v>749</v>
      </c>
      <c r="D37" s="166">
        <v>47237.307317073173</v>
      </c>
      <c r="E37" s="167">
        <f t="shared" ref="E37:F68" si="2">ROUND(+$D37*E$2,2)</f>
        <v>2834.24</v>
      </c>
      <c r="F37" s="167">
        <f t="shared" si="2"/>
        <v>1417.12</v>
      </c>
      <c r="G37" s="168">
        <f t="shared" si="1"/>
        <v>4251.3599999999997</v>
      </c>
    </row>
    <row r="38" spans="1:7">
      <c r="A38" s="164"/>
      <c r="B38" s="165" t="s">
        <v>991</v>
      </c>
      <c r="C38" s="165" t="s">
        <v>749</v>
      </c>
      <c r="D38" s="166">
        <v>54187.551219512199</v>
      </c>
      <c r="E38" s="167">
        <f t="shared" si="2"/>
        <v>3251.25</v>
      </c>
      <c r="F38" s="167">
        <f t="shared" si="2"/>
        <v>1625.63</v>
      </c>
      <c r="G38" s="168">
        <f t="shared" si="1"/>
        <v>4876.88</v>
      </c>
    </row>
    <row r="39" spans="1:7">
      <c r="A39" s="164"/>
      <c r="B39" s="165" t="s">
        <v>991</v>
      </c>
      <c r="C39" s="165" t="s">
        <v>749</v>
      </c>
      <c r="D39" s="166">
        <v>70557.942857142858</v>
      </c>
      <c r="E39" s="167">
        <f t="shared" si="2"/>
        <v>4233.4799999999996</v>
      </c>
      <c r="F39" s="167">
        <f t="shared" si="2"/>
        <v>2116.7399999999998</v>
      </c>
      <c r="G39" s="168">
        <f t="shared" si="1"/>
        <v>6350.2199999999993</v>
      </c>
    </row>
    <row r="40" spans="1:7">
      <c r="A40" s="164"/>
      <c r="B40" s="165" t="s">
        <v>991</v>
      </c>
      <c r="C40" s="165" t="s">
        <v>749</v>
      </c>
      <c r="D40" s="166">
        <v>43580.56585365854</v>
      </c>
      <c r="E40" s="167">
        <f t="shared" si="2"/>
        <v>2614.83</v>
      </c>
      <c r="F40" s="167">
        <f t="shared" si="2"/>
        <v>1307.42</v>
      </c>
      <c r="G40" s="168">
        <f t="shared" si="1"/>
        <v>3922.25</v>
      </c>
    </row>
    <row r="41" spans="1:7">
      <c r="A41" s="164"/>
      <c r="B41" s="165" t="s">
        <v>991</v>
      </c>
      <c r="C41" s="165" t="s">
        <v>749</v>
      </c>
      <c r="D41" s="166">
        <v>51000.078048780495</v>
      </c>
      <c r="E41" s="167">
        <f t="shared" si="2"/>
        <v>3060</v>
      </c>
      <c r="F41" s="167">
        <f t="shared" si="2"/>
        <v>1530</v>
      </c>
      <c r="G41" s="168">
        <f t="shared" si="1"/>
        <v>4590</v>
      </c>
    </row>
    <row r="42" spans="1:7">
      <c r="A42" s="164"/>
      <c r="B42" s="165" t="s">
        <v>991</v>
      </c>
      <c r="C42" s="165" t="s">
        <v>749</v>
      </c>
      <c r="D42" s="166">
        <v>51313.092682926836</v>
      </c>
      <c r="E42" s="167">
        <f t="shared" si="2"/>
        <v>3078.79</v>
      </c>
      <c r="F42" s="167">
        <f t="shared" si="2"/>
        <v>1539.39</v>
      </c>
      <c r="G42" s="168">
        <f t="shared" si="1"/>
        <v>4618.18</v>
      </c>
    </row>
    <row r="43" spans="1:7">
      <c r="A43" s="164"/>
      <c r="B43" s="165" t="s">
        <v>991</v>
      </c>
      <c r="C43" s="165" t="s">
        <v>749</v>
      </c>
      <c r="D43" s="166">
        <v>54030.282926829277</v>
      </c>
      <c r="E43" s="167">
        <f t="shared" si="2"/>
        <v>3241.82</v>
      </c>
      <c r="F43" s="167">
        <f t="shared" si="2"/>
        <v>1620.91</v>
      </c>
      <c r="G43" s="168">
        <f t="shared" si="1"/>
        <v>4862.7300000000005</v>
      </c>
    </row>
    <row r="44" spans="1:7">
      <c r="A44" s="164"/>
      <c r="B44" s="165" t="s">
        <v>991</v>
      </c>
      <c r="C44" s="165" t="s">
        <v>749</v>
      </c>
      <c r="D44" s="166">
        <v>39562.015714999994</v>
      </c>
      <c r="E44" s="167">
        <f t="shared" si="2"/>
        <v>2373.7199999999998</v>
      </c>
      <c r="F44" s="167">
        <f t="shared" si="2"/>
        <v>1186.8599999999999</v>
      </c>
      <c r="G44" s="168">
        <f t="shared" si="1"/>
        <v>3560.58</v>
      </c>
    </row>
    <row r="45" spans="1:7">
      <c r="A45" s="164"/>
      <c r="B45" s="165" t="s">
        <v>991</v>
      </c>
      <c r="C45" s="165" t="s">
        <v>749</v>
      </c>
      <c r="D45" s="166">
        <v>58473.365853658535</v>
      </c>
      <c r="E45" s="167">
        <f t="shared" si="2"/>
        <v>3508.4</v>
      </c>
      <c r="F45" s="167">
        <f t="shared" si="2"/>
        <v>1754.2</v>
      </c>
      <c r="G45" s="168">
        <f t="shared" si="1"/>
        <v>5262.6</v>
      </c>
    </row>
    <row r="46" spans="1:7">
      <c r="A46" s="164"/>
      <c r="B46" s="165" t="s">
        <v>991</v>
      </c>
      <c r="C46" s="165" t="s">
        <v>749</v>
      </c>
      <c r="D46" s="166">
        <v>44523.414634146342</v>
      </c>
      <c r="E46" s="167">
        <f t="shared" si="2"/>
        <v>2671.4</v>
      </c>
      <c r="F46" s="167">
        <f t="shared" si="2"/>
        <v>1335.7</v>
      </c>
      <c r="G46" s="168">
        <f t="shared" si="1"/>
        <v>4007.1000000000004</v>
      </c>
    </row>
    <row r="47" spans="1:7">
      <c r="A47" s="164"/>
      <c r="B47" s="165" t="s">
        <v>991</v>
      </c>
      <c r="C47" s="165" t="s">
        <v>749</v>
      </c>
      <c r="D47" s="166">
        <v>37294.907317073172</v>
      </c>
      <c r="E47" s="167">
        <f t="shared" si="2"/>
        <v>2237.69</v>
      </c>
      <c r="F47" s="167">
        <f t="shared" si="2"/>
        <v>1118.8499999999999</v>
      </c>
      <c r="G47" s="168">
        <f t="shared" si="1"/>
        <v>3356.54</v>
      </c>
    </row>
    <row r="48" spans="1:7">
      <c r="A48" s="164"/>
      <c r="B48" s="165" t="s">
        <v>991</v>
      </c>
      <c r="C48" s="165" t="s">
        <v>749</v>
      </c>
      <c r="D48" s="166">
        <v>53456.000000000007</v>
      </c>
      <c r="E48" s="167">
        <f t="shared" si="2"/>
        <v>3207.36</v>
      </c>
      <c r="F48" s="167">
        <f t="shared" si="2"/>
        <v>1603.68</v>
      </c>
      <c r="G48" s="168">
        <f t="shared" si="1"/>
        <v>4811.04</v>
      </c>
    </row>
    <row r="49" spans="1:7">
      <c r="A49" s="164"/>
      <c r="B49" s="165" t="s">
        <v>991</v>
      </c>
      <c r="C49" s="165" t="s">
        <v>749</v>
      </c>
      <c r="D49" s="166">
        <v>75650</v>
      </c>
      <c r="E49" s="167">
        <f t="shared" si="2"/>
        <v>4539</v>
      </c>
      <c r="F49" s="167">
        <f t="shared" si="2"/>
        <v>2269.5</v>
      </c>
      <c r="G49" s="168">
        <f t="shared" si="1"/>
        <v>6808.5</v>
      </c>
    </row>
    <row r="50" spans="1:7">
      <c r="A50" s="164"/>
      <c r="B50" s="165" t="s">
        <v>991</v>
      </c>
      <c r="C50" s="165" t="s">
        <v>749</v>
      </c>
      <c r="D50" s="166">
        <v>33733.034146341466</v>
      </c>
      <c r="E50" s="167">
        <f t="shared" si="2"/>
        <v>2023.98</v>
      </c>
      <c r="F50" s="167">
        <f t="shared" si="2"/>
        <v>1011.99</v>
      </c>
      <c r="G50" s="168">
        <f t="shared" si="1"/>
        <v>3035.9700000000003</v>
      </c>
    </row>
    <row r="51" spans="1:7">
      <c r="A51" s="164"/>
      <c r="B51" s="165" t="s">
        <v>991</v>
      </c>
      <c r="C51" s="165" t="s">
        <v>749</v>
      </c>
      <c r="D51" s="166">
        <v>44624.624390243902</v>
      </c>
      <c r="E51" s="167">
        <f t="shared" si="2"/>
        <v>2677.48</v>
      </c>
      <c r="F51" s="167">
        <f t="shared" si="2"/>
        <v>1338.74</v>
      </c>
      <c r="G51" s="168">
        <f t="shared" si="1"/>
        <v>4016.2200000000003</v>
      </c>
    </row>
    <row r="52" spans="1:7">
      <c r="A52" s="164"/>
      <c r="B52" s="165" t="s">
        <v>991</v>
      </c>
      <c r="C52" s="165" t="s">
        <v>749</v>
      </c>
      <c r="D52" s="166">
        <v>43684.058536585369</v>
      </c>
      <c r="E52" s="167">
        <f t="shared" si="2"/>
        <v>2621.04</v>
      </c>
      <c r="F52" s="167">
        <f t="shared" si="2"/>
        <v>1310.52</v>
      </c>
      <c r="G52" s="168">
        <f t="shared" si="1"/>
        <v>3931.56</v>
      </c>
    </row>
    <row r="53" spans="1:7">
      <c r="A53" s="164"/>
      <c r="B53" s="165" t="s">
        <v>991</v>
      </c>
      <c r="C53" s="165" t="s">
        <v>749</v>
      </c>
      <c r="D53" s="166">
        <v>42323.434146341468</v>
      </c>
      <c r="E53" s="167">
        <f t="shared" si="2"/>
        <v>2539.41</v>
      </c>
      <c r="F53" s="167">
        <f t="shared" si="2"/>
        <v>1269.7</v>
      </c>
      <c r="G53" s="168">
        <f t="shared" si="1"/>
        <v>3809.1099999999997</v>
      </c>
    </row>
    <row r="54" spans="1:7">
      <c r="A54" s="164"/>
      <c r="B54" s="165" t="s">
        <v>991</v>
      </c>
      <c r="C54" s="165" t="s">
        <v>749</v>
      </c>
      <c r="D54" s="166">
        <v>53925.7756097561</v>
      </c>
      <c r="E54" s="167">
        <f t="shared" si="2"/>
        <v>3235.55</v>
      </c>
      <c r="F54" s="167">
        <f t="shared" si="2"/>
        <v>1617.77</v>
      </c>
      <c r="G54" s="168">
        <f t="shared" si="1"/>
        <v>4853.32</v>
      </c>
    </row>
    <row r="55" spans="1:7">
      <c r="A55" s="164"/>
      <c r="B55" s="165" t="s">
        <v>991</v>
      </c>
      <c r="C55" s="165" t="s">
        <v>749</v>
      </c>
      <c r="D55" s="166">
        <v>75650</v>
      </c>
      <c r="E55" s="167">
        <f t="shared" si="2"/>
        <v>4539</v>
      </c>
      <c r="F55" s="167">
        <f t="shared" si="2"/>
        <v>2269.5</v>
      </c>
      <c r="G55" s="168">
        <f t="shared" si="1"/>
        <v>6808.5</v>
      </c>
    </row>
    <row r="56" spans="1:7">
      <c r="A56" s="164"/>
      <c r="B56" s="165" t="s">
        <v>991</v>
      </c>
      <c r="C56" s="165" t="s">
        <v>749</v>
      </c>
      <c r="D56" s="166">
        <v>61763.824390243906</v>
      </c>
      <c r="E56" s="167">
        <f t="shared" si="2"/>
        <v>3705.83</v>
      </c>
      <c r="F56" s="167">
        <f t="shared" si="2"/>
        <v>1852.91</v>
      </c>
      <c r="G56" s="168">
        <f t="shared" si="1"/>
        <v>5558.74</v>
      </c>
    </row>
    <row r="57" spans="1:7">
      <c r="A57" s="164"/>
      <c r="B57" s="165" t="s">
        <v>991</v>
      </c>
      <c r="C57" s="165" t="s">
        <v>749</v>
      </c>
      <c r="D57" s="166">
        <v>61510.78125</v>
      </c>
      <c r="E57" s="167">
        <f t="shared" si="2"/>
        <v>3690.65</v>
      </c>
      <c r="F57" s="167">
        <f t="shared" si="2"/>
        <v>1845.32</v>
      </c>
      <c r="G57" s="168">
        <f t="shared" si="1"/>
        <v>5535.97</v>
      </c>
    </row>
    <row r="58" spans="1:7">
      <c r="A58" s="164"/>
      <c r="B58" s="165" t="s">
        <v>991</v>
      </c>
      <c r="C58" s="165" t="s">
        <v>749</v>
      </c>
      <c r="D58" s="166">
        <v>41503.102439024391</v>
      </c>
      <c r="E58" s="167">
        <f t="shared" si="2"/>
        <v>2490.19</v>
      </c>
      <c r="F58" s="167">
        <f t="shared" si="2"/>
        <v>1245.0899999999999</v>
      </c>
      <c r="G58" s="168">
        <f t="shared" si="1"/>
        <v>3735.2799999999997</v>
      </c>
    </row>
    <row r="59" spans="1:7">
      <c r="A59" s="164"/>
      <c r="B59" s="165" t="s">
        <v>991</v>
      </c>
      <c r="C59" s="165" t="s">
        <v>749</v>
      </c>
      <c r="D59" s="166">
        <v>55368.187314999996</v>
      </c>
      <c r="E59" s="167">
        <f t="shared" si="2"/>
        <v>3322.09</v>
      </c>
      <c r="F59" s="167">
        <f t="shared" si="2"/>
        <v>1661.05</v>
      </c>
      <c r="G59" s="168">
        <f t="shared" si="1"/>
        <v>4983.1400000000003</v>
      </c>
    </row>
    <row r="60" spans="1:7">
      <c r="A60" s="164"/>
      <c r="B60" s="165" t="s">
        <v>991</v>
      </c>
      <c r="C60" s="165" t="s">
        <v>749</v>
      </c>
      <c r="D60" s="166">
        <v>36666.341463414639</v>
      </c>
      <c r="E60" s="167">
        <f t="shared" si="2"/>
        <v>2199.98</v>
      </c>
      <c r="F60" s="167">
        <f t="shared" si="2"/>
        <v>1099.99</v>
      </c>
      <c r="G60" s="168">
        <f t="shared" si="1"/>
        <v>3299.9700000000003</v>
      </c>
    </row>
    <row r="61" spans="1:7">
      <c r="A61" s="164"/>
      <c r="B61" s="165" t="s">
        <v>991</v>
      </c>
      <c r="C61" s="165" t="s">
        <v>749</v>
      </c>
      <c r="D61" s="166">
        <v>38656.800000000003</v>
      </c>
      <c r="E61" s="167">
        <f t="shared" si="2"/>
        <v>2319.41</v>
      </c>
      <c r="F61" s="167">
        <f t="shared" si="2"/>
        <v>1159.7</v>
      </c>
      <c r="G61" s="168">
        <f t="shared" si="1"/>
        <v>3479.1099999999997</v>
      </c>
    </row>
    <row r="62" spans="1:7">
      <c r="A62" s="164"/>
      <c r="B62" s="165" t="s">
        <v>991</v>
      </c>
      <c r="C62" s="165" t="s">
        <v>749</v>
      </c>
      <c r="D62" s="166">
        <v>75650</v>
      </c>
      <c r="E62" s="167">
        <f t="shared" si="2"/>
        <v>4539</v>
      </c>
      <c r="F62" s="167">
        <f t="shared" si="2"/>
        <v>2269.5</v>
      </c>
      <c r="G62" s="168">
        <f t="shared" si="1"/>
        <v>6808.5</v>
      </c>
    </row>
    <row r="63" spans="1:7">
      <c r="A63" s="164"/>
      <c r="B63" s="165" t="s">
        <v>991</v>
      </c>
      <c r="C63" s="165" t="s">
        <v>749</v>
      </c>
      <c r="D63" s="166">
        <v>47037.678048780494</v>
      </c>
      <c r="E63" s="167">
        <f t="shared" si="2"/>
        <v>2822.26</v>
      </c>
      <c r="F63" s="167">
        <f t="shared" si="2"/>
        <v>1411.13</v>
      </c>
      <c r="G63" s="168">
        <f t="shared" si="1"/>
        <v>4233.3900000000003</v>
      </c>
    </row>
    <row r="64" spans="1:7">
      <c r="A64" s="164"/>
      <c r="B64" s="165" t="s">
        <v>991</v>
      </c>
      <c r="C64" s="165" t="s">
        <v>749</v>
      </c>
      <c r="D64" s="166">
        <v>60823.258536585367</v>
      </c>
      <c r="E64" s="167">
        <f t="shared" si="2"/>
        <v>3649.4</v>
      </c>
      <c r="F64" s="167">
        <f t="shared" si="2"/>
        <v>1824.7</v>
      </c>
      <c r="G64" s="168">
        <f t="shared" si="1"/>
        <v>5474.1</v>
      </c>
    </row>
    <row r="65" spans="1:7">
      <c r="A65" s="164"/>
      <c r="B65" s="165" t="s">
        <v>991</v>
      </c>
      <c r="C65" s="165" t="s">
        <v>749</v>
      </c>
      <c r="D65" s="166">
        <v>75650</v>
      </c>
      <c r="E65" s="167">
        <f t="shared" si="2"/>
        <v>4539</v>
      </c>
      <c r="F65" s="167">
        <f t="shared" si="2"/>
        <v>2269.5</v>
      </c>
      <c r="G65" s="168">
        <f t="shared" si="1"/>
        <v>6808.5</v>
      </c>
    </row>
    <row r="66" spans="1:7">
      <c r="A66" s="164"/>
      <c r="B66" s="165" t="s">
        <v>991</v>
      </c>
      <c r="C66" s="165" t="s">
        <v>749</v>
      </c>
      <c r="D66" s="166">
        <v>115681.5</v>
      </c>
      <c r="E66" s="167">
        <f t="shared" si="2"/>
        <v>6940.89</v>
      </c>
      <c r="F66" s="167">
        <f t="shared" si="2"/>
        <v>3470.45</v>
      </c>
      <c r="G66" s="168">
        <f t="shared" si="1"/>
        <v>10411.34</v>
      </c>
    </row>
    <row r="67" spans="1:7">
      <c r="A67" s="164"/>
      <c r="B67" s="165" t="s">
        <v>991</v>
      </c>
      <c r="C67" s="165" t="s">
        <v>749</v>
      </c>
      <c r="D67" s="166">
        <v>48494.306250000001</v>
      </c>
      <c r="E67" s="167">
        <f t="shared" si="2"/>
        <v>2909.66</v>
      </c>
      <c r="F67" s="167">
        <f t="shared" si="2"/>
        <v>1454.83</v>
      </c>
      <c r="G67" s="168">
        <f t="shared" si="1"/>
        <v>4364.49</v>
      </c>
    </row>
    <row r="68" spans="1:7">
      <c r="A68" s="164"/>
      <c r="B68" s="165" t="s">
        <v>991</v>
      </c>
      <c r="C68" s="165" t="s">
        <v>749</v>
      </c>
      <c r="D68" s="166">
        <v>42742.478048780489</v>
      </c>
      <c r="E68" s="167">
        <f t="shared" si="2"/>
        <v>2564.5500000000002</v>
      </c>
      <c r="F68" s="167">
        <f t="shared" si="2"/>
        <v>1282.27</v>
      </c>
      <c r="G68" s="168">
        <f t="shared" si="1"/>
        <v>3846.82</v>
      </c>
    </row>
    <row r="69" spans="1:7">
      <c r="A69" s="164"/>
      <c r="B69" s="165" t="s">
        <v>991</v>
      </c>
      <c r="C69" s="165" t="s">
        <v>749</v>
      </c>
      <c r="D69" s="166">
        <v>44102.087804878051</v>
      </c>
      <c r="E69" s="167">
        <f t="shared" ref="E69:F100" si="3">ROUND(+$D69*E$2,2)</f>
        <v>2646.13</v>
      </c>
      <c r="F69" s="167">
        <f t="shared" si="3"/>
        <v>1323.06</v>
      </c>
      <c r="G69" s="168">
        <f t="shared" ref="G69:G132" si="4">+F69+E69</f>
        <v>3969.19</v>
      </c>
    </row>
    <row r="70" spans="1:7">
      <c r="A70" s="164"/>
      <c r="B70" s="165" t="s">
        <v>991</v>
      </c>
      <c r="C70" s="165" t="s">
        <v>749</v>
      </c>
      <c r="D70" s="166">
        <v>40500</v>
      </c>
      <c r="E70" s="167">
        <f t="shared" si="3"/>
        <v>2430</v>
      </c>
      <c r="F70" s="167">
        <f t="shared" si="3"/>
        <v>1215</v>
      </c>
      <c r="G70" s="168">
        <f t="shared" si="4"/>
        <v>3645</v>
      </c>
    </row>
    <row r="71" spans="1:7">
      <c r="A71" s="164"/>
      <c r="B71" s="165" t="s">
        <v>991</v>
      </c>
      <c r="C71" s="165" t="s">
        <v>749</v>
      </c>
      <c r="D71" s="166">
        <v>105312.13767441861</v>
      </c>
      <c r="E71" s="167">
        <f t="shared" si="3"/>
        <v>6318.73</v>
      </c>
      <c r="F71" s="167">
        <f t="shared" si="3"/>
        <v>3159.36</v>
      </c>
      <c r="G71" s="168">
        <f t="shared" si="4"/>
        <v>9478.09</v>
      </c>
    </row>
    <row r="72" spans="1:7">
      <c r="A72" s="164"/>
      <c r="B72" s="165" t="s">
        <v>991</v>
      </c>
      <c r="C72" s="165" t="s">
        <v>749</v>
      </c>
      <c r="D72" s="166">
        <v>53664</v>
      </c>
      <c r="E72" s="167">
        <f t="shared" si="3"/>
        <v>3219.84</v>
      </c>
      <c r="F72" s="167">
        <f t="shared" si="3"/>
        <v>1609.92</v>
      </c>
      <c r="G72" s="168">
        <f t="shared" si="4"/>
        <v>4829.76</v>
      </c>
    </row>
    <row r="73" spans="1:7">
      <c r="A73" s="164"/>
      <c r="B73" s="165" t="s">
        <v>991</v>
      </c>
      <c r="C73" s="165" t="s">
        <v>749</v>
      </c>
      <c r="D73" s="166">
        <v>208020.83333333334</v>
      </c>
      <c r="E73" s="167">
        <f t="shared" si="3"/>
        <v>12481.25</v>
      </c>
      <c r="F73" s="167">
        <f t="shared" si="3"/>
        <v>6240.63</v>
      </c>
      <c r="G73" s="168">
        <f t="shared" si="4"/>
        <v>18721.88</v>
      </c>
    </row>
    <row r="74" spans="1:7">
      <c r="A74" s="164"/>
      <c r="B74" s="165" t="s">
        <v>991</v>
      </c>
      <c r="C74" s="165" t="s">
        <v>749</v>
      </c>
      <c r="D74" s="166">
        <v>45251.668292682931</v>
      </c>
      <c r="E74" s="167">
        <f t="shared" si="3"/>
        <v>2715.1</v>
      </c>
      <c r="F74" s="167">
        <f t="shared" si="3"/>
        <v>1357.55</v>
      </c>
      <c r="G74" s="168">
        <f t="shared" si="4"/>
        <v>4072.6499999999996</v>
      </c>
    </row>
    <row r="75" spans="1:7">
      <c r="A75" s="164"/>
      <c r="B75" s="165" t="s">
        <v>991</v>
      </c>
      <c r="C75" s="165" t="s">
        <v>749</v>
      </c>
      <c r="D75" s="166">
        <v>55224</v>
      </c>
      <c r="E75" s="167">
        <f t="shared" si="3"/>
        <v>3313.44</v>
      </c>
      <c r="F75" s="167">
        <f t="shared" si="3"/>
        <v>1656.72</v>
      </c>
      <c r="G75" s="168">
        <f t="shared" si="4"/>
        <v>4970.16</v>
      </c>
    </row>
    <row r="76" spans="1:7">
      <c r="A76" s="164"/>
      <c r="B76" s="165" t="s">
        <v>991</v>
      </c>
      <c r="C76" s="165" t="s">
        <v>749</v>
      </c>
      <c r="D76" s="166">
        <v>98951.776744186049</v>
      </c>
      <c r="E76" s="167">
        <f t="shared" si="3"/>
        <v>5937.11</v>
      </c>
      <c r="F76" s="167">
        <f t="shared" si="3"/>
        <v>2968.55</v>
      </c>
      <c r="G76" s="168">
        <f t="shared" si="4"/>
        <v>8905.66</v>
      </c>
    </row>
    <row r="77" spans="1:7">
      <c r="A77" s="164"/>
      <c r="B77" s="165" t="s">
        <v>991</v>
      </c>
      <c r="C77" s="165" t="s">
        <v>749</v>
      </c>
      <c r="D77" s="166">
        <v>42839.121951219517</v>
      </c>
      <c r="E77" s="167">
        <f t="shared" si="3"/>
        <v>2570.35</v>
      </c>
      <c r="F77" s="167">
        <f t="shared" si="3"/>
        <v>1285.17</v>
      </c>
      <c r="G77" s="168">
        <f t="shared" si="4"/>
        <v>3855.52</v>
      </c>
    </row>
    <row r="78" spans="1:7">
      <c r="A78" s="164"/>
      <c r="B78" s="165" t="s">
        <v>991</v>
      </c>
      <c r="C78" s="165" t="s">
        <v>749</v>
      </c>
      <c r="D78" s="166">
        <v>43518.217294999995</v>
      </c>
      <c r="E78" s="167">
        <f t="shared" si="3"/>
        <v>2611.09</v>
      </c>
      <c r="F78" s="167">
        <f t="shared" si="3"/>
        <v>1305.55</v>
      </c>
      <c r="G78" s="168">
        <f t="shared" si="4"/>
        <v>3916.6400000000003</v>
      </c>
    </row>
    <row r="79" spans="1:7">
      <c r="A79" s="164"/>
      <c r="B79" s="165" t="s">
        <v>991</v>
      </c>
      <c r="C79" s="165" t="s">
        <v>749</v>
      </c>
      <c r="D79" s="166">
        <v>38656.800000000003</v>
      </c>
      <c r="E79" s="167">
        <f t="shared" si="3"/>
        <v>2319.41</v>
      </c>
      <c r="F79" s="167">
        <f t="shared" si="3"/>
        <v>1159.7</v>
      </c>
      <c r="G79" s="168">
        <f t="shared" si="4"/>
        <v>3479.1099999999997</v>
      </c>
    </row>
    <row r="80" spans="1:7">
      <c r="A80" s="164"/>
      <c r="B80" s="165" t="s">
        <v>991</v>
      </c>
      <c r="C80" s="165" t="s">
        <v>749</v>
      </c>
      <c r="D80" s="166">
        <v>75650</v>
      </c>
      <c r="E80" s="167">
        <f t="shared" si="3"/>
        <v>4539</v>
      </c>
      <c r="F80" s="167">
        <f t="shared" si="3"/>
        <v>2269.5</v>
      </c>
      <c r="G80" s="168">
        <f t="shared" si="4"/>
        <v>6808.5</v>
      </c>
    </row>
    <row r="81" spans="1:7">
      <c r="A81" s="164"/>
      <c r="B81" s="165" t="s">
        <v>991</v>
      </c>
      <c r="C81" s="165" t="s">
        <v>749</v>
      </c>
      <c r="D81" s="166">
        <v>39562.015714999994</v>
      </c>
      <c r="E81" s="167">
        <f t="shared" si="3"/>
        <v>2373.7199999999998</v>
      </c>
      <c r="F81" s="167">
        <f t="shared" si="3"/>
        <v>1186.8599999999999</v>
      </c>
      <c r="G81" s="168">
        <f t="shared" si="4"/>
        <v>3560.58</v>
      </c>
    </row>
    <row r="82" spans="1:7">
      <c r="A82" s="164"/>
      <c r="B82" s="165" t="s">
        <v>991</v>
      </c>
      <c r="C82" s="165" t="s">
        <v>749</v>
      </c>
      <c r="D82" s="166">
        <v>40862.360975609758</v>
      </c>
      <c r="E82" s="167">
        <f t="shared" si="3"/>
        <v>2451.7399999999998</v>
      </c>
      <c r="F82" s="167">
        <f t="shared" si="3"/>
        <v>1225.8699999999999</v>
      </c>
      <c r="G82" s="168">
        <f t="shared" si="4"/>
        <v>3677.6099999999997</v>
      </c>
    </row>
    <row r="83" spans="1:7">
      <c r="A83" s="164"/>
      <c r="B83" s="165" t="s">
        <v>991</v>
      </c>
      <c r="C83" s="165" t="s">
        <v>749</v>
      </c>
      <c r="D83" s="166">
        <v>62400.000000000007</v>
      </c>
      <c r="E83" s="167">
        <f t="shared" si="3"/>
        <v>3744</v>
      </c>
      <c r="F83" s="167">
        <f t="shared" si="3"/>
        <v>1872</v>
      </c>
      <c r="G83" s="168">
        <f t="shared" si="4"/>
        <v>5616</v>
      </c>
    </row>
    <row r="84" spans="1:7">
      <c r="A84" s="164"/>
      <c r="B84" s="165" t="s">
        <v>991</v>
      </c>
      <c r="C84" s="165" t="s">
        <v>749</v>
      </c>
      <c r="D84" s="166">
        <v>43933.658536585368</v>
      </c>
      <c r="E84" s="167">
        <f t="shared" si="3"/>
        <v>2636.02</v>
      </c>
      <c r="F84" s="167">
        <f t="shared" si="3"/>
        <v>1318.01</v>
      </c>
      <c r="G84" s="168">
        <f t="shared" si="4"/>
        <v>3954.0299999999997</v>
      </c>
    </row>
    <row r="85" spans="1:7">
      <c r="A85" s="164"/>
      <c r="B85" s="165" t="s">
        <v>991</v>
      </c>
      <c r="C85" s="165" t="s">
        <v>749</v>
      </c>
      <c r="D85" s="166">
        <v>84025.004651162802</v>
      </c>
      <c r="E85" s="167">
        <f t="shared" si="3"/>
        <v>5041.5</v>
      </c>
      <c r="F85" s="167">
        <f t="shared" si="3"/>
        <v>2520.75</v>
      </c>
      <c r="G85" s="168">
        <f t="shared" si="4"/>
        <v>7562.25</v>
      </c>
    </row>
    <row r="86" spans="1:7">
      <c r="A86" s="164"/>
      <c r="B86" s="165" t="s">
        <v>991</v>
      </c>
      <c r="C86" s="165" t="s">
        <v>749</v>
      </c>
      <c r="D86" s="166">
        <v>48494.306250000001</v>
      </c>
      <c r="E86" s="167">
        <f t="shared" si="3"/>
        <v>2909.66</v>
      </c>
      <c r="F86" s="167">
        <f t="shared" si="3"/>
        <v>1454.83</v>
      </c>
      <c r="G86" s="168">
        <f t="shared" si="4"/>
        <v>4364.49</v>
      </c>
    </row>
    <row r="87" spans="1:7">
      <c r="A87" s="164"/>
      <c r="B87" s="165" t="s">
        <v>991</v>
      </c>
      <c r="C87" s="165" t="s">
        <v>749</v>
      </c>
      <c r="D87" s="166">
        <v>42637.717073170737</v>
      </c>
      <c r="E87" s="167">
        <f t="shared" si="3"/>
        <v>2558.2600000000002</v>
      </c>
      <c r="F87" s="167">
        <f t="shared" si="3"/>
        <v>1279.1300000000001</v>
      </c>
      <c r="G87" s="168">
        <f t="shared" si="4"/>
        <v>3837.3900000000003</v>
      </c>
    </row>
    <row r="88" spans="1:7">
      <c r="A88" s="164"/>
      <c r="B88" s="165" t="s">
        <v>991</v>
      </c>
      <c r="C88" s="165" t="s">
        <v>749</v>
      </c>
      <c r="D88" s="166">
        <v>70133.034146341466</v>
      </c>
      <c r="E88" s="167">
        <f t="shared" si="3"/>
        <v>4207.9799999999996</v>
      </c>
      <c r="F88" s="167">
        <f t="shared" si="3"/>
        <v>2103.9899999999998</v>
      </c>
      <c r="G88" s="168">
        <f t="shared" si="4"/>
        <v>6311.9699999999993</v>
      </c>
    </row>
    <row r="89" spans="1:7">
      <c r="A89" s="164"/>
      <c r="B89" s="165" t="s">
        <v>991</v>
      </c>
      <c r="C89" s="165" t="s">
        <v>749</v>
      </c>
      <c r="D89" s="166">
        <v>52166.400000000001</v>
      </c>
      <c r="E89" s="167">
        <f t="shared" si="3"/>
        <v>3129.98</v>
      </c>
      <c r="F89" s="167">
        <f t="shared" si="3"/>
        <v>1564.99</v>
      </c>
      <c r="G89" s="168">
        <f t="shared" si="4"/>
        <v>4694.97</v>
      </c>
    </row>
    <row r="90" spans="1:7">
      <c r="A90" s="164"/>
      <c r="B90" s="165" t="s">
        <v>991</v>
      </c>
      <c r="C90" s="165" t="s">
        <v>749</v>
      </c>
      <c r="D90" s="166">
        <v>48386.887804878053</v>
      </c>
      <c r="E90" s="167">
        <f t="shared" si="3"/>
        <v>2903.21</v>
      </c>
      <c r="F90" s="167">
        <f t="shared" si="3"/>
        <v>1451.61</v>
      </c>
      <c r="G90" s="168">
        <f t="shared" si="4"/>
        <v>4354.82</v>
      </c>
    </row>
    <row r="91" spans="1:7">
      <c r="A91" s="164"/>
      <c r="B91" s="165" t="s">
        <v>991</v>
      </c>
      <c r="C91" s="165" t="s">
        <v>749</v>
      </c>
      <c r="D91" s="166">
        <v>43580.56585365854</v>
      </c>
      <c r="E91" s="167">
        <f t="shared" si="3"/>
        <v>2614.83</v>
      </c>
      <c r="F91" s="167">
        <f t="shared" si="3"/>
        <v>1307.42</v>
      </c>
      <c r="G91" s="168">
        <f t="shared" si="4"/>
        <v>3922.25</v>
      </c>
    </row>
    <row r="92" spans="1:7">
      <c r="A92" s="164"/>
      <c r="B92" s="165" t="s">
        <v>991</v>
      </c>
      <c r="C92" s="165" t="s">
        <v>749</v>
      </c>
      <c r="D92" s="166">
        <v>110000</v>
      </c>
      <c r="E92" s="167">
        <f t="shared" si="3"/>
        <v>6600</v>
      </c>
      <c r="F92" s="167">
        <f t="shared" si="3"/>
        <v>3300</v>
      </c>
      <c r="G92" s="168">
        <f t="shared" si="4"/>
        <v>9900</v>
      </c>
    </row>
    <row r="93" spans="1:7">
      <c r="A93" s="164"/>
      <c r="B93" s="165" t="s">
        <v>991</v>
      </c>
      <c r="C93" s="165" t="s">
        <v>749</v>
      </c>
      <c r="D93" s="166">
        <v>62557.268292682929</v>
      </c>
      <c r="E93" s="167">
        <f t="shared" si="3"/>
        <v>3753.44</v>
      </c>
      <c r="F93" s="167">
        <f t="shared" si="3"/>
        <v>1876.72</v>
      </c>
      <c r="G93" s="168">
        <f t="shared" si="4"/>
        <v>5630.16</v>
      </c>
    </row>
    <row r="94" spans="1:7">
      <c r="A94" s="164"/>
      <c r="B94" s="165" t="s">
        <v>991</v>
      </c>
      <c r="C94" s="165" t="s">
        <v>749</v>
      </c>
      <c r="D94" s="166">
        <v>58001.560975609762</v>
      </c>
      <c r="E94" s="167">
        <f t="shared" si="3"/>
        <v>3480.09</v>
      </c>
      <c r="F94" s="167">
        <f t="shared" si="3"/>
        <v>1740.05</v>
      </c>
      <c r="G94" s="168">
        <f t="shared" si="4"/>
        <v>5220.1400000000003</v>
      </c>
    </row>
    <row r="95" spans="1:7">
      <c r="A95" s="164"/>
      <c r="B95" s="165" t="s">
        <v>991</v>
      </c>
      <c r="C95" s="165" t="s">
        <v>749</v>
      </c>
      <c r="D95" s="166">
        <v>44415.609756097561</v>
      </c>
      <c r="E95" s="167">
        <f t="shared" si="3"/>
        <v>2664.94</v>
      </c>
      <c r="F95" s="167">
        <f t="shared" si="3"/>
        <v>1332.47</v>
      </c>
      <c r="G95" s="168">
        <f t="shared" si="4"/>
        <v>3997.41</v>
      </c>
    </row>
    <row r="96" spans="1:7">
      <c r="A96" s="164"/>
      <c r="B96" s="165" t="s">
        <v>991</v>
      </c>
      <c r="C96" s="165" t="s">
        <v>749</v>
      </c>
      <c r="D96" s="166">
        <v>95284.558139534885</v>
      </c>
      <c r="E96" s="167">
        <f t="shared" si="3"/>
        <v>5717.07</v>
      </c>
      <c r="F96" s="167">
        <f t="shared" si="3"/>
        <v>2858.54</v>
      </c>
      <c r="G96" s="168">
        <f t="shared" si="4"/>
        <v>8575.61</v>
      </c>
    </row>
    <row r="97" spans="1:7">
      <c r="A97" s="164"/>
      <c r="B97" s="165" t="s">
        <v>991</v>
      </c>
      <c r="C97" s="165" t="s">
        <v>749</v>
      </c>
      <c r="D97" s="166">
        <v>75650</v>
      </c>
      <c r="E97" s="167">
        <f t="shared" si="3"/>
        <v>4539</v>
      </c>
      <c r="F97" s="167">
        <f t="shared" si="3"/>
        <v>2269.5</v>
      </c>
      <c r="G97" s="168">
        <f t="shared" si="4"/>
        <v>6808.5</v>
      </c>
    </row>
    <row r="98" spans="1:7">
      <c r="A98" s="164"/>
      <c r="B98" s="165" t="s">
        <v>991</v>
      </c>
      <c r="C98" s="165" t="s">
        <v>749</v>
      </c>
      <c r="D98" s="166">
        <v>61601.092682926836</v>
      </c>
      <c r="E98" s="167">
        <f t="shared" si="3"/>
        <v>3696.07</v>
      </c>
      <c r="F98" s="167">
        <f t="shared" si="3"/>
        <v>1848.03</v>
      </c>
      <c r="G98" s="168">
        <f t="shared" si="4"/>
        <v>5544.1</v>
      </c>
    </row>
    <row r="99" spans="1:7">
      <c r="A99" s="164"/>
      <c r="B99" s="165" t="s">
        <v>991</v>
      </c>
      <c r="C99" s="165" t="s">
        <v>749</v>
      </c>
      <c r="D99" s="166">
        <v>110770</v>
      </c>
      <c r="E99" s="167">
        <f t="shared" si="3"/>
        <v>6646.2</v>
      </c>
      <c r="F99" s="167">
        <f t="shared" si="3"/>
        <v>3323.1</v>
      </c>
      <c r="G99" s="168">
        <f t="shared" si="4"/>
        <v>9969.2999999999993</v>
      </c>
    </row>
    <row r="100" spans="1:7">
      <c r="A100" s="164"/>
      <c r="B100" s="165" t="s">
        <v>991</v>
      </c>
      <c r="C100" s="165" t="s">
        <v>749</v>
      </c>
      <c r="D100" s="166">
        <v>42847.239024390248</v>
      </c>
      <c r="E100" s="167">
        <f t="shared" si="3"/>
        <v>2570.83</v>
      </c>
      <c r="F100" s="167">
        <f t="shared" si="3"/>
        <v>1285.42</v>
      </c>
      <c r="G100" s="168">
        <f t="shared" si="4"/>
        <v>3856.25</v>
      </c>
    </row>
    <row r="101" spans="1:7">
      <c r="A101" s="164"/>
      <c r="B101" s="165" t="s">
        <v>991</v>
      </c>
      <c r="C101" s="165" t="s">
        <v>749</v>
      </c>
      <c r="D101" s="166">
        <v>48386.887804878053</v>
      </c>
      <c r="E101" s="167">
        <f t="shared" ref="E101:F143" si="5">ROUND(+$D101*E$2,2)</f>
        <v>2903.21</v>
      </c>
      <c r="F101" s="167">
        <f t="shared" si="5"/>
        <v>1451.61</v>
      </c>
      <c r="G101" s="168">
        <f t="shared" si="4"/>
        <v>4354.82</v>
      </c>
    </row>
    <row r="102" spans="1:7">
      <c r="A102" s="164"/>
      <c r="B102" s="165" t="s">
        <v>991</v>
      </c>
      <c r="C102" s="165" t="s">
        <v>749</v>
      </c>
      <c r="D102" s="166">
        <v>75650</v>
      </c>
      <c r="E102" s="167">
        <f t="shared" si="5"/>
        <v>4539</v>
      </c>
      <c r="F102" s="167">
        <f t="shared" si="5"/>
        <v>2269.5</v>
      </c>
      <c r="G102" s="168">
        <f t="shared" si="4"/>
        <v>6808.5</v>
      </c>
    </row>
    <row r="103" spans="1:7">
      <c r="A103" s="164"/>
      <c r="B103" s="165" t="s">
        <v>991</v>
      </c>
      <c r="C103" s="165" t="s">
        <v>749</v>
      </c>
      <c r="D103" s="166">
        <v>116066.28571428571</v>
      </c>
      <c r="E103" s="167">
        <f t="shared" si="5"/>
        <v>6963.98</v>
      </c>
      <c r="F103" s="167">
        <f t="shared" si="5"/>
        <v>3481.99</v>
      </c>
      <c r="G103" s="168">
        <f t="shared" si="4"/>
        <v>10445.969999999999</v>
      </c>
    </row>
    <row r="104" spans="1:7">
      <c r="A104" s="164"/>
      <c r="B104" s="165" t="s">
        <v>991</v>
      </c>
      <c r="C104" s="165" t="s">
        <v>749</v>
      </c>
      <c r="D104" s="166">
        <v>42428.195121951227</v>
      </c>
      <c r="E104" s="167">
        <f t="shared" si="5"/>
        <v>2545.69</v>
      </c>
      <c r="F104" s="167">
        <f t="shared" si="5"/>
        <v>1272.8499999999999</v>
      </c>
      <c r="G104" s="168">
        <f t="shared" si="4"/>
        <v>3818.54</v>
      </c>
    </row>
    <row r="105" spans="1:7">
      <c r="A105" s="164"/>
      <c r="B105" s="165" t="s">
        <v>991</v>
      </c>
      <c r="C105" s="165" t="s">
        <v>749</v>
      </c>
      <c r="D105" s="166">
        <v>42218.673170731709</v>
      </c>
      <c r="E105" s="167">
        <f t="shared" si="5"/>
        <v>2533.12</v>
      </c>
      <c r="F105" s="167">
        <f t="shared" si="5"/>
        <v>1266.56</v>
      </c>
      <c r="G105" s="168">
        <f t="shared" si="4"/>
        <v>3799.68</v>
      </c>
    </row>
    <row r="106" spans="1:7">
      <c r="A106" s="164"/>
      <c r="B106" s="165" t="s">
        <v>991</v>
      </c>
      <c r="C106" s="165" t="s">
        <v>749</v>
      </c>
      <c r="D106" s="166">
        <v>42218.673170731709</v>
      </c>
      <c r="E106" s="167">
        <f t="shared" si="5"/>
        <v>2533.12</v>
      </c>
      <c r="F106" s="167">
        <f t="shared" si="5"/>
        <v>1266.56</v>
      </c>
      <c r="G106" s="168">
        <f t="shared" si="4"/>
        <v>3799.68</v>
      </c>
    </row>
    <row r="107" spans="1:7">
      <c r="A107" s="164"/>
      <c r="B107" s="165" t="s">
        <v>991</v>
      </c>
      <c r="C107" s="165" t="s">
        <v>749</v>
      </c>
      <c r="D107" s="166">
        <v>33929.365853658535</v>
      </c>
      <c r="E107" s="167">
        <f t="shared" si="5"/>
        <v>2035.76</v>
      </c>
      <c r="F107" s="167">
        <f t="shared" si="5"/>
        <v>1017.88</v>
      </c>
      <c r="G107" s="168">
        <f t="shared" si="4"/>
        <v>3053.64</v>
      </c>
    </row>
    <row r="108" spans="1:7">
      <c r="A108" s="164"/>
      <c r="B108" s="165" t="s">
        <v>991</v>
      </c>
      <c r="C108" s="165" t="s">
        <v>749</v>
      </c>
      <c r="D108" s="166">
        <v>44942.458536585364</v>
      </c>
      <c r="E108" s="167">
        <f t="shared" si="5"/>
        <v>2696.55</v>
      </c>
      <c r="F108" s="167">
        <f t="shared" si="5"/>
        <v>1348.27</v>
      </c>
      <c r="G108" s="168">
        <f t="shared" si="4"/>
        <v>4044.82</v>
      </c>
    </row>
    <row r="109" spans="1:7">
      <c r="A109" s="164"/>
      <c r="B109" s="165" t="s">
        <v>991</v>
      </c>
      <c r="C109" s="165" t="s">
        <v>749</v>
      </c>
      <c r="D109" s="166">
        <v>42218.673170731709</v>
      </c>
      <c r="E109" s="167">
        <f t="shared" si="5"/>
        <v>2533.12</v>
      </c>
      <c r="F109" s="167">
        <f t="shared" si="5"/>
        <v>1266.56</v>
      </c>
      <c r="G109" s="168">
        <f t="shared" si="4"/>
        <v>3799.68</v>
      </c>
    </row>
    <row r="110" spans="1:7">
      <c r="A110" s="164"/>
      <c r="B110" s="165" t="s">
        <v>991</v>
      </c>
      <c r="C110" s="165" t="s">
        <v>749</v>
      </c>
      <c r="D110" s="166">
        <v>42218.673170731709</v>
      </c>
      <c r="E110" s="167">
        <f t="shared" si="5"/>
        <v>2533.12</v>
      </c>
      <c r="F110" s="167">
        <f t="shared" si="5"/>
        <v>1266.56</v>
      </c>
      <c r="G110" s="168">
        <f t="shared" si="4"/>
        <v>3799.68</v>
      </c>
    </row>
    <row r="111" spans="1:7">
      <c r="A111" s="164"/>
      <c r="B111" s="165" t="s">
        <v>991</v>
      </c>
      <c r="C111" s="165" t="s">
        <v>749</v>
      </c>
      <c r="D111" s="166">
        <v>29120</v>
      </c>
      <c r="E111" s="167">
        <f t="shared" si="5"/>
        <v>1747.2</v>
      </c>
      <c r="F111" s="167">
        <f t="shared" si="5"/>
        <v>873.6</v>
      </c>
      <c r="G111" s="168">
        <f t="shared" si="4"/>
        <v>2620.8000000000002</v>
      </c>
    </row>
    <row r="112" spans="1:7">
      <c r="A112" s="164"/>
      <c r="B112" s="165" t="s">
        <v>991</v>
      </c>
      <c r="C112" s="165" t="s">
        <v>749</v>
      </c>
      <c r="D112" s="166">
        <v>20800</v>
      </c>
      <c r="E112" s="167">
        <f t="shared" si="5"/>
        <v>1248</v>
      </c>
      <c r="F112" s="167">
        <f t="shared" si="5"/>
        <v>624</v>
      </c>
      <c r="G112" s="168">
        <f t="shared" si="4"/>
        <v>1872</v>
      </c>
    </row>
    <row r="113" spans="1:7">
      <c r="A113" s="164"/>
      <c r="B113" s="165" t="s">
        <v>991</v>
      </c>
      <c r="C113" s="165" t="s">
        <v>749</v>
      </c>
      <c r="D113" s="166">
        <v>43580.56585365854</v>
      </c>
      <c r="E113" s="167">
        <f t="shared" si="5"/>
        <v>2614.83</v>
      </c>
      <c r="F113" s="167">
        <f t="shared" si="5"/>
        <v>1307.42</v>
      </c>
      <c r="G113" s="168">
        <f t="shared" si="4"/>
        <v>3922.25</v>
      </c>
    </row>
    <row r="114" spans="1:7">
      <c r="A114" s="164"/>
      <c r="B114" s="165" t="s">
        <v>991</v>
      </c>
      <c r="C114" s="165" t="s">
        <v>749</v>
      </c>
      <c r="D114" s="166">
        <v>61510.78125</v>
      </c>
      <c r="E114" s="167">
        <f t="shared" si="5"/>
        <v>3690.65</v>
      </c>
      <c r="F114" s="167">
        <f t="shared" si="5"/>
        <v>1845.32</v>
      </c>
      <c r="G114" s="168">
        <f t="shared" si="4"/>
        <v>5535.97</v>
      </c>
    </row>
    <row r="115" spans="1:7">
      <c r="A115" s="164"/>
      <c r="B115" s="165" t="s">
        <v>991</v>
      </c>
      <c r="C115" s="165" t="s">
        <v>749</v>
      </c>
      <c r="D115" s="166">
        <v>39562.015714999994</v>
      </c>
      <c r="E115" s="167">
        <f t="shared" si="5"/>
        <v>2373.7199999999998</v>
      </c>
      <c r="F115" s="167">
        <f t="shared" si="5"/>
        <v>1186.8599999999999</v>
      </c>
      <c r="G115" s="168">
        <f t="shared" si="4"/>
        <v>3560.58</v>
      </c>
    </row>
    <row r="116" spans="1:7">
      <c r="A116" s="164"/>
      <c r="B116" s="165" t="s">
        <v>991</v>
      </c>
      <c r="C116" s="165" t="s">
        <v>749</v>
      </c>
      <c r="D116" s="166">
        <v>39562.015714999994</v>
      </c>
      <c r="E116" s="167">
        <f t="shared" si="5"/>
        <v>2373.7199999999998</v>
      </c>
      <c r="F116" s="167">
        <f t="shared" si="5"/>
        <v>1186.8599999999999</v>
      </c>
      <c r="G116" s="168">
        <f t="shared" si="4"/>
        <v>3560.58</v>
      </c>
    </row>
    <row r="117" spans="1:7">
      <c r="A117" s="164"/>
      <c r="B117" s="165" t="s">
        <v>991</v>
      </c>
      <c r="C117" s="165" t="s">
        <v>749</v>
      </c>
      <c r="D117" s="166">
        <v>39562.015714999994</v>
      </c>
      <c r="E117" s="167">
        <f t="shared" si="5"/>
        <v>2373.7199999999998</v>
      </c>
      <c r="F117" s="167">
        <f t="shared" si="5"/>
        <v>1186.8599999999999</v>
      </c>
      <c r="G117" s="168">
        <f t="shared" si="4"/>
        <v>3560.58</v>
      </c>
    </row>
    <row r="118" spans="1:7">
      <c r="A118" s="164"/>
      <c r="B118" s="165" t="s">
        <v>991</v>
      </c>
      <c r="C118" s="165" t="s">
        <v>749</v>
      </c>
      <c r="D118" s="166">
        <v>43518.217294999995</v>
      </c>
      <c r="E118" s="167">
        <f t="shared" si="5"/>
        <v>2611.09</v>
      </c>
      <c r="F118" s="167">
        <f t="shared" si="5"/>
        <v>1305.55</v>
      </c>
      <c r="G118" s="168">
        <f t="shared" si="4"/>
        <v>3916.6400000000003</v>
      </c>
    </row>
    <row r="119" spans="1:7">
      <c r="A119" s="164"/>
      <c r="B119" s="165" t="s">
        <v>991</v>
      </c>
      <c r="C119" s="165" t="s">
        <v>749</v>
      </c>
      <c r="D119" s="166">
        <v>51698.65365853659</v>
      </c>
      <c r="E119" s="167">
        <f t="shared" si="5"/>
        <v>3101.92</v>
      </c>
      <c r="F119" s="167">
        <f t="shared" si="5"/>
        <v>1550.96</v>
      </c>
      <c r="G119" s="168">
        <f t="shared" si="4"/>
        <v>4652.88</v>
      </c>
    </row>
    <row r="120" spans="1:7">
      <c r="A120" s="164"/>
      <c r="B120" s="165" t="s">
        <v>991</v>
      </c>
      <c r="C120" s="165" t="s">
        <v>749</v>
      </c>
      <c r="D120" s="166">
        <v>39562.015714999994</v>
      </c>
      <c r="E120" s="167">
        <f t="shared" si="5"/>
        <v>2373.7199999999998</v>
      </c>
      <c r="F120" s="167">
        <f t="shared" si="5"/>
        <v>1186.8599999999999</v>
      </c>
      <c r="G120" s="168">
        <f t="shared" si="4"/>
        <v>3560.58</v>
      </c>
    </row>
    <row r="121" spans="1:7">
      <c r="A121" s="164"/>
      <c r="B121" s="165" t="s">
        <v>991</v>
      </c>
      <c r="C121" s="165" t="s">
        <v>749</v>
      </c>
      <c r="D121" s="166">
        <v>42218.673170731709</v>
      </c>
      <c r="E121" s="167">
        <f t="shared" si="5"/>
        <v>2533.12</v>
      </c>
      <c r="F121" s="167">
        <f t="shared" si="5"/>
        <v>1266.56</v>
      </c>
      <c r="G121" s="168">
        <f t="shared" si="4"/>
        <v>3799.68</v>
      </c>
    </row>
    <row r="122" spans="1:7">
      <c r="A122" s="164"/>
      <c r="B122" s="165" t="s">
        <v>991</v>
      </c>
      <c r="C122" s="165" t="s">
        <v>749</v>
      </c>
      <c r="D122" s="166">
        <v>46304.351219512195</v>
      </c>
      <c r="E122" s="167">
        <f t="shared" si="5"/>
        <v>2778.26</v>
      </c>
      <c r="F122" s="167">
        <f t="shared" si="5"/>
        <v>1389.13</v>
      </c>
      <c r="G122" s="168">
        <f t="shared" si="4"/>
        <v>4167.3900000000003</v>
      </c>
    </row>
    <row r="123" spans="1:7">
      <c r="A123" s="164"/>
      <c r="B123" s="165" t="s">
        <v>991</v>
      </c>
      <c r="C123" s="165" t="s">
        <v>749</v>
      </c>
      <c r="D123" s="166">
        <v>43053.164955</v>
      </c>
      <c r="E123" s="167">
        <f t="shared" si="5"/>
        <v>2583.19</v>
      </c>
      <c r="F123" s="167">
        <f t="shared" si="5"/>
        <v>1291.5899999999999</v>
      </c>
      <c r="G123" s="168">
        <f t="shared" si="4"/>
        <v>3874.7799999999997</v>
      </c>
    </row>
    <row r="124" spans="1:7">
      <c r="A124" s="164"/>
      <c r="B124" s="165" t="s">
        <v>991</v>
      </c>
      <c r="C124" s="165" t="s">
        <v>749</v>
      </c>
      <c r="D124" s="166">
        <v>54449.326829268299</v>
      </c>
      <c r="E124" s="167">
        <f t="shared" si="5"/>
        <v>3266.96</v>
      </c>
      <c r="F124" s="167">
        <f t="shared" si="5"/>
        <v>1633.48</v>
      </c>
      <c r="G124" s="168">
        <f t="shared" si="4"/>
        <v>4900.4400000000005</v>
      </c>
    </row>
    <row r="125" spans="1:7">
      <c r="A125" s="164"/>
      <c r="B125" s="165" t="s">
        <v>991</v>
      </c>
      <c r="C125" s="165" t="s">
        <v>749</v>
      </c>
      <c r="D125" s="166">
        <v>42218.673170731709</v>
      </c>
      <c r="E125" s="167">
        <f t="shared" si="5"/>
        <v>2533.12</v>
      </c>
      <c r="F125" s="167">
        <f t="shared" si="5"/>
        <v>1266.56</v>
      </c>
      <c r="G125" s="168">
        <f t="shared" si="4"/>
        <v>3799.68</v>
      </c>
    </row>
    <row r="126" spans="1:7">
      <c r="A126" s="164"/>
      <c r="B126" s="165" t="s">
        <v>991</v>
      </c>
      <c r="C126" s="165" t="s">
        <v>749</v>
      </c>
      <c r="D126" s="166">
        <v>44043.580620000001</v>
      </c>
      <c r="E126" s="167">
        <f t="shared" si="5"/>
        <v>2642.61</v>
      </c>
      <c r="F126" s="167">
        <f t="shared" si="5"/>
        <v>1321.31</v>
      </c>
      <c r="G126" s="168">
        <f t="shared" si="4"/>
        <v>3963.92</v>
      </c>
    </row>
    <row r="127" spans="1:7">
      <c r="A127" s="164"/>
      <c r="B127" s="165" t="s">
        <v>991</v>
      </c>
      <c r="C127" s="165" t="s">
        <v>749</v>
      </c>
      <c r="D127" s="166">
        <v>42113.912195121957</v>
      </c>
      <c r="E127" s="167">
        <f t="shared" si="5"/>
        <v>2526.83</v>
      </c>
      <c r="F127" s="167">
        <f t="shared" si="5"/>
        <v>1263.42</v>
      </c>
      <c r="G127" s="168">
        <f t="shared" si="4"/>
        <v>3790.25</v>
      </c>
    </row>
    <row r="128" spans="1:7">
      <c r="A128" s="164"/>
      <c r="B128" s="165" t="s">
        <v>991</v>
      </c>
      <c r="C128" s="165" t="s">
        <v>749</v>
      </c>
      <c r="D128" s="166">
        <v>42218.673170731709</v>
      </c>
      <c r="E128" s="167">
        <f t="shared" si="5"/>
        <v>2533.12</v>
      </c>
      <c r="F128" s="167">
        <f t="shared" si="5"/>
        <v>1266.56</v>
      </c>
      <c r="G128" s="168">
        <f t="shared" si="4"/>
        <v>3799.68</v>
      </c>
    </row>
    <row r="129" spans="1:7">
      <c r="A129" s="164"/>
      <c r="B129" s="165" t="s">
        <v>991</v>
      </c>
      <c r="C129" s="165" t="s">
        <v>749</v>
      </c>
      <c r="D129" s="166">
        <v>43161.521951219511</v>
      </c>
      <c r="E129" s="167">
        <f t="shared" si="5"/>
        <v>2589.69</v>
      </c>
      <c r="F129" s="167">
        <f t="shared" si="5"/>
        <v>1294.8499999999999</v>
      </c>
      <c r="G129" s="168">
        <f t="shared" si="4"/>
        <v>3884.54</v>
      </c>
    </row>
    <row r="130" spans="1:7">
      <c r="A130" s="164"/>
      <c r="B130" s="165" t="s">
        <v>991</v>
      </c>
      <c r="C130" s="165" t="s">
        <v>749</v>
      </c>
      <c r="D130" s="166">
        <v>39562.015714999994</v>
      </c>
      <c r="E130" s="167">
        <f t="shared" si="5"/>
        <v>2373.7199999999998</v>
      </c>
      <c r="F130" s="167">
        <f t="shared" si="5"/>
        <v>1186.8599999999999</v>
      </c>
      <c r="G130" s="168">
        <f t="shared" si="4"/>
        <v>3560.58</v>
      </c>
    </row>
    <row r="131" spans="1:7">
      <c r="A131" s="164"/>
      <c r="B131" s="165" t="s">
        <v>991</v>
      </c>
      <c r="C131" s="165" t="s">
        <v>749</v>
      </c>
      <c r="D131" s="166">
        <v>42218.673170731709</v>
      </c>
      <c r="E131" s="167">
        <f t="shared" si="5"/>
        <v>2533.12</v>
      </c>
      <c r="F131" s="167">
        <f t="shared" si="5"/>
        <v>1266.56</v>
      </c>
      <c r="G131" s="168">
        <f t="shared" si="4"/>
        <v>3799.68</v>
      </c>
    </row>
    <row r="132" spans="1:7">
      <c r="A132" s="164"/>
      <c r="B132" s="165" t="s">
        <v>991</v>
      </c>
      <c r="C132" s="165" t="s">
        <v>749</v>
      </c>
      <c r="D132" s="166">
        <v>39562.015714999994</v>
      </c>
      <c r="E132" s="167">
        <f t="shared" si="5"/>
        <v>2373.7199999999998</v>
      </c>
      <c r="F132" s="167">
        <f t="shared" si="5"/>
        <v>1186.8599999999999</v>
      </c>
      <c r="G132" s="168">
        <f t="shared" si="4"/>
        <v>3560.58</v>
      </c>
    </row>
    <row r="133" spans="1:7">
      <c r="A133" s="164"/>
      <c r="B133" s="165" t="s">
        <v>991</v>
      </c>
      <c r="C133" s="165" t="s">
        <v>749</v>
      </c>
      <c r="D133" s="166">
        <v>55493.385365853661</v>
      </c>
      <c r="E133" s="167">
        <f t="shared" si="5"/>
        <v>3329.6</v>
      </c>
      <c r="F133" s="167">
        <f t="shared" si="5"/>
        <v>1664.8</v>
      </c>
      <c r="G133" s="168">
        <f t="shared" ref="G133:G143" si="6">+F133+E133</f>
        <v>4994.3999999999996</v>
      </c>
    </row>
    <row r="134" spans="1:7">
      <c r="A134" s="164"/>
      <c r="B134" s="165" t="s">
        <v>991</v>
      </c>
      <c r="C134" s="165" t="s">
        <v>749</v>
      </c>
      <c r="D134" s="166">
        <v>39562.015714999994</v>
      </c>
      <c r="E134" s="167">
        <f t="shared" si="5"/>
        <v>2373.7199999999998</v>
      </c>
      <c r="F134" s="167">
        <f t="shared" si="5"/>
        <v>1186.8599999999999</v>
      </c>
      <c r="G134" s="168">
        <f t="shared" si="6"/>
        <v>3560.58</v>
      </c>
    </row>
    <row r="135" spans="1:7">
      <c r="A135" s="164"/>
      <c r="B135" s="165" t="s">
        <v>991</v>
      </c>
      <c r="C135" s="165" t="s">
        <v>749</v>
      </c>
      <c r="D135" s="166">
        <v>44043.580620000001</v>
      </c>
      <c r="E135" s="167">
        <f t="shared" si="5"/>
        <v>2642.61</v>
      </c>
      <c r="F135" s="167">
        <f t="shared" si="5"/>
        <v>1321.31</v>
      </c>
      <c r="G135" s="168">
        <f t="shared" si="6"/>
        <v>3963.92</v>
      </c>
    </row>
    <row r="136" spans="1:7">
      <c r="A136" s="164"/>
      <c r="B136" s="165" t="s">
        <v>991</v>
      </c>
      <c r="C136" s="165" t="s">
        <v>749</v>
      </c>
      <c r="D136" s="166">
        <v>44043.580620000001</v>
      </c>
      <c r="E136" s="167">
        <f t="shared" si="5"/>
        <v>2642.61</v>
      </c>
      <c r="F136" s="167">
        <f t="shared" si="5"/>
        <v>1321.31</v>
      </c>
      <c r="G136" s="168">
        <f t="shared" si="6"/>
        <v>3963.92</v>
      </c>
    </row>
    <row r="137" spans="1:7">
      <c r="A137" s="164"/>
      <c r="B137" s="165" t="s">
        <v>991</v>
      </c>
      <c r="C137" s="165" t="s">
        <v>749</v>
      </c>
      <c r="D137" s="166">
        <v>39562.015714999994</v>
      </c>
      <c r="E137" s="167">
        <f t="shared" si="5"/>
        <v>2373.7199999999998</v>
      </c>
      <c r="F137" s="167">
        <f t="shared" si="5"/>
        <v>1186.8599999999999</v>
      </c>
      <c r="G137" s="168">
        <f t="shared" si="6"/>
        <v>3560.58</v>
      </c>
    </row>
    <row r="138" spans="1:7">
      <c r="A138" s="164"/>
      <c r="B138" s="165" t="s">
        <v>991</v>
      </c>
      <c r="C138" s="165" t="s">
        <v>749</v>
      </c>
      <c r="D138" s="166">
        <v>32475.902439024398</v>
      </c>
      <c r="E138" s="167">
        <f t="shared" si="5"/>
        <v>1948.55</v>
      </c>
      <c r="F138" s="167">
        <f t="shared" si="5"/>
        <v>974.28</v>
      </c>
      <c r="G138" s="168">
        <f t="shared" si="6"/>
        <v>2922.83</v>
      </c>
    </row>
    <row r="139" spans="1:7">
      <c r="A139" s="164"/>
      <c r="B139" s="165" t="s">
        <v>991</v>
      </c>
      <c r="C139" s="165" t="s">
        <v>749</v>
      </c>
      <c r="D139" s="166">
        <v>39562.015714999994</v>
      </c>
      <c r="E139" s="167">
        <f t="shared" si="5"/>
        <v>2373.7199999999998</v>
      </c>
      <c r="F139" s="167">
        <f t="shared" si="5"/>
        <v>1186.8599999999999</v>
      </c>
      <c r="G139" s="168">
        <f t="shared" si="6"/>
        <v>3560.58</v>
      </c>
    </row>
    <row r="140" spans="1:7">
      <c r="A140" s="164"/>
      <c r="B140" s="165" t="s">
        <v>991</v>
      </c>
      <c r="C140" s="165" t="s">
        <v>749</v>
      </c>
      <c r="D140" s="166">
        <v>38048.780487804885</v>
      </c>
      <c r="E140" s="167">
        <f t="shared" si="5"/>
        <v>2282.9299999999998</v>
      </c>
      <c r="F140" s="167">
        <f t="shared" si="5"/>
        <v>1141.46</v>
      </c>
      <c r="G140" s="168">
        <f t="shared" si="6"/>
        <v>3424.39</v>
      </c>
    </row>
    <row r="141" spans="1:7">
      <c r="A141" s="164"/>
      <c r="B141" s="165" t="s">
        <v>991</v>
      </c>
      <c r="C141" s="165" t="s">
        <v>749</v>
      </c>
      <c r="D141" s="166">
        <v>38048.780487804885</v>
      </c>
      <c r="E141" s="167">
        <f t="shared" si="5"/>
        <v>2282.9299999999998</v>
      </c>
      <c r="F141" s="167">
        <f t="shared" si="5"/>
        <v>1141.46</v>
      </c>
      <c r="G141" s="168">
        <f t="shared" si="6"/>
        <v>3424.39</v>
      </c>
    </row>
    <row r="142" spans="1:7">
      <c r="A142" s="164"/>
      <c r="B142" s="165" t="s">
        <v>991</v>
      </c>
      <c r="C142" s="165" t="s">
        <v>749</v>
      </c>
      <c r="D142" s="166">
        <v>34100</v>
      </c>
      <c r="E142" s="167">
        <f t="shared" si="5"/>
        <v>2046</v>
      </c>
      <c r="F142" s="167">
        <f t="shared" si="5"/>
        <v>1023</v>
      </c>
      <c r="G142" s="168">
        <f t="shared" si="6"/>
        <v>3069</v>
      </c>
    </row>
    <row r="143" spans="1:7" ht="17.25">
      <c r="A143" s="164"/>
      <c r="B143" s="165" t="s">
        <v>991</v>
      </c>
      <c r="C143" s="165" t="s">
        <v>749</v>
      </c>
      <c r="D143" s="166">
        <v>62500</v>
      </c>
      <c r="E143" s="169">
        <f t="shared" si="5"/>
        <v>3750</v>
      </c>
      <c r="F143" s="169">
        <f t="shared" si="5"/>
        <v>1875</v>
      </c>
      <c r="G143" s="170">
        <f t="shared" si="6"/>
        <v>5625</v>
      </c>
    </row>
    <row r="145" spans="1:7" ht="17.25">
      <c r="A145" s="162" t="s">
        <v>992</v>
      </c>
      <c r="E145" s="172">
        <f>SUM(E4:E144)</f>
        <v>476662.99999999971</v>
      </c>
      <c r="F145" s="172">
        <f>SUM(F4:F144)</f>
        <v>238331.48999999982</v>
      </c>
      <c r="G145" s="172">
        <f>SUM(G4:G144)</f>
        <v>714994.49000000022</v>
      </c>
    </row>
    <row r="147" spans="1:7">
      <c r="A147" s="162" t="s">
        <v>236</v>
      </c>
      <c r="G147" s="168">
        <f>+'PreTax Net Income'!Y56</f>
        <v>404796</v>
      </c>
    </row>
    <row r="149" spans="1:7">
      <c r="F149" s="162" t="s">
        <v>0</v>
      </c>
      <c r="G149" s="168">
        <f>+G145-G147</f>
        <v>310198.49000000022</v>
      </c>
    </row>
    <row r="150" spans="1:7">
      <c r="A150" s="162" t="s">
        <v>993</v>
      </c>
      <c r="B150" s="173" t="s">
        <v>994</v>
      </c>
      <c r="C150" s="173" t="s">
        <v>995</v>
      </c>
    </row>
    <row r="152" spans="1:7">
      <c r="A152" s="174" t="s">
        <v>996</v>
      </c>
      <c r="B152" s="175">
        <v>8214485.0499999998</v>
      </c>
      <c r="C152" s="175">
        <v>7178000</v>
      </c>
    </row>
    <row r="153" spans="1:7">
      <c r="A153" s="174"/>
      <c r="B153" s="175"/>
      <c r="C153" s="175"/>
    </row>
    <row r="154" spans="1:7">
      <c r="A154" s="174" t="s">
        <v>997</v>
      </c>
      <c r="B154" s="175">
        <v>427893.66</v>
      </c>
      <c r="C154" s="175">
        <v>412800</v>
      </c>
    </row>
    <row r="156" spans="1:7">
      <c r="A156" s="162" t="s">
        <v>998</v>
      </c>
      <c r="B156" s="176">
        <f>+B154/B152</f>
        <v>5.2090138017842028E-2</v>
      </c>
      <c r="C156" s="176">
        <f>+C154/C152</f>
        <v>5.7509055447199774E-2</v>
      </c>
    </row>
    <row r="159" spans="1:7">
      <c r="A159" s="177" t="s">
        <v>999</v>
      </c>
    </row>
    <row r="160" spans="1:7">
      <c r="A160" s="178" t="s">
        <v>1000</v>
      </c>
    </row>
    <row r="161" spans="1:1">
      <c r="A161" s="178"/>
    </row>
    <row r="162" spans="1:1">
      <c r="A162" s="178" t="s">
        <v>1001</v>
      </c>
    </row>
    <row r="163" spans="1:1">
      <c r="A163" s="177"/>
    </row>
    <row r="164" spans="1:1">
      <c r="A164" s="177" t="s">
        <v>1002</v>
      </c>
    </row>
    <row r="165" spans="1:1">
      <c r="A165" s="178" t="s">
        <v>1003</v>
      </c>
    </row>
    <row r="166" spans="1:1">
      <c r="A166" s="178"/>
    </row>
    <row r="167" spans="1:1">
      <c r="A167" s="178" t="s">
        <v>1004</v>
      </c>
    </row>
    <row r="168" spans="1:1">
      <c r="A168" s="177"/>
    </row>
  </sheetData>
  <pageMargins left="0.7" right="0.7" top="0.75" bottom="0.75" header="0.3" footer="0.3"/>
  <pageSetup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7"/>
  <sheetViews>
    <sheetView workbookViewId="0">
      <selection activeCell="Q9" sqref="Q9"/>
    </sheetView>
  </sheetViews>
  <sheetFormatPr defaultRowHeight="15"/>
  <cols>
    <col min="2" max="2" width="11.5703125" bestFit="1" customWidth="1"/>
    <col min="3" max="3" width="11.28515625" bestFit="1" customWidth="1"/>
    <col min="4" max="4" width="9.7109375" bestFit="1" customWidth="1"/>
    <col min="5" max="5" width="12.28515625" style="180" bestFit="1" customWidth="1"/>
    <col min="7" max="7" width="10.85546875" bestFit="1" customWidth="1"/>
    <col min="8" max="8" width="9.7109375" bestFit="1" customWidth="1"/>
    <col min="12" max="12" width="12" customWidth="1"/>
    <col min="14" max="14" width="11.28515625" bestFit="1" customWidth="1"/>
    <col min="16" max="16" width="9.7109375" bestFit="1" customWidth="1"/>
    <col min="18" max="18" width="11.28515625" bestFit="1" customWidth="1"/>
    <col min="20" max="20" width="9.7109375" bestFit="1" customWidth="1"/>
  </cols>
  <sheetData>
    <row r="1" spans="1:12">
      <c r="A1" s="153" t="s">
        <v>1005</v>
      </c>
      <c r="B1" s="179"/>
      <c r="C1" s="179"/>
      <c r="D1" s="179"/>
      <c r="F1" s="179"/>
      <c r="G1" s="179"/>
      <c r="H1" s="179"/>
      <c r="I1" s="179"/>
      <c r="J1" s="179"/>
      <c r="K1" s="179"/>
      <c r="L1" s="179"/>
    </row>
    <row r="2" spans="1:12">
      <c r="A2" s="153"/>
      <c r="B2" s="179"/>
      <c r="C2" s="179"/>
      <c r="D2" s="179"/>
      <c r="F2" s="179"/>
      <c r="G2" s="179"/>
      <c r="H2" s="179"/>
      <c r="I2" s="179"/>
      <c r="J2" s="179"/>
      <c r="K2" s="179"/>
      <c r="L2" s="179"/>
    </row>
    <row r="3" spans="1:12">
      <c r="A3" s="153" t="s">
        <v>1006</v>
      </c>
      <c r="B3" s="179"/>
      <c r="C3" s="179"/>
      <c r="D3" s="179"/>
      <c r="F3" s="179"/>
      <c r="G3" s="179"/>
      <c r="H3" s="179"/>
      <c r="I3" s="179"/>
      <c r="J3" s="179"/>
      <c r="K3" s="179"/>
      <c r="L3" s="179"/>
    </row>
    <row r="4" spans="1:12">
      <c r="A4" s="153"/>
      <c r="B4" s="179"/>
      <c r="C4" s="179"/>
      <c r="D4" s="179"/>
      <c r="F4" s="179"/>
      <c r="G4" s="179"/>
      <c r="H4" s="179"/>
      <c r="I4" s="179"/>
      <c r="J4" s="179"/>
      <c r="K4" s="179"/>
      <c r="L4" s="179"/>
    </row>
    <row r="5" spans="1:12">
      <c r="A5" s="153" t="s">
        <v>1007</v>
      </c>
      <c r="B5" s="179"/>
      <c r="C5" s="179"/>
      <c r="D5" s="179"/>
      <c r="F5" s="179"/>
      <c r="G5" s="179"/>
      <c r="H5" s="179"/>
      <c r="I5" s="179"/>
      <c r="J5" s="179"/>
      <c r="K5" s="179"/>
      <c r="L5" s="179"/>
    </row>
    <row r="6" spans="1:12">
      <c r="A6" s="154" t="s">
        <v>1008</v>
      </c>
      <c r="B6" s="179"/>
      <c r="C6" s="179"/>
      <c r="D6" s="179"/>
      <c r="F6" s="179"/>
      <c r="G6" s="179"/>
      <c r="H6" s="179"/>
      <c r="I6" s="179"/>
      <c r="J6" s="179"/>
      <c r="K6" s="179"/>
      <c r="L6" s="179"/>
    </row>
    <row r="7" spans="1:12">
      <c r="A7" s="154" t="s">
        <v>1009</v>
      </c>
      <c r="B7" s="179"/>
      <c r="C7" s="179"/>
      <c r="D7" s="179"/>
      <c r="F7" s="179"/>
      <c r="G7" s="179"/>
      <c r="H7" s="179"/>
      <c r="I7" s="179"/>
      <c r="J7" s="179"/>
      <c r="K7" s="179"/>
      <c r="L7" s="179"/>
    </row>
    <row r="8" spans="1:12">
      <c r="A8" s="154" t="s">
        <v>1010</v>
      </c>
      <c r="B8" s="179"/>
      <c r="C8" s="179"/>
      <c r="D8" s="179"/>
      <c r="F8" s="179"/>
      <c r="G8" s="179"/>
      <c r="H8" s="179"/>
      <c r="I8" s="179"/>
      <c r="J8" s="179"/>
      <c r="K8" s="179"/>
      <c r="L8" s="179"/>
    </row>
    <row r="9" spans="1:12" ht="55.5" customHeight="1">
      <c r="A9" s="548" t="s">
        <v>1011</v>
      </c>
      <c r="B9" s="548"/>
      <c r="C9" s="548"/>
      <c r="D9" s="548"/>
      <c r="E9" s="548"/>
      <c r="F9" s="548"/>
      <c r="G9" s="548"/>
      <c r="H9" s="548"/>
      <c r="I9" s="548"/>
      <c r="J9" s="548"/>
      <c r="K9" s="548"/>
      <c r="L9" s="548"/>
    </row>
    <row r="10" spans="1:12">
      <c r="A10" s="153"/>
      <c r="B10" s="179"/>
      <c r="C10" s="179"/>
      <c r="D10" s="179"/>
      <c r="F10" s="179"/>
      <c r="G10" s="179"/>
      <c r="H10" s="179"/>
      <c r="I10" s="179"/>
      <c r="J10" s="179"/>
      <c r="K10" s="179"/>
      <c r="L10" s="179"/>
    </row>
    <row r="11" spans="1:12" ht="55.5" customHeight="1">
      <c r="A11" s="549" t="s">
        <v>1012</v>
      </c>
      <c r="B11" s="549"/>
      <c r="C11" s="549"/>
      <c r="D11" s="549"/>
      <c r="E11" s="549"/>
      <c r="F11" s="549"/>
      <c r="G11" s="549"/>
      <c r="H11" s="549"/>
      <c r="I11" s="549"/>
      <c r="J11" s="549"/>
      <c r="K11" s="549"/>
      <c r="L11" s="549"/>
    </row>
    <row r="12" spans="1:12">
      <c r="A12" s="153"/>
      <c r="B12" s="179"/>
      <c r="C12" s="179"/>
      <c r="D12" s="179"/>
      <c r="F12" s="179"/>
      <c r="G12" s="179"/>
      <c r="H12" s="179"/>
      <c r="I12" s="179"/>
      <c r="J12" s="179"/>
      <c r="K12" s="179"/>
      <c r="L12" s="179"/>
    </row>
    <row r="13" spans="1:12" ht="63.75" customHeight="1">
      <c r="A13" s="549" t="s">
        <v>1013</v>
      </c>
      <c r="B13" s="549"/>
      <c r="C13" s="549"/>
      <c r="D13" s="549"/>
      <c r="E13" s="549"/>
      <c r="F13" s="549"/>
      <c r="G13" s="549"/>
      <c r="H13" s="549"/>
      <c r="I13" s="549"/>
      <c r="J13" s="549"/>
      <c r="K13" s="549"/>
      <c r="L13" s="549"/>
    </row>
    <row r="14" spans="1:12">
      <c r="A14" s="153"/>
      <c r="B14" s="179"/>
      <c r="C14" s="179"/>
      <c r="D14" s="179"/>
      <c r="F14" s="179"/>
      <c r="G14" s="179"/>
      <c r="H14" s="179"/>
      <c r="I14" s="179"/>
      <c r="J14" s="179"/>
      <c r="K14" s="179"/>
      <c r="L14" s="179"/>
    </row>
    <row r="15" spans="1:12">
      <c r="A15" s="153" t="s">
        <v>1014</v>
      </c>
      <c r="B15" s="179"/>
      <c r="C15" s="179"/>
      <c r="D15" s="179"/>
      <c r="F15" s="179"/>
      <c r="G15" s="179"/>
      <c r="H15" s="179"/>
      <c r="I15" s="179"/>
      <c r="J15" s="179"/>
      <c r="K15" s="179"/>
      <c r="L15" s="179"/>
    </row>
    <row r="16" spans="1:12">
      <c r="A16" s="155"/>
      <c r="B16" s="179"/>
      <c r="C16" s="179"/>
      <c r="D16" s="179"/>
      <c r="F16" s="179"/>
      <c r="G16" s="179"/>
      <c r="H16" s="179"/>
      <c r="I16" s="179"/>
      <c r="J16" s="179"/>
      <c r="K16" s="179"/>
      <c r="L16" s="179"/>
    </row>
    <row r="17" spans="1:12">
      <c r="A17" s="156" t="s">
        <v>1015</v>
      </c>
      <c r="B17" s="179"/>
      <c r="C17" s="179"/>
      <c r="D17" s="179"/>
      <c r="F17" s="179"/>
      <c r="G17" s="179"/>
      <c r="H17" s="179"/>
      <c r="I17" s="179"/>
      <c r="J17" s="179"/>
      <c r="K17" s="179"/>
      <c r="L17" s="179"/>
    </row>
    <row r="18" spans="1:12">
      <c r="A18" s="157" t="s">
        <v>1016</v>
      </c>
      <c r="B18" s="179"/>
      <c r="C18" s="179"/>
      <c r="D18" s="179"/>
      <c r="F18" s="179"/>
      <c r="G18" s="179"/>
      <c r="H18" s="179"/>
      <c r="I18" s="179"/>
      <c r="J18" s="179"/>
      <c r="K18" s="179"/>
      <c r="L18" s="179"/>
    </row>
    <row r="19" spans="1:12">
      <c r="A19" s="156" t="s">
        <v>1017</v>
      </c>
      <c r="B19" s="179"/>
      <c r="C19" s="179"/>
      <c r="D19" s="179"/>
      <c r="F19" s="179"/>
      <c r="G19" s="179"/>
      <c r="H19" s="179"/>
      <c r="I19" s="179"/>
      <c r="J19" s="179"/>
      <c r="K19" s="179"/>
      <c r="L19" s="179"/>
    </row>
    <row r="20" spans="1:12">
      <c r="A20" s="157" t="s">
        <v>1018</v>
      </c>
      <c r="B20" s="179"/>
      <c r="C20" s="179"/>
      <c r="D20" s="179"/>
      <c r="F20" s="179"/>
      <c r="G20" s="179"/>
      <c r="H20" s="179"/>
      <c r="I20" s="179"/>
      <c r="J20" s="179"/>
      <c r="K20" s="179"/>
      <c r="L20" s="179"/>
    </row>
    <row r="21" spans="1:12">
      <c r="A21" s="157" t="s">
        <v>1019</v>
      </c>
      <c r="B21" s="179"/>
      <c r="C21" s="179"/>
      <c r="D21" s="179"/>
      <c r="F21" s="179"/>
      <c r="G21" s="179"/>
      <c r="H21" s="179"/>
      <c r="I21" s="179"/>
      <c r="J21" s="179"/>
      <c r="K21" s="179"/>
      <c r="L21" s="179"/>
    </row>
    <row r="22" spans="1:12">
      <c r="A22" s="158" t="s">
        <v>1020</v>
      </c>
      <c r="B22" s="179"/>
      <c r="C22" s="179"/>
      <c r="D22" s="179"/>
      <c r="F22" s="179"/>
      <c r="G22" s="179"/>
      <c r="H22" s="179"/>
      <c r="I22" s="179"/>
      <c r="J22" s="179"/>
      <c r="K22" s="179"/>
      <c r="L22" s="179"/>
    </row>
    <row r="23" spans="1:12">
      <c r="A23" s="158" t="s">
        <v>1021</v>
      </c>
      <c r="B23" s="179"/>
      <c r="C23" s="179"/>
      <c r="D23" s="179"/>
      <c r="F23" s="179"/>
      <c r="G23" s="179"/>
      <c r="H23" s="179"/>
      <c r="I23" s="179"/>
      <c r="J23" s="179"/>
      <c r="K23" s="179"/>
      <c r="L23" s="179"/>
    </row>
    <row r="24" spans="1:12" ht="38.25" customHeight="1">
      <c r="A24" s="550" t="s">
        <v>1022</v>
      </c>
      <c r="B24" s="550"/>
      <c r="C24" s="550"/>
      <c r="D24" s="550"/>
      <c r="E24" s="550"/>
      <c r="F24" s="550"/>
      <c r="G24" s="550"/>
      <c r="H24" s="550"/>
      <c r="I24" s="550"/>
      <c r="J24" s="550"/>
      <c r="K24" s="550"/>
      <c r="L24" s="550"/>
    </row>
    <row r="28" spans="1:12">
      <c r="A28" s="179" t="s">
        <v>1023</v>
      </c>
      <c r="B28" s="179"/>
      <c r="C28" s="179"/>
      <c r="D28" s="179"/>
      <c r="E28" s="180">
        <f>+'PreTax Net Income'!Y55</f>
        <v>418734</v>
      </c>
      <c r="F28" s="179"/>
      <c r="G28" s="179"/>
      <c r="H28" s="179"/>
      <c r="I28" s="179"/>
      <c r="J28" s="179"/>
      <c r="K28" s="179"/>
      <c r="L28" s="179"/>
    </row>
    <row r="30" spans="1:12">
      <c r="A30" s="179" t="s">
        <v>1024</v>
      </c>
      <c r="B30" s="179"/>
      <c r="C30" s="179"/>
      <c r="D30" s="179"/>
      <c r="E30" s="180">
        <v>-880000</v>
      </c>
      <c r="F30" s="179"/>
      <c r="G30" s="179"/>
      <c r="H30" s="179"/>
      <c r="I30" s="179"/>
      <c r="J30" s="179"/>
      <c r="K30" s="179"/>
      <c r="L30" s="179"/>
    </row>
    <row r="32" spans="1:12">
      <c r="A32" s="179" t="s">
        <v>0</v>
      </c>
      <c r="B32" s="179"/>
      <c r="C32" s="179"/>
      <c r="D32" s="179"/>
      <c r="E32" s="180">
        <f>+E30-E28</f>
        <v>-1298734</v>
      </c>
      <c r="F32" s="179"/>
      <c r="G32" s="179"/>
      <c r="H32" s="179"/>
      <c r="I32" s="179"/>
      <c r="J32" s="179"/>
      <c r="K32" s="179"/>
      <c r="L32" s="179"/>
    </row>
    <row r="34" spans="1:5">
      <c r="A34" s="179" t="s">
        <v>1025</v>
      </c>
      <c r="B34" s="179"/>
      <c r="C34" s="179"/>
      <c r="D34" s="179"/>
      <c r="E34" s="180">
        <f>+G101</f>
        <v>-490295.35</v>
      </c>
    </row>
    <row r="36" spans="1:5">
      <c r="A36" s="179" t="s">
        <v>1026</v>
      </c>
      <c r="B36" s="179"/>
      <c r="C36" s="179"/>
      <c r="D36" s="179"/>
      <c r="E36" s="180">
        <f>+E32-E34</f>
        <v>-808438.65</v>
      </c>
    </row>
    <row r="37" spans="1:5" s="179" customFormat="1">
      <c r="A37" s="179" t="s">
        <v>1027</v>
      </c>
      <c r="E37" s="180">
        <v>-808529</v>
      </c>
    </row>
    <row r="38" spans="1:5" s="179" customFormat="1">
      <c r="E38" s="180"/>
    </row>
    <row r="39" spans="1:5">
      <c r="A39" s="179"/>
      <c r="B39" s="179"/>
      <c r="C39" s="179"/>
      <c r="D39" s="179"/>
    </row>
    <row r="40" spans="1:5">
      <c r="A40" s="179"/>
      <c r="B40" s="179"/>
      <c r="C40" s="179"/>
      <c r="D40" s="179"/>
    </row>
    <row r="97" spans="1:19">
      <c r="A97" s="193"/>
      <c r="B97" s="394">
        <v>1300</v>
      </c>
      <c r="C97" s="395" t="s">
        <v>1028</v>
      </c>
      <c r="D97" s="396"/>
      <c r="E97" s="397"/>
      <c r="F97" s="396"/>
      <c r="G97" s="398">
        <v>-5040.5</v>
      </c>
      <c r="H97" s="179"/>
      <c r="I97" s="179"/>
    </row>
    <row r="98" spans="1:19">
      <c r="A98" s="193"/>
      <c r="B98" s="394">
        <v>1600</v>
      </c>
      <c r="C98" s="395" t="s">
        <v>1028</v>
      </c>
      <c r="D98" s="396"/>
      <c r="E98" s="397"/>
      <c r="F98" s="396"/>
      <c r="G98" s="398">
        <v>-487838.5</v>
      </c>
      <c r="H98" s="179"/>
      <c r="I98" s="179" t="s">
        <v>1029</v>
      </c>
    </row>
    <row r="99" spans="1:19">
      <c r="A99" s="193"/>
      <c r="B99" s="394">
        <v>1300</v>
      </c>
      <c r="C99" s="395" t="s">
        <v>1030</v>
      </c>
      <c r="D99" s="396"/>
      <c r="E99" s="397"/>
      <c r="F99" s="396"/>
      <c r="G99" s="398">
        <v>2583.65</v>
      </c>
      <c r="H99" s="179"/>
      <c r="I99" s="179"/>
    </row>
    <row r="100" spans="1:19">
      <c r="M100">
        <v>504670</v>
      </c>
      <c r="P100">
        <f>+O100+N100+M100</f>
        <v>504670</v>
      </c>
    </row>
    <row r="101" spans="1:19" ht="15.75" thickBot="1">
      <c r="A101" s="179"/>
      <c r="B101" s="179"/>
      <c r="C101" s="179"/>
      <c r="D101" s="179"/>
      <c r="F101" s="179"/>
      <c r="G101" s="393">
        <f>SUM(G97:G100)</f>
        <v>-490295.35</v>
      </c>
      <c r="H101" s="179"/>
      <c r="I101" s="179"/>
      <c r="M101">
        <v>-1724</v>
      </c>
      <c r="P101" s="179">
        <f t="shared" ref="P101:P106" si="0">+O101+N101+M101</f>
        <v>-1724</v>
      </c>
    </row>
    <row r="102" spans="1:19">
      <c r="M102">
        <v>-490369</v>
      </c>
      <c r="O102" s="526">
        <v>490369</v>
      </c>
      <c r="P102" s="527">
        <f t="shared" si="0"/>
        <v>0</v>
      </c>
      <c r="Q102" t="s">
        <v>1038</v>
      </c>
      <c r="R102">
        <f>SUM(O102:P106)</f>
        <v>-389704</v>
      </c>
      <c r="S102" t="s">
        <v>1039</v>
      </c>
    </row>
    <row r="103" spans="1:19">
      <c r="A103" s="179"/>
      <c r="B103" s="179"/>
      <c r="C103" s="179"/>
      <c r="D103" s="179"/>
      <c r="F103" s="179"/>
      <c r="G103" s="393">
        <f>+H96-G98</f>
        <v>487838.5</v>
      </c>
      <c r="H103" s="179"/>
      <c r="I103" s="179"/>
      <c r="M103">
        <v>-2511</v>
      </c>
      <c r="O103" s="528">
        <v>2511</v>
      </c>
      <c r="P103" s="529">
        <f t="shared" si="0"/>
        <v>0</v>
      </c>
    </row>
    <row r="104" spans="1:19">
      <c r="M104">
        <v>2584</v>
      </c>
      <c r="O104" s="528">
        <v>-2584</v>
      </c>
      <c r="P104" s="529">
        <f t="shared" si="0"/>
        <v>0</v>
      </c>
    </row>
    <row r="105" spans="1:19">
      <c r="M105">
        <v>425808</v>
      </c>
      <c r="N105">
        <v>-1298734</v>
      </c>
      <c r="O105" s="528"/>
      <c r="P105" s="529">
        <f>+O105+N105+M105</f>
        <v>-872926</v>
      </c>
    </row>
    <row r="106" spans="1:19" ht="15.75" thickBot="1">
      <c r="A106" s="180"/>
      <c r="B106" s="180"/>
      <c r="C106" s="180"/>
      <c r="D106" s="180"/>
      <c r="F106" s="180"/>
      <c r="G106" s="180"/>
      <c r="H106" s="180"/>
      <c r="I106" s="180"/>
      <c r="J106" s="180"/>
      <c r="K106" s="180"/>
      <c r="L106" s="180"/>
      <c r="M106" s="180">
        <v>-7074</v>
      </c>
      <c r="N106" s="180"/>
      <c r="O106" s="530"/>
      <c r="P106" s="531">
        <f t="shared" si="0"/>
        <v>-7074</v>
      </c>
    </row>
    <row r="107" spans="1:19">
      <c r="A107" s="180"/>
      <c r="B107" s="180">
        <v>425808</v>
      </c>
      <c r="C107" s="180"/>
      <c r="D107" s="180"/>
      <c r="F107" s="180"/>
      <c r="G107" s="180"/>
      <c r="H107" s="180"/>
      <c r="I107" s="180"/>
      <c r="J107" s="180"/>
      <c r="K107" s="180"/>
      <c r="L107" s="180"/>
      <c r="M107" s="180">
        <f>SUM(M100:M106)</f>
        <v>431384</v>
      </c>
      <c r="N107" s="180">
        <f t="shared" ref="N107:P107" si="1">SUM(N100:N106)</f>
        <v>-1298734</v>
      </c>
      <c r="O107" s="180">
        <f t="shared" si="1"/>
        <v>490296</v>
      </c>
      <c r="P107" s="180">
        <f t="shared" si="1"/>
        <v>-377054</v>
      </c>
    </row>
    <row r="108" spans="1:19">
      <c r="A108" s="180"/>
      <c r="B108" s="180">
        <v>-7074</v>
      </c>
      <c r="C108" s="180" t="s">
        <v>1035</v>
      </c>
      <c r="D108" s="180" t="s">
        <v>1036</v>
      </c>
      <c r="E108" s="180" t="s">
        <v>1037</v>
      </c>
      <c r="F108" s="180"/>
      <c r="G108" s="180"/>
      <c r="H108" s="180" t="s">
        <v>1034</v>
      </c>
      <c r="I108" s="180"/>
      <c r="J108" s="180"/>
      <c r="K108" s="180"/>
      <c r="L108" s="180"/>
      <c r="M108" s="180"/>
      <c r="N108" s="180"/>
      <c r="P108" s="179"/>
    </row>
    <row r="109" spans="1:19">
      <c r="A109" s="180"/>
      <c r="B109" s="180">
        <f>SUM(B107:B108)</f>
        <v>418734</v>
      </c>
      <c r="C109" s="180">
        <v>-1298734</v>
      </c>
      <c r="D109" s="180">
        <f>+C109+B109</f>
        <v>-880000</v>
      </c>
      <c r="E109" s="180">
        <v>490369</v>
      </c>
      <c r="F109" s="180">
        <v>2511</v>
      </c>
      <c r="G109" s="180">
        <v>-2584</v>
      </c>
      <c r="H109" s="180">
        <f>SUM(D109:G109)</f>
        <v>-389704</v>
      </c>
      <c r="I109" s="180"/>
      <c r="J109" s="180"/>
      <c r="K109" s="180"/>
      <c r="L109" s="180" t="s">
        <v>206</v>
      </c>
      <c r="M109" s="180">
        <f>+M100+M102+M105</f>
        <v>440109</v>
      </c>
      <c r="N109" s="180">
        <f t="shared" ref="N109:O109" si="2">+N100+N102+N105</f>
        <v>-1298734</v>
      </c>
      <c r="O109" s="180">
        <f t="shared" si="2"/>
        <v>490369</v>
      </c>
      <c r="P109" s="180">
        <f t="shared" ref="P109" si="3">+P100+P102+P105</f>
        <v>-368256</v>
      </c>
    </row>
    <row r="110" spans="1:19">
      <c r="A110" s="180"/>
      <c r="B110" s="180"/>
      <c r="C110" s="180"/>
      <c r="D110" s="180"/>
      <c r="F110" s="180"/>
      <c r="G110" s="180"/>
      <c r="H110" s="180"/>
      <c r="I110" s="180"/>
      <c r="J110" s="180"/>
      <c r="K110" s="180"/>
      <c r="L110" s="180" t="s">
        <v>207</v>
      </c>
      <c r="M110" s="180">
        <f>+M106+M104+M103+M101</f>
        <v>-8725</v>
      </c>
      <c r="N110" s="180">
        <f t="shared" ref="N110:O110" si="4">+N106+N104+N103+N101</f>
        <v>0</v>
      </c>
      <c r="O110" s="180">
        <f t="shared" si="4"/>
        <v>-73</v>
      </c>
      <c r="P110" s="180">
        <f t="shared" ref="P110" si="5">+P106+P104+P103+P101</f>
        <v>-8798</v>
      </c>
    </row>
    <row r="111" spans="1:19">
      <c r="A111" s="180"/>
      <c r="B111" s="180"/>
      <c r="C111" s="180"/>
      <c r="D111" s="180"/>
      <c r="F111" s="180"/>
      <c r="G111" s="180"/>
      <c r="H111" s="180"/>
      <c r="I111" s="180"/>
      <c r="J111" s="180"/>
      <c r="K111" s="180"/>
      <c r="L111" s="180"/>
      <c r="M111" s="180">
        <f>SUM(M109:M110)</f>
        <v>431384</v>
      </c>
      <c r="N111" s="180">
        <f t="shared" ref="N111:P111" si="6">SUM(N109:N110)</f>
        <v>-1298734</v>
      </c>
      <c r="O111" s="180">
        <f t="shared" si="6"/>
        <v>490296</v>
      </c>
      <c r="P111" s="180">
        <f t="shared" si="6"/>
        <v>-377054</v>
      </c>
    </row>
    <row r="112" spans="1:19">
      <c r="A112" s="180"/>
      <c r="B112" s="180"/>
      <c r="C112" s="180"/>
      <c r="D112" s="180"/>
      <c r="F112" s="180"/>
      <c r="G112" s="180"/>
      <c r="H112" s="180"/>
      <c r="I112" s="180"/>
      <c r="J112" s="180"/>
      <c r="K112" s="180"/>
      <c r="L112" s="180"/>
      <c r="M112" s="180"/>
      <c r="N112" s="180"/>
    </row>
    <row r="113" spans="1:20">
      <c r="A113" s="180"/>
      <c r="B113" s="180"/>
      <c r="C113" s="180"/>
      <c r="D113" s="180"/>
      <c r="F113" s="180"/>
      <c r="G113" s="180"/>
      <c r="H113" s="180"/>
      <c r="I113" s="180"/>
      <c r="J113" s="180"/>
      <c r="K113" s="180"/>
      <c r="L113" s="180"/>
      <c r="M113" s="180"/>
      <c r="N113" s="180"/>
    </row>
    <row r="114" spans="1:20">
      <c r="M114" t="s">
        <v>1040</v>
      </c>
      <c r="P114" s="183"/>
    </row>
    <row r="115" spans="1:20">
      <c r="M115" s="183"/>
      <c r="P115" s="183"/>
    </row>
    <row r="116" spans="1:20">
      <c r="L116" s="179"/>
      <c r="M116" s="179">
        <v>504670</v>
      </c>
      <c r="O116">
        <f>-M116</f>
        <v>-504670</v>
      </c>
      <c r="P116">
        <f>SUM(M116:O116)</f>
        <v>0</v>
      </c>
      <c r="R116" s="183"/>
    </row>
    <row r="117" spans="1:20">
      <c r="L117" s="179"/>
      <c r="M117" s="179">
        <v>-1724</v>
      </c>
      <c r="P117" s="179">
        <f t="shared" ref="P117:P127" si="7">SUM(M117:O117)</f>
        <v>-1724</v>
      </c>
    </row>
    <row r="118" spans="1:20">
      <c r="L118" s="179"/>
      <c r="M118" s="179">
        <v>-490369</v>
      </c>
      <c r="O118">
        <f>-M118</f>
        <v>490369</v>
      </c>
      <c r="P118" s="179">
        <f t="shared" si="7"/>
        <v>0</v>
      </c>
    </row>
    <row r="119" spans="1:20">
      <c r="L119" s="179"/>
      <c r="M119" s="179">
        <v>-2511</v>
      </c>
      <c r="P119" s="179">
        <f t="shared" si="7"/>
        <v>-2511</v>
      </c>
    </row>
    <row r="120" spans="1:20">
      <c r="L120" s="179"/>
      <c r="M120" s="179">
        <v>2584</v>
      </c>
      <c r="P120" s="179">
        <f t="shared" si="7"/>
        <v>2584</v>
      </c>
    </row>
    <row r="121" spans="1:20">
      <c r="L121" s="179"/>
      <c r="M121" s="179">
        <v>425808</v>
      </c>
      <c r="N121">
        <f>-425808-880000</f>
        <v>-1305808</v>
      </c>
      <c r="P121" s="179">
        <f t="shared" si="7"/>
        <v>-880000</v>
      </c>
    </row>
    <row r="122" spans="1:20">
      <c r="L122" s="180"/>
      <c r="M122" s="180">
        <v>-7074</v>
      </c>
      <c r="P122" s="179">
        <f t="shared" si="7"/>
        <v>-7074</v>
      </c>
    </row>
    <row r="123" spans="1:20">
      <c r="L123" s="180"/>
      <c r="M123" s="180">
        <f>SUM(M116:M122)</f>
        <v>431384</v>
      </c>
      <c r="N123" s="180">
        <f>SUM(N116:N122)</f>
        <v>-1305808</v>
      </c>
      <c r="O123" s="180">
        <f>SUM(O116:O122)</f>
        <v>-14301</v>
      </c>
      <c r="P123" s="179">
        <f t="shared" si="7"/>
        <v>-888725</v>
      </c>
    </row>
    <row r="124" spans="1:20">
      <c r="L124" s="180"/>
      <c r="M124" s="180"/>
      <c r="P124" s="179">
        <f t="shared" si="7"/>
        <v>0</v>
      </c>
    </row>
    <row r="125" spans="1:20">
      <c r="L125" s="180" t="s">
        <v>206</v>
      </c>
      <c r="M125" s="180">
        <f>+M116+M118+M121</f>
        <v>440109</v>
      </c>
      <c r="N125" s="180">
        <f>+N116+N118+N121</f>
        <v>-1305808</v>
      </c>
      <c r="O125" s="180">
        <f>+O116+O118+O121</f>
        <v>-14301</v>
      </c>
      <c r="P125" s="179">
        <f t="shared" si="7"/>
        <v>-880000</v>
      </c>
      <c r="R125" s="183">
        <f>+N125+O125</f>
        <v>-1320109</v>
      </c>
      <c r="S125">
        <v>-808439</v>
      </c>
      <c r="T125" s="183">
        <f>+R125-S125</f>
        <v>-511670</v>
      </c>
    </row>
    <row r="126" spans="1:20">
      <c r="L126" s="180" t="s">
        <v>207</v>
      </c>
      <c r="M126" s="180">
        <f>+M122+M120+M119+M117</f>
        <v>-8725</v>
      </c>
      <c r="N126" s="180">
        <f>+N122+N120+N119+N117</f>
        <v>0</v>
      </c>
      <c r="O126" s="180">
        <f>+O122+O120+O119+O117</f>
        <v>0</v>
      </c>
      <c r="P126" s="179">
        <f t="shared" si="7"/>
        <v>-8725</v>
      </c>
    </row>
    <row r="127" spans="1:20">
      <c r="L127" s="180"/>
      <c r="M127" s="180">
        <f>SUM(M125:M126)</f>
        <v>431384</v>
      </c>
      <c r="N127" s="180">
        <f>SUM(N125:N126)</f>
        <v>-1305808</v>
      </c>
      <c r="O127" s="180">
        <f>SUM(O125:O126)</f>
        <v>-14301</v>
      </c>
      <c r="P127" s="179">
        <f t="shared" si="7"/>
        <v>-888725</v>
      </c>
    </row>
  </sheetData>
  <mergeCells count="4">
    <mergeCell ref="A9:L9"/>
    <mergeCell ref="A11:L11"/>
    <mergeCell ref="A13:L13"/>
    <mergeCell ref="A24:L24"/>
  </mergeCells>
  <hyperlinks>
    <hyperlink ref="A22" r:id="rId1" display="mailto:Jason.rohrer@willistowerswatson.com"/>
    <hyperlink ref="A23" r:id="rId2" display="http://willistowerswatson.com/"/>
  </hyperlinks>
  <pageMargins left="0.7" right="0.7" top="0.75" bottom="0.75" header="0.3" footer="0.3"/>
  <pageSetup scale="45"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tabSelected="1" workbookViewId="0">
      <pane xSplit="3" ySplit="6" topLeftCell="D7" activePane="bottomRight" state="frozen"/>
      <selection pane="topRight" activeCell="D1" sqref="D1"/>
      <selection pane="bottomLeft" activeCell="A5" sqref="A5"/>
      <selection pane="bottomRight" activeCell="S19" sqref="S19"/>
    </sheetView>
  </sheetViews>
  <sheetFormatPr defaultColWidth="9.140625" defaultRowHeight="15"/>
  <cols>
    <col min="1" max="1" width="2.42578125" style="3" customWidth="1"/>
    <col min="2" max="2" width="25.7109375" style="3" customWidth="1"/>
    <col min="3" max="3" width="2.28515625" style="3" customWidth="1"/>
    <col min="4" max="5" width="12.28515625" style="8" hidden="1" customWidth="1"/>
    <col min="6" max="6" width="15" style="3" bestFit="1" customWidth="1"/>
    <col min="7" max="7" width="9.7109375" style="8" bestFit="1" customWidth="1"/>
    <col min="8" max="8" width="10.5703125" style="8" bestFit="1" customWidth="1"/>
    <col min="9" max="9" width="12.140625" style="8" customWidth="1"/>
    <col min="10" max="10" width="10.5703125" style="8" bestFit="1" customWidth="1"/>
    <col min="11" max="11" width="11.28515625" style="8" bestFit="1" customWidth="1"/>
    <col min="12" max="12" width="9.7109375" style="8" bestFit="1" customWidth="1"/>
    <col min="13" max="13" width="11.42578125" style="8" bestFit="1" customWidth="1"/>
    <col min="14" max="14" width="11.7109375" style="8" customWidth="1"/>
    <col min="15" max="15" width="10" style="8" bestFit="1" customWidth="1"/>
    <col min="16" max="16" width="12.28515625" style="8" customWidth="1"/>
    <col min="17" max="17" width="13.42578125" style="3" bestFit="1" customWidth="1"/>
    <col min="18" max="18" width="12.28515625" style="8" bestFit="1" customWidth="1"/>
    <col min="19" max="19" width="10.140625" style="8" bestFit="1" customWidth="1"/>
    <col min="20" max="16384" width="9.140625" style="8"/>
  </cols>
  <sheetData>
    <row r="1" spans="1:22">
      <c r="I1" s="476"/>
      <c r="J1" s="476"/>
      <c r="K1" s="477" t="s">
        <v>32</v>
      </c>
      <c r="L1" s="478"/>
      <c r="M1" s="478"/>
      <c r="N1" s="510" t="s">
        <v>163</v>
      </c>
      <c r="O1" s="510"/>
      <c r="Q1" s="8"/>
      <c r="V1" s="510" t="s">
        <v>164</v>
      </c>
    </row>
    <row r="2" spans="1:22">
      <c r="G2" s="407"/>
      <c r="I2" s="476"/>
      <c r="J2" s="476"/>
      <c r="K2" s="477" t="s">
        <v>34</v>
      </c>
      <c r="L2" s="478"/>
      <c r="M2" s="478"/>
      <c r="N2" s="510" t="s">
        <v>165</v>
      </c>
      <c r="O2" s="510"/>
      <c r="Q2" s="8"/>
    </row>
    <row r="3" spans="1:22">
      <c r="I3" s="476"/>
      <c r="J3" s="476"/>
      <c r="K3" s="477" t="s">
        <v>166</v>
      </c>
      <c r="L3" s="478"/>
      <c r="M3" s="478"/>
      <c r="Q3" s="8"/>
    </row>
    <row r="4" spans="1:22">
      <c r="I4" s="476"/>
      <c r="J4" s="476"/>
      <c r="K4" s="477" t="s">
        <v>167</v>
      </c>
      <c r="L4" s="478"/>
      <c r="M4" s="478"/>
    </row>
    <row r="6" spans="1:22">
      <c r="A6" s="479"/>
      <c r="B6" s="479"/>
      <c r="C6" s="479"/>
      <c r="D6" s="407"/>
      <c r="E6" s="407"/>
      <c r="F6" s="479"/>
      <c r="G6" s="511" t="s">
        <v>168</v>
      </c>
      <c r="H6" s="511" t="s">
        <v>169</v>
      </c>
      <c r="I6" s="511" t="s">
        <v>170</v>
      </c>
      <c r="J6" s="511" t="s">
        <v>171</v>
      </c>
      <c r="K6" s="511" t="s">
        <v>172</v>
      </c>
      <c r="L6" s="511" t="s">
        <v>173</v>
      </c>
      <c r="M6" s="511" t="s">
        <v>174</v>
      </c>
      <c r="N6" s="511" t="s">
        <v>175</v>
      </c>
      <c r="O6" s="511" t="s">
        <v>176</v>
      </c>
      <c r="P6" s="407"/>
      <c r="Q6" s="479"/>
    </row>
    <row r="7" spans="1:22" s="12" customFormat="1" ht="51.75">
      <c r="A7" s="480"/>
      <c r="B7" s="480"/>
      <c r="C7" s="480"/>
      <c r="D7" s="441" t="s">
        <v>177</v>
      </c>
      <c r="E7" s="441" t="s">
        <v>178</v>
      </c>
      <c r="F7" s="481" t="s">
        <v>179</v>
      </c>
      <c r="G7" s="441" t="s">
        <v>1</v>
      </c>
      <c r="H7" s="441" t="s">
        <v>180</v>
      </c>
      <c r="I7" s="441" t="s">
        <v>181</v>
      </c>
      <c r="J7" s="441" t="s">
        <v>182</v>
      </c>
      <c r="K7" s="441" t="s">
        <v>183</v>
      </c>
      <c r="L7" s="441" t="s">
        <v>65</v>
      </c>
      <c r="M7" s="441" t="s">
        <v>184</v>
      </c>
      <c r="N7" s="441" t="s">
        <v>9</v>
      </c>
      <c r="O7" s="441" t="s">
        <v>10</v>
      </c>
      <c r="P7" s="441" t="s">
        <v>185</v>
      </c>
      <c r="Q7" s="481" t="s">
        <v>186</v>
      </c>
    </row>
    <row r="8" spans="1:22">
      <c r="A8" s="479" t="s">
        <v>3</v>
      </c>
      <c r="B8" s="479"/>
      <c r="C8" s="479"/>
      <c r="D8" s="407">
        <v>-33926236</v>
      </c>
      <c r="E8" s="407">
        <v>-11986527</v>
      </c>
      <c r="F8" s="479">
        <f>+D8+E8</f>
        <v>-45912763</v>
      </c>
      <c r="G8" s="407">
        <f>SUM('Income Statement Detail'!E7:E8)</f>
        <v>497288</v>
      </c>
      <c r="H8" s="407">
        <f>SUM('Income Statement Detail'!F7:F16)</f>
        <v>-270931.3549554341</v>
      </c>
      <c r="I8" s="407">
        <f>-'Gas Cost'!E26</f>
        <v>-3629138.6430726722</v>
      </c>
      <c r="J8" s="407">
        <f>+'Income Statement Detail'!H10</f>
        <v>1244</v>
      </c>
      <c r="K8" s="407">
        <v>0</v>
      </c>
      <c r="L8" s="407"/>
      <c r="M8" s="407"/>
      <c r="N8" s="407"/>
      <c r="O8" s="407"/>
      <c r="P8" s="407">
        <f>SUM(G8:O8)</f>
        <v>-3401537.9980281061</v>
      </c>
      <c r="Q8" s="512">
        <f>+P8+F8</f>
        <v>-49314300.998028107</v>
      </c>
    </row>
    <row r="9" spans="1:22" ht="17.25">
      <c r="A9" s="479" t="s">
        <v>187</v>
      </c>
      <c r="B9" s="479"/>
      <c r="C9" s="479"/>
      <c r="D9" s="430">
        <v>10189746</v>
      </c>
      <c r="E9" s="430">
        <v>2313603</v>
      </c>
      <c r="F9" s="482">
        <f t="shared" ref="F9:F21" si="0">+D9+E9</f>
        <v>12503349</v>
      </c>
      <c r="G9" s="430">
        <f>+'Income Statement Detail'!E26</f>
        <v>-316124</v>
      </c>
      <c r="H9" s="430">
        <v>0</v>
      </c>
      <c r="I9" s="430">
        <f>-I8</f>
        <v>3629138.6430726722</v>
      </c>
      <c r="J9" s="430">
        <v>0</v>
      </c>
      <c r="K9" s="430">
        <v>0</v>
      </c>
      <c r="L9" s="430">
        <f>+'Income Statement Detail'!K22</f>
        <v>5519.4773273282763</v>
      </c>
      <c r="M9" s="430">
        <v>0</v>
      </c>
      <c r="N9" s="430">
        <v>0</v>
      </c>
      <c r="O9" s="430">
        <v>0</v>
      </c>
      <c r="P9" s="430">
        <f>SUM(G9:O9)</f>
        <v>3318534.1204000004</v>
      </c>
      <c r="Q9" s="482">
        <f>+P9+F9</f>
        <v>15821883.1204</v>
      </c>
    </row>
    <row r="10" spans="1:22">
      <c r="A10" s="479"/>
      <c r="B10" s="479" t="s">
        <v>188</v>
      </c>
      <c r="C10" s="479"/>
      <c r="D10" s="407">
        <f>+D8+D9</f>
        <v>-23736490</v>
      </c>
      <c r="E10" s="407">
        <f>+E9+E8</f>
        <v>-9672924</v>
      </c>
      <c r="F10" s="479">
        <f t="shared" si="0"/>
        <v>-33409414</v>
      </c>
      <c r="G10" s="407">
        <f t="shared" ref="G10:Q10" si="1">+G8+G9</f>
        <v>181164</v>
      </c>
      <c r="H10" s="407">
        <f t="shared" si="1"/>
        <v>-270931.3549554341</v>
      </c>
      <c r="I10" s="407">
        <f t="shared" si="1"/>
        <v>0</v>
      </c>
      <c r="J10" s="407">
        <f t="shared" si="1"/>
        <v>1244</v>
      </c>
      <c r="K10" s="407">
        <f t="shared" si="1"/>
        <v>0</v>
      </c>
      <c r="L10" s="407">
        <f t="shared" si="1"/>
        <v>5519.4773273282763</v>
      </c>
      <c r="M10" s="407">
        <f t="shared" si="1"/>
        <v>0</v>
      </c>
      <c r="N10" s="407">
        <f t="shared" si="1"/>
        <v>0</v>
      </c>
      <c r="O10" s="407">
        <f t="shared" si="1"/>
        <v>0</v>
      </c>
      <c r="P10" s="407">
        <f t="shared" si="1"/>
        <v>-83003.877628105693</v>
      </c>
      <c r="Q10" s="479">
        <f t="shared" si="1"/>
        <v>-33492417.877628107</v>
      </c>
    </row>
    <row r="11" spans="1:22">
      <c r="A11" s="479"/>
      <c r="B11" s="479"/>
      <c r="C11" s="479"/>
      <c r="D11" s="407"/>
      <c r="E11" s="407"/>
      <c r="F11" s="479">
        <f t="shared" si="0"/>
        <v>0</v>
      </c>
      <c r="G11" s="407"/>
      <c r="H11" s="407"/>
      <c r="I11" s="407"/>
      <c r="J11" s="407"/>
      <c r="K11" s="407"/>
      <c r="L11" s="407"/>
      <c r="M11" s="407"/>
      <c r="N11" s="407"/>
      <c r="O11" s="407"/>
      <c r="P11" s="407">
        <f t="shared" ref="P11:P18" si="2">SUM(G11:O11)</f>
        <v>0</v>
      </c>
      <c r="Q11" s="479"/>
    </row>
    <row r="12" spans="1:22">
      <c r="A12" s="479" t="s">
        <v>189</v>
      </c>
      <c r="B12" s="479"/>
      <c r="C12" s="479"/>
      <c r="D12" s="407">
        <f>18607012-D9+317768</f>
        <v>8735034</v>
      </c>
      <c r="E12" s="407">
        <f>8653540-E9+208616</f>
        <v>6548553</v>
      </c>
      <c r="F12" s="479">
        <f t="shared" si="0"/>
        <v>15283587</v>
      </c>
      <c r="G12" s="407"/>
      <c r="H12" s="407"/>
      <c r="I12" s="407"/>
      <c r="J12" s="407">
        <f>SUM('Income Statement Detail'!H18:H74)+'Income Statement Detail'!I65</f>
        <v>78521</v>
      </c>
      <c r="K12" s="407">
        <f>+'Income Statement Detail'!J60+'Income Statement Detail'!J65+'Medical and Dental'!AM4+'Medical and Dental'!AM6+'401k estimate'!G149</f>
        <v>106985.86200000011</v>
      </c>
      <c r="L12" s="407">
        <f>SUM('Income Statement Detail'!K31:K98)</f>
        <v>327945.73724371084</v>
      </c>
      <c r="M12" s="407"/>
      <c r="N12" s="407"/>
      <c r="O12" s="407">
        <f>+'Income Statement Detail'!R62</f>
        <v>210000</v>
      </c>
      <c r="P12" s="407">
        <f t="shared" si="2"/>
        <v>723452.59924371098</v>
      </c>
      <c r="Q12" s="479">
        <f>+P12+F12</f>
        <v>16007039.599243712</v>
      </c>
    </row>
    <row r="13" spans="1:22">
      <c r="A13" s="479"/>
      <c r="B13" s="479"/>
      <c r="C13" s="479"/>
      <c r="D13" s="407"/>
      <c r="E13" s="407"/>
      <c r="F13" s="479">
        <f t="shared" si="0"/>
        <v>0</v>
      </c>
      <c r="G13" s="407"/>
      <c r="H13" s="407"/>
      <c r="I13" s="407"/>
      <c r="J13" s="407"/>
      <c r="K13" s="407"/>
      <c r="L13" s="407"/>
      <c r="M13" s="407"/>
      <c r="N13" s="407"/>
      <c r="O13" s="407"/>
      <c r="P13" s="407">
        <f t="shared" si="2"/>
        <v>0</v>
      </c>
      <c r="Q13" s="479"/>
    </row>
    <row r="14" spans="1:22">
      <c r="A14" s="479" t="s">
        <v>190</v>
      </c>
      <c r="B14" s="479"/>
      <c r="C14" s="479"/>
      <c r="D14" s="407">
        <f>4524128+236532</f>
        <v>4760660</v>
      </c>
      <c r="E14" s="407">
        <f>3392141+193246</f>
        <v>3585387</v>
      </c>
      <c r="F14" s="479">
        <f t="shared" si="0"/>
        <v>8346047</v>
      </c>
      <c r="G14" s="407"/>
      <c r="H14" s="407"/>
      <c r="I14" s="407"/>
      <c r="J14" s="407"/>
      <c r="K14" s="407"/>
      <c r="L14" s="407"/>
      <c r="M14" s="407">
        <f>+'Income Statement Detail'!M100</f>
        <v>1556983</v>
      </c>
      <c r="N14" s="407"/>
      <c r="O14" s="407"/>
      <c r="P14" s="407">
        <f t="shared" si="2"/>
        <v>1556983</v>
      </c>
      <c r="Q14" s="479">
        <f>+P14+F14</f>
        <v>9903030</v>
      </c>
    </row>
    <row r="15" spans="1:22">
      <c r="A15" s="479"/>
      <c r="B15" s="479"/>
      <c r="C15" s="479"/>
      <c r="D15" s="407"/>
      <c r="E15" s="407"/>
      <c r="F15" s="479">
        <f t="shared" si="0"/>
        <v>0</v>
      </c>
      <c r="G15" s="407"/>
      <c r="H15" s="407"/>
      <c r="I15" s="407"/>
      <c r="J15" s="407"/>
      <c r="K15" s="407"/>
      <c r="L15" s="407"/>
      <c r="M15" s="407"/>
      <c r="N15" s="407"/>
      <c r="O15" s="407"/>
      <c r="P15" s="407">
        <f t="shared" si="2"/>
        <v>0</v>
      </c>
      <c r="Q15" s="479"/>
    </row>
    <row r="16" spans="1:22">
      <c r="A16" s="479" t="s">
        <v>191</v>
      </c>
      <c r="B16" s="479"/>
      <c r="C16" s="479"/>
      <c r="D16" s="407">
        <v>1904438</v>
      </c>
      <c r="E16" s="407">
        <v>1616938</v>
      </c>
      <c r="F16" s="479">
        <f t="shared" si="0"/>
        <v>3521376</v>
      </c>
      <c r="G16" s="407"/>
      <c r="H16" s="407"/>
      <c r="I16" s="407"/>
      <c r="J16" s="407"/>
      <c r="K16" s="407"/>
      <c r="L16" s="407">
        <f>'Payroll Taxes'!X33</f>
        <v>36663.662867940475</v>
      </c>
      <c r="M16" s="407">
        <f>+'Income Statement Detail'!M105</f>
        <v>335311.59314008243</v>
      </c>
      <c r="N16" s="407"/>
      <c r="O16" s="407"/>
      <c r="P16" s="407">
        <f t="shared" si="2"/>
        <v>371975.25600802293</v>
      </c>
      <c r="Q16" s="479">
        <f>+P16+F16</f>
        <v>3893351.2560080229</v>
      </c>
    </row>
    <row r="17" spans="1:17">
      <c r="A17" s="479"/>
      <c r="B17" s="479"/>
      <c r="C17" s="479"/>
      <c r="D17" s="407"/>
      <c r="E17" s="407"/>
      <c r="F17" s="479">
        <f t="shared" si="0"/>
        <v>0</v>
      </c>
      <c r="G17" s="407"/>
      <c r="H17" s="407"/>
      <c r="I17" s="407"/>
      <c r="J17" s="407"/>
      <c r="K17" s="407"/>
      <c r="L17" s="445"/>
      <c r="M17" s="407"/>
      <c r="N17" s="407"/>
      <c r="O17" s="407"/>
      <c r="P17" s="407">
        <f t="shared" si="2"/>
        <v>0</v>
      </c>
      <c r="Q17" s="483"/>
    </row>
    <row r="18" spans="1:17">
      <c r="A18" s="479"/>
      <c r="B18" s="479"/>
      <c r="C18" s="479"/>
      <c r="D18" s="407"/>
      <c r="E18" s="407"/>
      <c r="F18" s="479">
        <f t="shared" si="0"/>
        <v>0</v>
      </c>
      <c r="G18" s="407"/>
      <c r="H18" s="407"/>
      <c r="I18" s="407"/>
      <c r="J18" s="407"/>
      <c r="K18" s="407"/>
      <c r="L18" s="407"/>
      <c r="M18" s="407"/>
      <c r="N18" s="407"/>
      <c r="O18" s="407"/>
      <c r="P18" s="407">
        <f t="shared" si="2"/>
        <v>0</v>
      </c>
      <c r="Q18" s="479"/>
    </row>
    <row r="19" spans="1:17" ht="17.25">
      <c r="A19" s="479" t="s">
        <v>9</v>
      </c>
      <c r="B19" s="479"/>
      <c r="C19" s="479"/>
      <c r="D19" s="430">
        <v>1314595</v>
      </c>
      <c r="E19" s="430">
        <v>1068999</v>
      </c>
      <c r="F19" s="482">
        <f>+D19+E19</f>
        <v>2383594</v>
      </c>
      <c r="G19" s="430">
        <v>0</v>
      </c>
      <c r="H19" s="430">
        <v>0</v>
      </c>
      <c r="I19" s="430">
        <v>0</v>
      </c>
      <c r="J19" s="430">
        <v>0</v>
      </c>
      <c r="K19" s="430">
        <v>0</v>
      </c>
      <c r="L19" s="430">
        <v>0</v>
      </c>
      <c r="M19" s="430">
        <v>0</v>
      </c>
      <c r="N19" s="430">
        <f>+'Income Statement Detail'!N138</f>
        <v>370137.21791944932</v>
      </c>
      <c r="O19" s="430">
        <v>0</v>
      </c>
      <c r="P19" s="430">
        <f>SUM(G19:O19)</f>
        <v>370137.21791944932</v>
      </c>
      <c r="Q19" s="482">
        <f>+P19+F19</f>
        <v>2753731.2179194493</v>
      </c>
    </row>
    <row r="20" spans="1:17">
      <c r="A20" s="479"/>
      <c r="B20" s="479"/>
      <c r="C20" s="479"/>
      <c r="D20" s="407"/>
      <c r="E20" s="407"/>
      <c r="F20" s="479">
        <f t="shared" si="0"/>
        <v>0</v>
      </c>
      <c r="G20" s="407"/>
      <c r="H20" s="407"/>
      <c r="I20" s="407"/>
      <c r="J20" s="407"/>
      <c r="K20" s="407"/>
      <c r="L20" s="407"/>
      <c r="M20" s="407"/>
      <c r="N20" s="407"/>
      <c r="O20" s="407"/>
      <c r="P20" s="407"/>
      <c r="Q20" s="479"/>
    </row>
    <row r="21" spans="1:17">
      <c r="A21" s="479" t="s">
        <v>192</v>
      </c>
      <c r="B21" s="479"/>
      <c r="C21" s="479"/>
      <c r="D21" s="407">
        <f>SUM(D10:D19)</f>
        <v>-7021763</v>
      </c>
      <c r="E21" s="407">
        <f>SUM(E10:E19)</f>
        <v>3146953</v>
      </c>
      <c r="F21" s="479">
        <f t="shared" si="0"/>
        <v>-3874810</v>
      </c>
      <c r="G21" s="407">
        <f t="shared" ref="G21:Q21" si="3">SUM(G10:G19)</f>
        <v>181164</v>
      </c>
      <c r="H21" s="407">
        <f t="shared" si="3"/>
        <v>-270931.3549554341</v>
      </c>
      <c r="I21" s="407">
        <f t="shared" si="3"/>
        <v>0</v>
      </c>
      <c r="J21" s="407">
        <f t="shared" si="3"/>
        <v>79765</v>
      </c>
      <c r="K21" s="407">
        <f t="shared" si="3"/>
        <v>106985.86200000011</v>
      </c>
      <c r="L21" s="428">
        <f t="shared" si="3"/>
        <v>370128.87743897963</v>
      </c>
      <c r="M21" s="407">
        <f t="shared" si="3"/>
        <v>1892294.5931400824</v>
      </c>
      <c r="N21" s="407">
        <f t="shared" si="3"/>
        <v>370137.21791944932</v>
      </c>
      <c r="O21" s="407">
        <f t="shared" si="3"/>
        <v>210000</v>
      </c>
      <c r="P21" s="407">
        <f t="shared" si="3"/>
        <v>2939544.1955430773</v>
      </c>
      <c r="Q21" s="484">
        <f t="shared" si="3"/>
        <v>-935265.80445692269</v>
      </c>
    </row>
    <row r="22" spans="1:17" ht="17.25">
      <c r="A22" s="479"/>
      <c r="B22" s="479"/>
      <c r="C22" s="479"/>
      <c r="D22" s="430"/>
      <c r="E22" s="430"/>
      <c r="F22" s="482"/>
      <c r="G22" s="430"/>
      <c r="H22" s="430"/>
      <c r="I22" s="430"/>
      <c r="J22" s="430"/>
      <c r="K22" s="430"/>
      <c r="L22" s="430"/>
      <c r="M22" s="430"/>
      <c r="N22" s="430"/>
      <c r="O22" s="430"/>
      <c r="P22" s="430"/>
      <c r="Q22" s="482"/>
    </row>
    <row r="23" spans="1:17" ht="17.25">
      <c r="A23" s="479" t="s">
        <v>193</v>
      </c>
      <c r="B23" s="479"/>
      <c r="C23" s="479"/>
      <c r="D23" s="430">
        <f t="shared" ref="D23:Q23" si="4">-D21*0.2495</f>
        <v>1751929.8685000001</v>
      </c>
      <c r="E23" s="430">
        <f t="shared" si="4"/>
        <v>-785164.77350000001</v>
      </c>
      <c r="F23" s="430">
        <f t="shared" si="4"/>
        <v>966765.09499999997</v>
      </c>
      <c r="G23" s="430">
        <f t="shared" si="4"/>
        <v>-45200.417999999998</v>
      </c>
      <c r="H23" s="430">
        <f t="shared" si="4"/>
        <v>67597.373061380815</v>
      </c>
      <c r="I23" s="430">
        <f t="shared" si="4"/>
        <v>0</v>
      </c>
      <c r="J23" s="430">
        <f t="shared" si="4"/>
        <v>-19901.3675</v>
      </c>
      <c r="K23" s="430">
        <f t="shared" si="4"/>
        <v>-26692.972569000027</v>
      </c>
      <c r="L23" s="430">
        <f t="shared" si="4"/>
        <v>-92347.154921025416</v>
      </c>
      <c r="M23" s="430">
        <f t="shared" si="4"/>
        <v>-472127.50098845054</v>
      </c>
      <c r="N23" s="430">
        <f t="shared" si="4"/>
        <v>-92349.235870902601</v>
      </c>
      <c r="O23" s="430">
        <f t="shared" si="4"/>
        <v>-52395</v>
      </c>
      <c r="P23" s="430">
        <f t="shared" si="4"/>
        <v>-733416.27678799781</v>
      </c>
      <c r="Q23" s="430">
        <f t="shared" si="4"/>
        <v>233348.81821200222</v>
      </c>
    </row>
    <row r="24" spans="1:17">
      <c r="A24" s="479"/>
      <c r="B24" s="479"/>
      <c r="C24" s="479"/>
      <c r="D24" s="407"/>
      <c r="E24" s="407"/>
      <c r="F24" s="479"/>
      <c r="G24" s="407"/>
      <c r="H24" s="407"/>
      <c r="I24" s="407"/>
      <c r="J24" s="407"/>
      <c r="K24" s="407"/>
      <c r="L24" s="407"/>
      <c r="M24" s="407"/>
      <c r="N24" s="407"/>
      <c r="O24" s="407"/>
      <c r="P24" s="407"/>
      <c r="Q24" s="479"/>
    </row>
    <row r="25" spans="1:17">
      <c r="A25" s="479" t="s">
        <v>194</v>
      </c>
      <c r="B25" s="479"/>
      <c r="C25" s="479"/>
      <c r="D25" s="407"/>
      <c r="E25" s="407"/>
      <c r="F25" s="479">
        <f>-F19</f>
        <v>-2383594</v>
      </c>
      <c r="G25" s="479">
        <f t="shared" ref="G25:Q25" si="5">-G19</f>
        <v>0</v>
      </c>
      <c r="H25" s="479">
        <f t="shared" si="5"/>
        <v>0</v>
      </c>
      <c r="I25" s="479">
        <f t="shared" si="5"/>
        <v>0</v>
      </c>
      <c r="J25" s="479">
        <f t="shared" si="5"/>
        <v>0</v>
      </c>
      <c r="K25" s="479">
        <f t="shared" si="5"/>
        <v>0</v>
      </c>
      <c r="L25" s="479">
        <f t="shared" si="5"/>
        <v>0</v>
      </c>
      <c r="M25" s="479">
        <f t="shared" si="5"/>
        <v>0</v>
      </c>
      <c r="N25" s="479">
        <f t="shared" si="5"/>
        <v>-370137.21791944932</v>
      </c>
      <c r="O25" s="479">
        <f t="shared" si="5"/>
        <v>0</v>
      </c>
      <c r="P25" s="479">
        <f t="shared" si="5"/>
        <v>-370137.21791944932</v>
      </c>
      <c r="Q25" s="479">
        <f t="shared" si="5"/>
        <v>-2753731.2179194493</v>
      </c>
    </row>
    <row r="26" spans="1:17">
      <c r="A26" s="479"/>
      <c r="B26" s="479"/>
      <c r="C26" s="479"/>
      <c r="D26" s="407"/>
      <c r="E26" s="407"/>
      <c r="F26" s="479"/>
      <c r="G26" s="407"/>
      <c r="H26" s="407"/>
      <c r="I26" s="407"/>
      <c r="J26" s="407"/>
      <c r="K26" s="407"/>
      <c r="L26" s="407"/>
      <c r="M26" s="407"/>
      <c r="N26" s="407"/>
      <c r="O26" s="407"/>
      <c r="P26" s="407"/>
      <c r="Q26" s="479"/>
    </row>
    <row r="27" spans="1:17">
      <c r="A27" s="479" t="s">
        <v>31</v>
      </c>
      <c r="B27" s="479"/>
      <c r="C27" s="479"/>
      <c r="D27" s="407"/>
      <c r="E27" s="407"/>
      <c r="F27" s="479">
        <f>SUM(F21:F25)</f>
        <v>-5291638.9050000003</v>
      </c>
      <c r="G27" s="479">
        <f t="shared" ref="G27:Q27" si="6">SUM(G21:G25)</f>
        <v>135963.58199999999</v>
      </c>
      <c r="H27" s="479">
        <f t="shared" si="6"/>
        <v>-203333.98189405329</v>
      </c>
      <c r="I27" s="479">
        <f t="shared" si="6"/>
        <v>0</v>
      </c>
      <c r="J27" s="479">
        <f t="shared" si="6"/>
        <v>59863.6325</v>
      </c>
      <c r="K27" s="479">
        <f t="shared" si="6"/>
        <v>80292.889431000076</v>
      </c>
      <c r="L27" s="479">
        <f t="shared" si="6"/>
        <v>277781.72251795419</v>
      </c>
      <c r="M27" s="479">
        <f t="shared" si="6"/>
        <v>1420167.0921516318</v>
      </c>
      <c r="N27" s="479">
        <f t="shared" si="6"/>
        <v>-92349.235870902601</v>
      </c>
      <c r="O27" s="479">
        <f t="shared" si="6"/>
        <v>157605</v>
      </c>
      <c r="P27" s="479">
        <f t="shared" si="6"/>
        <v>1835990.7008356303</v>
      </c>
      <c r="Q27" s="479">
        <f t="shared" si="6"/>
        <v>-3455648.20416437</v>
      </c>
    </row>
    <row r="28" spans="1:17">
      <c r="A28" s="479"/>
      <c r="B28" s="479"/>
      <c r="C28" s="479"/>
      <c r="D28" s="407"/>
      <c r="E28" s="407"/>
      <c r="F28" s="479"/>
      <c r="G28" s="407"/>
      <c r="H28" s="407"/>
      <c r="I28" s="407"/>
      <c r="J28" s="407"/>
      <c r="K28" s="407"/>
      <c r="L28" s="407"/>
      <c r="M28" s="407"/>
      <c r="N28" s="407"/>
      <c r="O28" s="407"/>
      <c r="P28" s="407"/>
      <c r="Q28" s="479"/>
    </row>
  </sheetData>
  <pageMargins left="0.25" right="0.25" top="0.75" bottom="0.75" header="0.3" footer="0.3"/>
  <pageSetup paperSize="5" scale="56"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G29" sqref="G29"/>
    </sheetView>
  </sheetViews>
  <sheetFormatPr defaultRowHeight="15"/>
  <cols>
    <col min="1" max="1" width="8" style="399" bestFit="1" customWidth="1"/>
    <col min="2" max="2" width="47.140625" style="399" bestFit="1" customWidth="1"/>
    <col min="3" max="3" width="11.5703125" style="407" customWidth="1"/>
    <col min="4" max="16384" width="9.140625" style="399"/>
  </cols>
  <sheetData>
    <row r="1" spans="1:8">
      <c r="A1" s="488"/>
      <c r="B1" s="488"/>
      <c r="C1" s="489" t="s">
        <v>32</v>
      </c>
      <c r="D1" s="490"/>
      <c r="E1" s="490"/>
      <c r="F1" s="513" t="s">
        <v>195</v>
      </c>
      <c r="G1" s="513"/>
      <c r="H1" s="486"/>
    </row>
    <row r="2" spans="1:8">
      <c r="A2" s="488"/>
      <c r="B2" s="488"/>
      <c r="C2" s="489" t="s">
        <v>34</v>
      </c>
      <c r="D2" s="490"/>
      <c r="E2" s="490"/>
      <c r="F2" s="513" t="s">
        <v>165</v>
      </c>
      <c r="G2" s="513"/>
      <c r="H2" s="486"/>
    </row>
    <row r="3" spans="1:8">
      <c r="A3" s="488"/>
      <c r="B3" s="488"/>
      <c r="C3" s="489" t="s">
        <v>166</v>
      </c>
      <c r="D3" s="490"/>
      <c r="E3" s="490"/>
      <c r="F3" s="487"/>
      <c r="G3" s="487"/>
      <c r="H3" s="486"/>
    </row>
    <row r="4" spans="1:8">
      <c r="A4" s="488"/>
      <c r="B4" s="488"/>
      <c r="C4" s="489" t="s">
        <v>167</v>
      </c>
      <c r="D4" s="490"/>
      <c r="E4" s="490"/>
      <c r="F4" s="487"/>
      <c r="G4" s="487"/>
      <c r="H4" s="486"/>
    </row>
    <row r="5" spans="1:8">
      <c r="A5" s="406"/>
      <c r="C5" s="399"/>
    </row>
    <row r="6" spans="1:8" ht="62.25" customHeight="1">
      <c r="A6" s="532" t="s">
        <v>196</v>
      </c>
      <c r="B6" s="532"/>
      <c r="C6" s="408" t="s">
        <v>197</v>
      </c>
    </row>
    <row r="7" spans="1:8">
      <c r="A7" s="401">
        <v>4111020</v>
      </c>
      <c r="B7" s="402" t="s">
        <v>198</v>
      </c>
      <c r="C7" s="403">
        <v>-332509</v>
      </c>
      <c r="D7" s="400"/>
    </row>
    <row r="8" spans="1:8">
      <c r="A8" s="401">
        <v>4112020</v>
      </c>
      <c r="B8" s="402" t="s">
        <v>199</v>
      </c>
      <c r="C8" s="403">
        <v>-442306</v>
      </c>
      <c r="D8" s="400"/>
    </row>
    <row r="9" spans="1:8" ht="17.25">
      <c r="A9" s="401">
        <v>4113020</v>
      </c>
      <c r="B9" s="402" t="s">
        <v>200</v>
      </c>
      <c r="C9" s="404">
        <v>277527</v>
      </c>
      <c r="D9" s="400"/>
    </row>
    <row r="10" spans="1:8">
      <c r="A10" s="401"/>
      <c r="B10" s="402"/>
      <c r="C10" s="403">
        <f>SUM(C7:C9)</f>
        <v>-497288</v>
      </c>
      <c r="D10" s="400"/>
    </row>
    <row r="11" spans="1:8" ht="17.25">
      <c r="A11" s="401">
        <v>5205430</v>
      </c>
      <c r="B11" s="402" t="s">
        <v>201</v>
      </c>
      <c r="C11" s="404">
        <v>316125</v>
      </c>
      <c r="D11" s="400"/>
    </row>
    <row r="12" spans="1:8" ht="17.25">
      <c r="C12" s="409">
        <f>+C10+C11</f>
        <v>-181163</v>
      </c>
    </row>
    <row r="16" spans="1:8">
      <c r="A16" s="399" t="s">
        <v>202</v>
      </c>
    </row>
    <row r="17" spans="1:4" ht="57" customHeight="1">
      <c r="A17" s="533" t="s">
        <v>203</v>
      </c>
      <c r="B17" s="533"/>
      <c r="C17" s="533"/>
      <c r="D17" s="533"/>
    </row>
  </sheetData>
  <mergeCells count="2">
    <mergeCell ref="A6:B6"/>
    <mergeCell ref="A17:D17"/>
  </mergeCells>
  <pageMargins left="0.7" right="0.7" top="0.75" bottom="0.75" header="0.3" footer="0.3"/>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workbookViewId="0">
      <selection activeCell="I36" sqref="I36"/>
    </sheetView>
  </sheetViews>
  <sheetFormatPr defaultRowHeight="12"/>
  <cols>
    <col min="1" max="1" width="38.140625" style="414" customWidth="1"/>
    <col min="2" max="2" width="10.42578125" style="414" bestFit="1" customWidth="1"/>
    <col min="3" max="3" width="9.5703125" style="414" bestFit="1" customWidth="1"/>
    <col min="4" max="4" width="10.42578125" style="414" bestFit="1" customWidth="1"/>
    <col min="5" max="5" width="7.7109375" style="414" bestFit="1" customWidth="1"/>
    <col min="6" max="6" width="10.42578125" style="414" bestFit="1" customWidth="1"/>
    <col min="7" max="7" width="9.5703125" style="414" bestFit="1" customWidth="1"/>
    <col min="8" max="8" width="11.7109375" style="414" customWidth="1"/>
    <col min="9" max="9" width="9.28515625" style="414" bestFit="1" customWidth="1"/>
    <col min="10" max="10" width="10.42578125" style="414" bestFit="1" customWidth="1"/>
    <col min="11" max="11" width="11.42578125" style="414" customWidth="1"/>
    <col min="12" max="12" width="10.42578125" style="414" bestFit="1" customWidth="1"/>
    <col min="13" max="13" width="9.5703125" style="414" bestFit="1" customWidth="1"/>
    <col min="14" max="16" width="9.140625" style="414"/>
    <col min="17" max="16384" width="9.140625" style="410"/>
  </cols>
  <sheetData>
    <row r="1" spans="1:16" ht="15">
      <c r="D1" s="485"/>
      <c r="E1" s="476"/>
      <c r="F1" s="476"/>
      <c r="G1" s="477" t="s">
        <v>32</v>
      </c>
      <c r="H1" s="478"/>
      <c r="I1" s="478"/>
      <c r="J1" s="514" t="s">
        <v>204</v>
      </c>
      <c r="K1" s="514"/>
      <c r="L1" s="410"/>
    </row>
    <row r="2" spans="1:16" ht="15">
      <c r="D2" s="485"/>
      <c r="E2" s="476"/>
      <c r="F2" s="476"/>
      <c r="G2" s="477" t="s">
        <v>34</v>
      </c>
      <c r="H2" s="478"/>
      <c r="I2" s="478"/>
      <c r="J2" s="514" t="s">
        <v>165</v>
      </c>
      <c r="K2" s="514"/>
      <c r="L2" s="410"/>
    </row>
    <row r="3" spans="1:16" ht="15">
      <c r="D3" s="485"/>
      <c r="E3" s="476"/>
      <c r="F3" s="476"/>
      <c r="G3" s="477" t="s">
        <v>166</v>
      </c>
      <c r="H3" s="478"/>
      <c r="I3" s="478"/>
      <c r="J3" s="485"/>
      <c r="K3" s="485"/>
      <c r="L3" s="410"/>
    </row>
    <row r="4" spans="1:16" ht="15">
      <c r="D4" s="485"/>
      <c r="E4" s="476"/>
      <c r="F4" s="476"/>
      <c r="G4" s="477" t="s">
        <v>167</v>
      </c>
      <c r="H4" s="478"/>
      <c r="I4" s="478"/>
      <c r="J4" s="485"/>
      <c r="K4" s="485"/>
    </row>
    <row r="6" spans="1:16" s="417" customFormat="1" ht="14.25">
      <c r="A6" s="415"/>
      <c r="B6" s="534" t="s">
        <v>205</v>
      </c>
      <c r="C6" s="534"/>
      <c r="D6" s="416"/>
      <c r="E6" s="416"/>
      <c r="F6" s="416"/>
      <c r="G6" s="416"/>
      <c r="H6" s="416"/>
      <c r="I6" s="416"/>
      <c r="J6" s="416"/>
      <c r="K6" s="416"/>
      <c r="L6" s="416"/>
      <c r="M6" s="416"/>
      <c r="N6" s="416"/>
      <c r="O6" s="416"/>
      <c r="P6" s="416"/>
    </row>
    <row r="7" spans="1:16" s="420" customFormat="1" ht="46.5" customHeight="1">
      <c r="A7" s="411"/>
      <c r="B7" s="418" t="s">
        <v>206</v>
      </c>
      <c r="C7" s="418" t="s">
        <v>207</v>
      </c>
      <c r="D7" s="418" t="s">
        <v>208</v>
      </c>
      <c r="E7" s="418" t="s">
        <v>209</v>
      </c>
      <c r="F7" s="418" t="s">
        <v>13</v>
      </c>
      <c r="G7" s="418" t="s">
        <v>210</v>
      </c>
      <c r="H7" s="418" t="s">
        <v>211</v>
      </c>
      <c r="I7" s="418" t="s">
        <v>212</v>
      </c>
      <c r="J7" s="418" t="s">
        <v>213</v>
      </c>
      <c r="K7" s="418" t="s">
        <v>214</v>
      </c>
      <c r="L7" s="418" t="s">
        <v>215</v>
      </c>
      <c r="M7" s="418" t="s">
        <v>216</v>
      </c>
      <c r="N7" s="419"/>
      <c r="O7" s="419"/>
      <c r="P7" s="419"/>
    </row>
    <row r="8" spans="1:16">
      <c r="A8" s="412" t="s">
        <v>217</v>
      </c>
      <c r="B8" s="414">
        <v>-22662092</v>
      </c>
      <c r="C8" s="414">
        <v>-1286216</v>
      </c>
      <c r="D8" s="414">
        <v>-23948308</v>
      </c>
      <c r="E8" s="414">
        <v>119852</v>
      </c>
      <c r="F8" s="414">
        <v>-23828456</v>
      </c>
      <c r="G8" s="414">
        <v>-1100776.5685764046</v>
      </c>
      <c r="H8" s="414">
        <v>196606</v>
      </c>
      <c r="I8" s="414">
        <v>70158.35100000001</v>
      </c>
      <c r="K8" s="414">
        <v>-24662468.217576403</v>
      </c>
      <c r="L8" s="414">
        <v>-23549385</v>
      </c>
      <c r="M8" s="414">
        <v>-1113083.2175764032</v>
      </c>
    </row>
    <row r="9" spans="1:16">
      <c r="A9" s="412" t="s">
        <v>218</v>
      </c>
      <c r="B9" s="414">
        <v>-6587910</v>
      </c>
      <c r="D9" s="414">
        <v>-6587910</v>
      </c>
      <c r="F9" s="414">
        <v>-6587910</v>
      </c>
      <c r="G9" s="414">
        <v>-300175.32047881838</v>
      </c>
      <c r="I9" s="414">
        <v>16762.739521182139</v>
      </c>
      <c r="K9" s="414">
        <v>-6871322.5809576362</v>
      </c>
      <c r="L9" s="414">
        <v>-9500383</v>
      </c>
      <c r="M9" s="414">
        <v>2629060.4190423638</v>
      </c>
    </row>
    <row r="10" spans="1:16" ht="14.25">
      <c r="A10" s="412" t="s">
        <v>219</v>
      </c>
      <c r="B10" s="421">
        <v>-8280960</v>
      </c>
      <c r="C10" s="421"/>
      <c r="D10" s="421">
        <v>-8280960</v>
      </c>
      <c r="E10" s="421">
        <v>0</v>
      </c>
      <c r="F10" s="421">
        <v>-8280960</v>
      </c>
      <c r="G10" s="421">
        <v>-33433.699999999953</v>
      </c>
      <c r="H10" s="421">
        <v>0</v>
      </c>
      <c r="I10" s="421">
        <v>0</v>
      </c>
      <c r="J10" s="421">
        <v>0</v>
      </c>
      <c r="K10" s="421">
        <v>-8314393.7000000002</v>
      </c>
      <c r="L10" s="421">
        <v>-5886670</v>
      </c>
      <c r="M10" s="421">
        <v>-2427723.7000000002</v>
      </c>
    </row>
    <row r="11" spans="1:16">
      <c r="A11" s="412" t="s">
        <v>220</v>
      </c>
      <c r="B11" s="414">
        <v>-37530962</v>
      </c>
      <c r="C11" s="414">
        <v>-1286216</v>
      </c>
      <c r="D11" s="414">
        <v>-38817178</v>
      </c>
      <c r="E11" s="414">
        <v>119852</v>
      </c>
      <c r="F11" s="414">
        <v>-38697326</v>
      </c>
      <c r="G11" s="414">
        <v>-1434385.5890552229</v>
      </c>
      <c r="H11" s="414">
        <v>196606</v>
      </c>
      <c r="I11" s="414">
        <v>86921.090521182152</v>
      </c>
      <c r="J11" s="414">
        <v>0</v>
      </c>
      <c r="K11" s="414">
        <v>-39848184.498534046</v>
      </c>
      <c r="L11" s="414">
        <v>-38936438</v>
      </c>
    </row>
    <row r="12" spans="1:16" ht="14.25">
      <c r="A12" s="412" t="s">
        <v>221</v>
      </c>
      <c r="B12" s="421">
        <v>2382636</v>
      </c>
      <c r="C12" s="421"/>
      <c r="D12" s="421">
        <v>2382636</v>
      </c>
      <c r="E12" s="421">
        <v>0</v>
      </c>
      <c r="F12" s="421">
        <v>2382636</v>
      </c>
      <c r="G12" s="421">
        <v>0</v>
      </c>
      <c r="H12" s="421">
        <v>0</v>
      </c>
      <c r="I12" s="421">
        <v>0</v>
      </c>
      <c r="J12" s="421">
        <v>0</v>
      </c>
      <c r="K12" s="421">
        <v>2382636</v>
      </c>
      <c r="L12" s="421">
        <v>2699420</v>
      </c>
      <c r="M12" s="421">
        <v>-316784</v>
      </c>
    </row>
    <row r="13" spans="1:16" ht="14.25">
      <c r="A13" s="412" t="s">
        <v>222</v>
      </c>
      <c r="B13" s="421">
        <v>-35148326</v>
      </c>
      <c r="C13" s="421">
        <v>-1286216</v>
      </c>
      <c r="D13" s="421">
        <v>-36434542</v>
      </c>
      <c r="E13" s="421">
        <v>119852</v>
      </c>
      <c r="F13" s="421">
        <v>-36314690</v>
      </c>
      <c r="G13" s="421">
        <v>-1434385.5890552229</v>
      </c>
      <c r="H13" s="421">
        <v>196606</v>
      </c>
      <c r="I13" s="421">
        <v>86921.090521182152</v>
      </c>
      <c r="J13" s="421">
        <v>0</v>
      </c>
      <c r="K13" s="421">
        <v>-37465548.498534046</v>
      </c>
      <c r="L13" s="421">
        <v>-36237018</v>
      </c>
      <c r="M13" s="421"/>
    </row>
    <row r="14" spans="1:16">
      <c r="A14" s="412"/>
      <c r="D14" s="414" t="s">
        <v>223</v>
      </c>
    </row>
    <row r="15" spans="1:16">
      <c r="A15" s="412" t="s">
        <v>224</v>
      </c>
      <c r="B15" s="414">
        <v>-108126</v>
      </c>
      <c r="D15" s="414">
        <v>-108126</v>
      </c>
      <c r="F15" s="414">
        <v>-108126</v>
      </c>
      <c r="K15" s="414">
        <v>-108126</v>
      </c>
      <c r="L15" s="414">
        <v>-114098</v>
      </c>
      <c r="M15" s="414">
        <v>5972</v>
      </c>
    </row>
    <row r="16" spans="1:16">
      <c r="A16" s="412" t="s">
        <v>225</v>
      </c>
      <c r="B16" s="414">
        <v>-3884825</v>
      </c>
      <c r="D16" s="414">
        <v>-3884825</v>
      </c>
      <c r="F16" s="414">
        <v>-3884825</v>
      </c>
      <c r="K16" s="414">
        <v>-3884825</v>
      </c>
      <c r="L16" s="414">
        <v>-4243148</v>
      </c>
      <c r="M16" s="414">
        <v>358323</v>
      </c>
    </row>
    <row r="17" spans="1:13">
      <c r="A17" s="412" t="s">
        <v>226</v>
      </c>
      <c r="B17" s="414">
        <v>-1477</v>
      </c>
      <c r="D17" s="414">
        <v>-1477</v>
      </c>
      <c r="F17" s="414">
        <v>-1477</v>
      </c>
      <c r="K17" s="414">
        <v>-1477</v>
      </c>
      <c r="L17" s="414">
        <v>-1676</v>
      </c>
      <c r="M17" s="414">
        <v>199</v>
      </c>
    </row>
    <row r="18" spans="1:13">
      <c r="A18" s="412" t="s">
        <v>221</v>
      </c>
      <c r="B18" s="414">
        <v>224800</v>
      </c>
      <c r="D18" s="414">
        <v>224800</v>
      </c>
      <c r="F18" s="414">
        <v>224800</v>
      </c>
      <c r="K18" s="414">
        <v>224800</v>
      </c>
      <c r="L18" s="414">
        <v>0</v>
      </c>
      <c r="M18" s="414">
        <v>224800</v>
      </c>
    </row>
    <row r="19" spans="1:13" ht="14.25">
      <c r="A19" s="412" t="s">
        <v>227</v>
      </c>
      <c r="B19" s="421">
        <v>-1208800</v>
      </c>
      <c r="C19" s="421"/>
      <c r="D19" s="421">
        <v>-1208800</v>
      </c>
      <c r="E19" s="421"/>
      <c r="F19" s="421">
        <v>-1208800</v>
      </c>
      <c r="G19" s="421"/>
      <c r="H19" s="421"/>
      <c r="I19" s="421"/>
      <c r="J19" s="421">
        <v>-459042.85642139456</v>
      </c>
      <c r="K19" s="421">
        <v>-1667842.8564213945</v>
      </c>
      <c r="L19" s="421">
        <v>-1378573</v>
      </c>
      <c r="M19" s="421">
        <v>-289269.85642139451</v>
      </c>
    </row>
    <row r="20" spans="1:13" ht="14.25">
      <c r="A20" s="412" t="s">
        <v>228</v>
      </c>
      <c r="B20" s="421">
        <v>-4978428</v>
      </c>
      <c r="C20" s="421">
        <v>0</v>
      </c>
      <c r="D20" s="421">
        <v>-4978428</v>
      </c>
      <c r="E20" s="421"/>
      <c r="F20" s="421">
        <v>-4978428</v>
      </c>
      <c r="G20" s="421">
        <v>0</v>
      </c>
      <c r="H20" s="421">
        <v>0</v>
      </c>
      <c r="I20" s="421">
        <v>0</v>
      </c>
      <c r="J20" s="421">
        <v>-459042.85642139456</v>
      </c>
      <c r="K20" s="421">
        <v>-5437470.8564213943</v>
      </c>
      <c r="L20" s="421">
        <v>-5737495</v>
      </c>
      <c r="M20" s="421"/>
    </row>
    <row r="21" spans="1:13">
      <c r="A21" s="413"/>
      <c r="D21" s="414" t="s">
        <v>223</v>
      </c>
    </row>
    <row r="22" spans="1:13">
      <c r="A22" s="412" t="s">
        <v>229</v>
      </c>
      <c r="B22" s="414">
        <v>-929552</v>
      </c>
      <c r="D22" s="414">
        <v>-929552</v>
      </c>
      <c r="F22" s="414">
        <v>-929552</v>
      </c>
      <c r="K22" s="414">
        <v>-929552</v>
      </c>
      <c r="L22" s="414">
        <v>-1021911</v>
      </c>
      <c r="M22" s="414">
        <v>92359</v>
      </c>
    </row>
    <row r="23" spans="1:13" ht="14.25">
      <c r="A23" s="412" t="s">
        <v>227</v>
      </c>
      <c r="B23" s="421">
        <v>-1770171</v>
      </c>
      <c r="C23" s="421"/>
      <c r="D23" s="421">
        <v>-1770171</v>
      </c>
      <c r="E23" s="421"/>
      <c r="F23" s="421">
        <v>-1770171</v>
      </c>
      <c r="G23" s="421"/>
      <c r="H23" s="421"/>
      <c r="I23" s="421"/>
      <c r="J23" s="421"/>
      <c r="K23" s="421">
        <v>-1770171</v>
      </c>
      <c r="L23" s="421">
        <v>-2335387</v>
      </c>
      <c r="M23" s="421">
        <v>565216</v>
      </c>
    </row>
    <row r="24" spans="1:13" ht="14.25">
      <c r="A24" s="413" t="s">
        <v>230</v>
      </c>
      <c r="B24" s="421">
        <v>-2699723</v>
      </c>
      <c r="C24" s="421">
        <v>0</v>
      </c>
      <c r="D24" s="421">
        <v>-2699723</v>
      </c>
      <c r="E24" s="421"/>
      <c r="F24" s="421">
        <v>-2699723</v>
      </c>
      <c r="G24" s="421"/>
      <c r="H24" s="421"/>
      <c r="I24" s="421"/>
      <c r="J24" s="421"/>
      <c r="K24" s="421">
        <v>-2699723</v>
      </c>
      <c r="L24" s="421">
        <v>-3357298</v>
      </c>
      <c r="M24" s="421"/>
    </row>
    <row r="25" spans="1:13">
      <c r="A25" s="413"/>
      <c r="D25" s="414" t="s">
        <v>223</v>
      </c>
    </row>
    <row r="26" spans="1:13">
      <c r="A26" s="413" t="s">
        <v>231</v>
      </c>
      <c r="B26" s="414">
        <v>-42826477</v>
      </c>
      <c r="C26" s="414">
        <v>-1286216</v>
      </c>
      <c r="D26" s="414">
        <v>-44112693</v>
      </c>
      <c r="E26" s="414">
        <v>119852</v>
      </c>
      <c r="F26" s="414">
        <v>-43992841</v>
      </c>
      <c r="G26" s="414">
        <v>-1434385.5890552229</v>
      </c>
      <c r="H26" s="414">
        <v>196606</v>
      </c>
      <c r="I26" s="414">
        <v>86921.090521182152</v>
      </c>
      <c r="J26" s="414">
        <v>-459042.85642139456</v>
      </c>
      <c r="K26" s="414">
        <v>-45602742.354955442</v>
      </c>
      <c r="L26" s="414">
        <v>-45331811</v>
      </c>
    </row>
    <row r="27" spans="1:13" ht="14.25">
      <c r="A27" s="372" t="s">
        <v>232</v>
      </c>
      <c r="B27" s="421">
        <v>-125705</v>
      </c>
      <c r="C27" s="421">
        <v>-7433</v>
      </c>
      <c r="D27" s="421">
        <v>-133138</v>
      </c>
      <c r="E27" s="421">
        <v>0</v>
      </c>
      <c r="F27" s="421">
        <v>-133138</v>
      </c>
      <c r="G27" s="421">
        <v>50718</v>
      </c>
      <c r="H27" s="421">
        <v>0</v>
      </c>
      <c r="I27" s="421"/>
      <c r="J27" s="421"/>
      <c r="K27" s="421">
        <v>-82420</v>
      </c>
      <c r="L27" s="421">
        <v>-82420</v>
      </c>
      <c r="M27" s="421">
        <v>0</v>
      </c>
    </row>
    <row r="28" spans="1:13">
      <c r="A28" s="372" t="s">
        <v>233</v>
      </c>
      <c r="F28" s="414">
        <v>0</v>
      </c>
    </row>
    <row r="29" spans="1:13" ht="14.25">
      <c r="A29" s="414" t="s">
        <v>234</v>
      </c>
      <c r="B29" s="422">
        <v>-42952182</v>
      </c>
      <c r="C29" s="422">
        <v>-1293649</v>
      </c>
      <c r="D29" s="422">
        <v>-44245831</v>
      </c>
      <c r="E29" s="422">
        <v>119852</v>
      </c>
      <c r="F29" s="422">
        <v>-44125979</v>
      </c>
      <c r="G29" s="422">
        <v>-1383667.5890552229</v>
      </c>
      <c r="H29" s="422">
        <v>196606</v>
      </c>
      <c r="I29" s="422">
        <v>86921.090521182152</v>
      </c>
      <c r="J29" s="422">
        <v>-459042.85642139456</v>
      </c>
      <c r="K29" s="422">
        <v>-45685162.354955442</v>
      </c>
      <c r="L29" s="422">
        <v>-45414231</v>
      </c>
      <c r="M29" s="422">
        <v>-270931.3549554341</v>
      </c>
    </row>
  </sheetData>
  <mergeCells count="1">
    <mergeCell ref="B6:C6"/>
  </mergeCells>
  <pageMargins left="0.7" right="0.7" top="0.75" bottom="0.75" header="0.3" footer="0.3"/>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sqref="A1:F4"/>
    </sheetView>
  </sheetViews>
  <sheetFormatPr defaultRowHeight="15"/>
  <cols>
    <col min="1" max="1" width="9.140625" style="399"/>
    <col min="2" max="2" width="18.42578125" style="399" customWidth="1"/>
    <col min="3" max="3" width="33.140625" style="399" customWidth="1"/>
    <col min="4" max="4" width="1.5703125" style="399" customWidth="1"/>
    <col min="5" max="5" width="11.85546875" style="399" bestFit="1" customWidth="1"/>
    <col min="6" max="16384" width="9.140625" style="399"/>
  </cols>
  <sheetData>
    <row r="1" spans="1:6">
      <c r="A1" s="476"/>
      <c r="B1" s="477" t="s">
        <v>32</v>
      </c>
      <c r="C1" s="478"/>
      <c r="D1" s="478"/>
      <c r="E1" s="514" t="s">
        <v>235</v>
      </c>
      <c r="F1" s="514"/>
    </row>
    <row r="2" spans="1:6">
      <c r="A2" s="476"/>
      <c r="B2" s="477" t="s">
        <v>34</v>
      </c>
      <c r="C2" s="478"/>
      <c r="D2" s="478"/>
      <c r="E2" s="514" t="s">
        <v>165</v>
      </c>
      <c r="F2" s="514"/>
    </row>
    <row r="3" spans="1:6">
      <c r="A3" s="476"/>
      <c r="B3" s="477" t="s">
        <v>166</v>
      </c>
      <c r="C3" s="478"/>
      <c r="D3" s="478"/>
      <c r="E3" s="485"/>
      <c r="F3" s="485"/>
    </row>
    <row r="4" spans="1:6">
      <c r="A4" s="476"/>
      <c r="B4" s="477" t="s">
        <v>167</v>
      </c>
      <c r="C4" s="478"/>
      <c r="D4" s="478"/>
      <c r="E4" s="485"/>
      <c r="F4" s="485"/>
    </row>
    <row r="5" spans="1:6">
      <c r="A5" s="407"/>
      <c r="B5" s="405"/>
      <c r="C5" s="407"/>
    </row>
    <row r="6" spans="1:6" ht="27" customHeight="1">
      <c r="A6" s="427"/>
      <c r="B6" s="427"/>
      <c r="C6" s="428"/>
      <c r="D6" s="427"/>
      <c r="E6" s="434" t="s">
        <v>236</v>
      </c>
    </row>
    <row r="7" spans="1:6">
      <c r="A7" s="433"/>
      <c r="B7" s="435" t="s">
        <v>64</v>
      </c>
      <c r="D7" s="433"/>
      <c r="E7" s="428">
        <v>52345.477327328277</v>
      </c>
    </row>
    <row r="8" spans="1:6">
      <c r="A8" s="433"/>
      <c r="B8" s="435" t="s">
        <v>66</v>
      </c>
      <c r="D8" s="433"/>
      <c r="E8" s="428">
        <v>129512</v>
      </c>
    </row>
    <row r="9" spans="1:6">
      <c r="A9" s="433"/>
      <c r="B9" s="435" t="s">
        <v>69</v>
      </c>
      <c r="D9" s="433"/>
      <c r="E9" s="428">
        <v>11955982</v>
      </c>
    </row>
    <row r="10" spans="1:6">
      <c r="A10" s="433"/>
      <c r="B10" s="435" t="s">
        <v>71</v>
      </c>
      <c r="D10" s="433"/>
      <c r="E10" s="428">
        <v>369965</v>
      </c>
    </row>
    <row r="11" spans="1:6">
      <c r="A11" s="433"/>
      <c r="B11" s="435" t="s">
        <v>72</v>
      </c>
      <c r="D11" s="433"/>
      <c r="E11" s="428">
        <v>1064</v>
      </c>
    </row>
    <row r="12" spans="1:6">
      <c r="A12" s="427"/>
      <c r="B12" s="427"/>
      <c r="C12" s="428"/>
      <c r="D12" s="427"/>
      <c r="E12" s="428"/>
    </row>
    <row r="13" spans="1:6" ht="17.25">
      <c r="A13" s="427" t="s">
        <v>237</v>
      </c>
      <c r="B13" s="427"/>
      <c r="C13" s="428"/>
      <c r="D13" s="427"/>
      <c r="E13" s="429">
        <v>-316124</v>
      </c>
    </row>
    <row r="14" spans="1:6">
      <c r="A14" s="427" t="s">
        <v>238</v>
      </c>
      <c r="B14" s="427"/>
      <c r="C14" s="428"/>
      <c r="D14" s="427"/>
      <c r="E14" s="428">
        <f>SUM(E7:E13)</f>
        <v>12192744.477327328</v>
      </c>
    </row>
    <row r="15" spans="1:6">
      <c r="A15" s="427"/>
      <c r="B15" s="427"/>
      <c r="C15" s="428"/>
      <c r="D15" s="427"/>
      <c r="E15" s="428"/>
    </row>
    <row r="16" spans="1:6">
      <c r="A16" s="405" t="s">
        <v>239</v>
      </c>
      <c r="B16" s="405"/>
      <c r="C16" s="407"/>
      <c r="D16" s="405"/>
      <c r="E16" s="407"/>
    </row>
    <row r="17" spans="1:5">
      <c r="A17" s="405"/>
      <c r="B17" s="405"/>
      <c r="C17" s="407"/>
      <c r="D17" s="405"/>
      <c r="E17" s="407"/>
    </row>
    <row r="18" spans="1:5">
      <c r="A18" s="405"/>
      <c r="B18" s="405" t="s">
        <v>240</v>
      </c>
      <c r="C18" s="407">
        <v>1401423</v>
      </c>
      <c r="D18" s="405"/>
      <c r="E18" s="407"/>
    </row>
    <row r="19" spans="1:5">
      <c r="A19" s="405"/>
      <c r="B19" s="405" t="s">
        <v>241</v>
      </c>
      <c r="C19" s="407">
        <v>-16246</v>
      </c>
      <c r="D19" s="405"/>
      <c r="E19" s="407"/>
    </row>
    <row r="20" spans="1:5">
      <c r="A20" s="405"/>
      <c r="B20" s="405" t="s">
        <v>242</v>
      </c>
      <c r="C20" s="407">
        <v>493224</v>
      </c>
      <c r="D20" s="405"/>
      <c r="E20" s="407"/>
    </row>
    <row r="21" spans="1:5">
      <c r="A21" s="405"/>
      <c r="B21" s="405" t="s">
        <v>241</v>
      </c>
      <c r="C21" s="407">
        <v>-3882</v>
      </c>
      <c r="D21" s="405"/>
      <c r="E21" s="407"/>
    </row>
    <row r="22" spans="1:5">
      <c r="A22" s="405"/>
      <c r="B22" s="405" t="s">
        <v>243</v>
      </c>
      <c r="C22" s="407">
        <f>538720+156859+35678+5387</f>
        <v>736644</v>
      </c>
      <c r="D22" s="405"/>
      <c r="E22" s="407"/>
    </row>
    <row r="23" spans="1:5">
      <c r="A23" s="405"/>
      <c r="B23" s="405" t="s">
        <v>244</v>
      </c>
      <c r="C23" s="407">
        <f>20155+5782</f>
        <v>25937</v>
      </c>
      <c r="D23" s="405"/>
      <c r="E23" s="407"/>
    </row>
    <row r="24" spans="1:5" ht="17.25">
      <c r="A24" s="405"/>
      <c r="B24" s="405" t="s">
        <v>245</v>
      </c>
      <c r="C24" s="430">
        <v>212047</v>
      </c>
      <c r="D24" s="405"/>
      <c r="E24" s="407"/>
    </row>
    <row r="25" spans="1:5">
      <c r="A25" s="405"/>
      <c r="B25" s="405"/>
      <c r="C25" s="407">
        <f>SUM(C18:C24)</f>
        <v>2849147</v>
      </c>
      <c r="D25" s="405"/>
      <c r="E25" s="407"/>
    </row>
    <row r="26" spans="1:5" ht="17.25">
      <c r="A26" s="405"/>
      <c r="B26" s="405" t="s">
        <v>246</v>
      </c>
      <c r="C26" s="431">
        <v>5.5532000000000004</v>
      </c>
      <c r="D26" s="405"/>
      <c r="E26" s="407"/>
    </row>
    <row r="27" spans="1:5">
      <c r="A27" s="405"/>
      <c r="B27" s="405"/>
      <c r="C27" s="407"/>
      <c r="D27" s="405"/>
      <c r="E27" s="407"/>
    </row>
    <row r="28" spans="1:5" ht="17.25">
      <c r="A28" s="405"/>
      <c r="B28" s="405" t="s">
        <v>247</v>
      </c>
      <c r="C28" s="407"/>
      <c r="D28" s="405"/>
      <c r="E28" s="430">
        <f>+C26*C25</f>
        <v>15821883.1204</v>
      </c>
    </row>
    <row r="29" spans="1:5">
      <c r="A29" s="405"/>
      <c r="B29" s="405"/>
      <c r="C29" s="407"/>
      <c r="D29" s="405"/>
      <c r="E29" s="407"/>
    </row>
    <row r="30" spans="1:5" ht="17.25">
      <c r="A30" s="405"/>
      <c r="B30" s="405" t="s">
        <v>248</v>
      </c>
      <c r="C30" s="407"/>
      <c r="D30" s="405"/>
      <c r="E30" s="409">
        <f>+E28-E14</f>
        <v>3629138.6430726722</v>
      </c>
    </row>
    <row r="31" spans="1:5">
      <c r="A31" s="405"/>
      <c r="B31" s="405"/>
      <c r="C31" s="407"/>
      <c r="D31" s="405"/>
      <c r="E31" s="407"/>
    </row>
    <row r="32" spans="1:5">
      <c r="A32" s="405"/>
      <c r="B32" s="405" t="s">
        <v>249</v>
      </c>
      <c r="C32" s="432">
        <f>+(C24+C18)/C25</f>
        <v>0.56629931695346014</v>
      </c>
      <c r="D32" s="405"/>
      <c r="E32" s="407">
        <f>+E30*C32</f>
        <v>2055178.7347014614</v>
      </c>
    </row>
    <row r="33" spans="1:5" ht="17.25">
      <c r="A33" s="405"/>
      <c r="B33" s="405" t="s">
        <v>250</v>
      </c>
      <c r="C33" s="432">
        <f>1-C32</f>
        <v>0.43370068304653986</v>
      </c>
      <c r="D33" s="405"/>
      <c r="E33" s="430">
        <f>+E30*C33</f>
        <v>1573959.9083712108</v>
      </c>
    </row>
    <row r="34" spans="1:5" ht="17.25">
      <c r="A34" s="405"/>
      <c r="B34" s="405"/>
      <c r="C34" s="407"/>
      <c r="D34" s="405"/>
      <c r="E34" s="409">
        <f>SUM(E32:E33)</f>
        <v>3629138.6430726722</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H34" sqref="H34"/>
    </sheetView>
  </sheetViews>
  <sheetFormatPr defaultRowHeight="15"/>
  <cols>
    <col min="1" max="1" width="62.85546875" style="428" customWidth="1"/>
    <col min="2" max="2" width="9.5703125" style="428" bestFit="1" customWidth="1"/>
    <col min="3" max="16384" width="9.140625" style="428"/>
  </cols>
  <sheetData>
    <row r="1" spans="1:6">
      <c r="A1" s="476"/>
      <c r="B1" s="477" t="s">
        <v>32</v>
      </c>
      <c r="C1" s="478"/>
      <c r="D1" s="478"/>
      <c r="E1" s="514" t="s">
        <v>251</v>
      </c>
      <c r="F1" s="514"/>
    </row>
    <row r="2" spans="1:6">
      <c r="A2" s="476"/>
      <c r="B2" s="477" t="s">
        <v>34</v>
      </c>
      <c r="C2" s="478"/>
      <c r="D2" s="478"/>
      <c r="E2" s="514" t="s">
        <v>165</v>
      </c>
      <c r="F2" s="514"/>
    </row>
    <row r="3" spans="1:6">
      <c r="A3" s="476"/>
      <c r="B3" s="477" t="s">
        <v>166</v>
      </c>
      <c r="C3" s="478"/>
      <c r="D3" s="478"/>
      <c r="E3" s="485"/>
      <c r="F3" s="485"/>
    </row>
    <row r="4" spans="1:6">
      <c r="A4" s="476"/>
      <c r="B4" s="477" t="s">
        <v>167</v>
      </c>
      <c r="C4" s="478"/>
      <c r="D4" s="478"/>
      <c r="E4" s="485"/>
      <c r="F4" s="485"/>
    </row>
    <row r="5" spans="1:6">
      <c r="A5" s="438"/>
    </row>
    <row r="6" spans="1:6" ht="17.25">
      <c r="A6" s="437" t="s">
        <v>252</v>
      </c>
      <c r="B6" s="439">
        <f>-'PreTax Net Income'!AB11</f>
        <v>-1244</v>
      </c>
    </row>
    <row r="7" spans="1:6">
      <c r="A7" s="437"/>
      <c r="B7" s="436"/>
    </row>
    <row r="8" spans="1:6">
      <c r="A8" s="437" t="s">
        <v>253</v>
      </c>
      <c r="B8" s="436">
        <f>-'PreTax Net Income'!AB90</f>
        <v>23044</v>
      </c>
    </row>
    <row r="9" spans="1:6">
      <c r="A9" s="437" t="s">
        <v>254</v>
      </c>
      <c r="B9" s="436">
        <f>-'PreTax Net Income'!AB155</f>
        <v>7350</v>
      </c>
    </row>
    <row r="10" spans="1:6" ht="17.25">
      <c r="A10" s="437" t="s">
        <v>255</v>
      </c>
      <c r="B10" s="429">
        <f>-'Income Statement Detail'!I65</f>
        <v>-108915</v>
      </c>
    </row>
    <row r="11" spans="1:6" ht="17.25">
      <c r="A11" s="438"/>
      <c r="B11" s="429">
        <f>SUM(B8:B10)</f>
        <v>-78521</v>
      </c>
    </row>
    <row r="12" spans="1:6">
      <c r="A12" s="438"/>
    </row>
    <row r="13" spans="1:6">
      <c r="A13" s="438" t="s">
        <v>256</v>
      </c>
      <c r="B13" s="428">
        <f>+B11+B6</f>
        <v>-79765</v>
      </c>
    </row>
    <row r="14" spans="1:6">
      <c r="A14" s="438"/>
    </row>
  </sheetData>
  <pageMargins left="0.7" right="0.7" top="0.75" bottom="0.75" header="0.3" footer="0.3"/>
  <pageSetup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K30" sqref="K30"/>
    </sheetView>
  </sheetViews>
  <sheetFormatPr defaultRowHeight="15"/>
  <cols>
    <col min="1" max="1" width="4.42578125" style="407" customWidth="1"/>
    <col min="2" max="2" width="48.85546875" style="440" customWidth="1"/>
    <col min="3" max="3" width="13.7109375" style="407" customWidth="1"/>
    <col min="4" max="4" width="10.28515625" style="407" bestFit="1" customWidth="1"/>
    <col min="5" max="5" width="10.7109375" style="407" customWidth="1"/>
    <col min="6" max="16384" width="9.140625" style="407"/>
  </cols>
  <sheetData>
    <row r="1" spans="1:8">
      <c r="B1" s="476"/>
      <c r="C1" s="477" t="s">
        <v>32</v>
      </c>
      <c r="D1" s="478"/>
      <c r="E1" s="478"/>
      <c r="F1" s="514" t="s">
        <v>257</v>
      </c>
      <c r="G1" s="514"/>
      <c r="H1" s="428"/>
    </row>
    <row r="2" spans="1:8">
      <c r="B2" s="476"/>
      <c r="C2" s="477" t="s">
        <v>34</v>
      </c>
      <c r="D2" s="478"/>
      <c r="E2" s="478"/>
      <c r="F2" s="514" t="s">
        <v>165</v>
      </c>
      <c r="G2" s="514"/>
      <c r="H2" s="428"/>
    </row>
    <row r="3" spans="1:8">
      <c r="B3" s="476"/>
      <c r="C3" s="477" t="s">
        <v>166</v>
      </c>
      <c r="D3" s="478"/>
      <c r="E3" s="478"/>
      <c r="F3" s="485"/>
      <c r="G3" s="485"/>
      <c r="H3" s="428"/>
    </row>
    <row r="4" spans="1:8">
      <c r="B4" s="476"/>
      <c r="C4" s="477" t="s">
        <v>167</v>
      </c>
      <c r="D4" s="478"/>
      <c r="E4" s="478"/>
      <c r="F4" s="485"/>
      <c r="G4" s="485"/>
      <c r="H4" s="428"/>
    </row>
    <row r="5" spans="1:8" s="441" customFormat="1" ht="51.75">
      <c r="C5" s="441" t="s">
        <v>258</v>
      </c>
      <c r="D5" s="441" t="s">
        <v>259</v>
      </c>
      <c r="E5" s="441" t="s">
        <v>0</v>
      </c>
    </row>
    <row r="6" spans="1:8">
      <c r="A6" s="407" t="s">
        <v>14</v>
      </c>
    </row>
    <row r="8" spans="1:8" ht="30">
      <c r="B8" s="440" t="s">
        <v>260</v>
      </c>
      <c r="C8" s="407">
        <v>-389705</v>
      </c>
      <c r="D8" s="407">
        <f>+'PreTax Net Income'!Y55</f>
        <v>418734</v>
      </c>
      <c r="E8" s="407">
        <f>+C8-D8</f>
        <v>-808439</v>
      </c>
    </row>
    <row r="10" spans="1:8">
      <c r="A10" s="407" t="s">
        <v>261</v>
      </c>
    </row>
    <row r="12" spans="1:8" ht="30">
      <c r="B12" s="440" t="s">
        <v>262</v>
      </c>
      <c r="C12" s="407">
        <f>+'401k estimate'!G145</f>
        <v>714994.49000000022</v>
      </c>
      <c r="D12" s="407">
        <f>+'PreTax Net Income'!Y56</f>
        <v>404796</v>
      </c>
      <c r="E12" s="407">
        <f>+C12-D12</f>
        <v>310198.49000000022</v>
      </c>
    </row>
    <row r="14" spans="1:8">
      <c r="A14" s="407" t="s">
        <v>5</v>
      </c>
    </row>
    <row r="16" spans="1:8">
      <c r="B16" s="440" t="s">
        <v>263</v>
      </c>
      <c r="C16" s="407">
        <v>499378</v>
      </c>
    </row>
    <row r="17" spans="1:5" ht="17.25">
      <c r="C17" s="430">
        <v>4</v>
      </c>
    </row>
    <row r="18" spans="1:5">
      <c r="B18" s="440" t="s">
        <v>264</v>
      </c>
      <c r="C18" s="407">
        <f>+C16*C17</f>
        <v>1997512</v>
      </c>
    </row>
    <row r="19" spans="1:5">
      <c r="B19" s="440" t="s">
        <v>265</v>
      </c>
      <c r="C19" s="442">
        <v>0.05</v>
      </c>
    </row>
    <row r="20" spans="1:5">
      <c r="C20" s="407">
        <f>+C18*(1+C19)</f>
        <v>2097387.6</v>
      </c>
      <c r="D20" s="407">
        <f>+'PreTax Net Income'!Y46</f>
        <v>1574112</v>
      </c>
      <c r="E20" s="407">
        <f>+C20-D20</f>
        <v>523275.60000000009</v>
      </c>
    </row>
    <row r="22" spans="1:5">
      <c r="A22" s="407" t="s">
        <v>6</v>
      </c>
    </row>
    <row r="24" spans="1:5">
      <c r="B24" s="440" t="s">
        <v>263</v>
      </c>
      <c r="C24" s="407">
        <f>+'Medical and Dental'!AF6+'Medical and Dental'!AF15</f>
        <v>50278.37</v>
      </c>
    </row>
    <row r="25" spans="1:5" ht="17.25">
      <c r="C25" s="430">
        <v>4</v>
      </c>
    </row>
    <row r="26" spans="1:5">
      <c r="B26" s="440" t="s">
        <v>264</v>
      </c>
      <c r="C26" s="407">
        <f>+C24*C25</f>
        <v>201113.48</v>
      </c>
    </row>
    <row r="27" spans="1:5">
      <c r="B27" s="440" t="s">
        <v>265</v>
      </c>
      <c r="C27" s="442">
        <v>0.05</v>
      </c>
    </row>
    <row r="28" spans="1:5" ht="17.25">
      <c r="C28" s="407">
        <f>+C26*(1+C27)</f>
        <v>211169.15400000001</v>
      </c>
      <c r="D28" s="407">
        <f>+'PreTax Net Income'!Y48+'PreTax Net Income'!Y57</f>
        <v>129221</v>
      </c>
      <c r="E28" s="430">
        <f>+C28-D28</f>
        <v>81948.15400000001</v>
      </c>
    </row>
    <row r="30" spans="1:5" ht="17.25">
      <c r="A30" s="407" t="s">
        <v>266</v>
      </c>
      <c r="E30" s="409">
        <f>SUM(E8:E28)</f>
        <v>106983.24400000033</v>
      </c>
    </row>
  </sheetData>
  <pageMargins left="0.7" right="0.7" top="0.75" bottom="0.75" header="0.3" footer="0.3"/>
  <pageSetup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opLeftCell="A13" workbookViewId="0">
      <selection activeCell="D13" sqref="D13"/>
    </sheetView>
  </sheetViews>
  <sheetFormatPr defaultRowHeight="15"/>
  <cols>
    <col min="1" max="1" width="31.42578125" style="407" bestFit="1" customWidth="1"/>
    <col min="2" max="2" width="1.7109375" style="407" customWidth="1"/>
    <col min="3" max="3" width="1.42578125" style="407" customWidth="1"/>
    <col min="4" max="5" width="9.85546875" style="407" bestFit="1" customWidth="1"/>
    <col min="6" max="6" width="9.5703125" style="407" bestFit="1" customWidth="1"/>
    <col min="7" max="7" width="11" style="407" bestFit="1" customWidth="1"/>
    <col min="8" max="8" width="9.85546875" style="407" bestFit="1" customWidth="1"/>
    <col min="9" max="9" width="9.5703125" style="407" bestFit="1" customWidth="1"/>
    <col min="10" max="10" width="9" style="407" bestFit="1" customWidth="1"/>
    <col min="11" max="11" width="10" style="432" customWidth="1"/>
    <col min="12" max="12" width="9.140625" style="407"/>
    <col min="13" max="13" width="9.7109375" style="407" bestFit="1" customWidth="1"/>
    <col min="14" max="14" width="10.5703125" style="443" customWidth="1"/>
    <col min="15" max="16384" width="9.140625" style="407"/>
  </cols>
  <sheetData>
    <row r="1" spans="1:15">
      <c r="E1" s="476"/>
      <c r="F1" s="477" t="s">
        <v>32</v>
      </c>
      <c r="G1" s="478"/>
      <c r="H1" s="478"/>
      <c r="I1" s="514" t="s">
        <v>267</v>
      </c>
      <c r="J1" s="514"/>
      <c r="K1" s="428"/>
    </row>
    <row r="2" spans="1:15">
      <c r="E2" s="476"/>
      <c r="F2" s="477" t="s">
        <v>34</v>
      </c>
      <c r="G2" s="478"/>
      <c r="H2" s="478"/>
      <c r="I2" s="514" t="s">
        <v>165</v>
      </c>
      <c r="J2" s="514"/>
      <c r="K2" s="428"/>
    </row>
    <row r="3" spans="1:15">
      <c r="E3" s="476"/>
      <c r="F3" s="477" t="s">
        <v>166</v>
      </c>
      <c r="G3" s="478"/>
      <c r="H3" s="478"/>
      <c r="I3" s="485"/>
      <c r="J3" s="485"/>
      <c r="K3" s="428"/>
    </row>
    <row r="4" spans="1:15">
      <c r="E4" s="476"/>
      <c r="F4" s="477" t="s">
        <v>167</v>
      </c>
      <c r="G4" s="478"/>
      <c r="H4" s="478"/>
      <c r="I4" s="485"/>
      <c r="J4" s="485"/>
      <c r="K4" s="428"/>
    </row>
    <row r="5" spans="1:15">
      <c r="A5" s="454"/>
      <c r="B5" s="414"/>
      <c r="C5" s="414"/>
      <c r="D5" s="414"/>
      <c r="E5" s="414"/>
      <c r="F5" s="414"/>
      <c r="G5" s="414"/>
      <c r="H5" s="414"/>
      <c r="I5" s="414"/>
      <c r="J5" s="414"/>
      <c r="K5" s="448"/>
    </row>
    <row r="6" spans="1:15" ht="16.5">
      <c r="A6" s="414"/>
      <c r="B6" s="414"/>
      <c r="C6" s="414"/>
      <c r="D6" s="534" t="s">
        <v>268</v>
      </c>
      <c r="E6" s="534"/>
      <c r="F6" s="534"/>
      <c r="G6" s="534"/>
      <c r="H6" s="534"/>
      <c r="I6" s="414"/>
      <c r="J6" s="414"/>
      <c r="K6" s="448"/>
    </row>
    <row r="7" spans="1:15" s="441" customFormat="1" ht="43.5">
      <c r="A7" s="418"/>
      <c r="B7" s="418"/>
      <c r="C7" s="418"/>
      <c r="D7" s="418" t="s">
        <v>269</v>
      </c>
      <c r="E7" s="418" t="s">
        <v>270</v>
      </c>
      <c r="F7" s="418" t="s">
        <v>271</v>
      </c>
      <c r="G7" s="418" t="s">
        <v>272</v>
      </c>
      <c r="H7" s="455" t="s">
        <v>256</v>
      </c>
      <c r="I7" s="455" t="s">
        <v>273</v>
      </c>
      <c r="J7" s="455" t="s">
        <v>274</v>
      </c>
      <c r="K7" s="456" t="s">
        <v>0</v>
      </c>
      <c r="N7" s="444"/>
    </row>
    <row r="8" spans="1:15">
      <c r="A8" s="414"/>
      <c r="B8" s="414"/>
      <c r="C8" s="414"/>
      <c r="D8" s="414">
        <f>+'Payroll Base and Adjustment '!V20+'Payroll Base and Adjustment '!AC4</f>
        <v>9372350.7300000004</v>
      </c>
      <c r="E8" s="414">
        <f>+'Payroll Base and Adjustment '!W20+'Payroll Base and Adjustment '!AC6</f>
        <v>310222.86</v>
      </c>
      <c r="F8" s="414">
        <f>+'Payroll Base and Adjustment '!X20+'Payroll Base and Adjustment '!AC8</f>
        <v>1041781.23</v>
      </c>
      <c r="G8" s="414">
        <f>+'Payroll Base and Adjustment '!Z20</f>
        <v>-505191.55</v>
      </c>
      <c r="H8" s="454">
        <f>SUM(D8:G8)</f>
        <v>10219163.27</v>
      </c>
      <c r="I8" s="454">
        <f>+'Payroll Base and Adjustment '!T24+'Payroll Base and Adjustment '!T28</f>
        <v>-2212736.1403556289</v>
      </c>
      <c r="J8" s="454">
        <f>+I8+H8</f>
        <v>8006427.1296443706</v>
      </c>
      <c r="K8" s="457"/>
      <c r="L8" s="445"/>
    </row>
    <row r="9" spans="1:15">
      <c r="A9" s="414" t="s">
        <v>275</v>
      </c>
      <c r="B9" s="414"/>
      <c r="C9" s="414"/>
      <c r="D9" s="414"/>
      <c r="E9" s="414"/>
      <c r="F9" s="414"/>
      <c r="G9" s="414">
        <f>-G8</f>
        <v>505191.55</v>
      </c>
      <c r="H9" s="454">
        <f>SUM(D9:G9)</f>
        <v>505191.55</v>
      </c>
      <c r="I9" s="454"/>
      <c r="J9" s="454"/>
      <c r="K9" s="457"/>
      <c r="N9" s="407"/>
      <c r="O9" s="446"/>
    </row>
    <row r="10" spans="1:15" ht="16.5">
      <c r="A10" s="414" t="s">
        <v>276</v>
      </c>
      <c r="B10" s="414"/>
      <c r="C10" s="414"/>
      <c r="D10" s="421">
        <v>0</v>
      </c>
      <c r="E10" s="421">
        <v>0</v>
      </c>
      <c r="F10" s="421">
        <f>-F8</f>
        <v>-1041781.23</v>
      </c>
      <c r="G10" s="421">
        <v>0</v>
      </c>
      <c r="H10" s="458">
        <f>SUM(D10:G10)</f>
        <v>-1041781.23</v>
      </c>
      <c r="I10" s="458"/>
      <c r="J10" s="458"/>
      <c r="K10" s="457"/>
    </row>
    <row r="11" spans="1:15">
      <c r="A11" s="414"/>
      <c r="B11" s="414"/>
      <c r="C11" s="414"/>
      <c r="D11" s="414">
        <f>SUM(D8:D10)</f>
        <v>9372350.7300000004</v>
      </c>
      <c r="E11" s="414">
        <f t="shared" ref="E11:H11" si="0">SUM(E8:E10)</f>
        <v>310222.86</v>
      </c>
      <c r="F11" s="414">
        <f t="shared" si="0"/>
        <v>0</v>
      </c>
      <c r="G11" s="414">
        <f t="shared" si="0"/>
        <v>0</v>
      </c>
      <c r="H11" s="454">
        <f t="shared" si="0"/>
        <v>9682573.5899999999</v>
      </c>
      <c r="I11" s="454"/>
      <c r="J11" s="454"/>
      <c r="K11" s="457"/>
      <c r="L11" s="432"/>
    </row>
    <row r="12" spans="1:15">
      <c r="A12" s="414" t="s">
        <v>277</v>
      </c>
      <c r="B12" s="414"/>
      <c r="C12" s="414"/>
      <c r="D12" s="414">
        <f>+'Payroll Base and Adjustment '!V40+'Payroll Base and Adjustment '!Y35-'Payroll Base and Adjustment '!Y35+'Payroll Base and Adjustment '!Y40</f>
        <v>440933.48755300615</v>
      </c>
      <c r="E12" s="414">
        <f>+'Payroll Base and Adjustment '!W40</f>
        <v>14507.887846993883</v>
      </c>
      <c r="F12" s="414"/>
      <c r="G12" s="414"/>
      <c r="H12" s="454">
        <f>SUM(D12:G12)</f>
        <v>455441.37540000002</v>
      </c>
      <c r="I12" s="454"/>
      <c r="J12" s="454"/>
      <c r="K12" s="457"/>
    </row>
    <row r="13" spans="1:15" ht="16.5">
      <c r="A13" s="414" t="s">
        <v>278</v>
      </c>
      <c r="B13" s="414"/>
      <c r="C13" s="414"/>
      <c r="D13" s="421">
        <v>0</v>
      </c>
      <c r="E13" s="421">
        <v>0</v>
      </c>
      <c r="F13" s="421">
        <v>545959</v>
      </c>
      <c r="G13" s="421">
        <v>0</v>
      </c>
      <c r="H13" s="458">
        <f>SUM(D13:G13)</f>
        <v>545959</v>
      </c>
      <c r="I13" s="458"/>
      <c r="J13" s="458"/>
      <c r="K13" s="457"/>
    </row>
    <row r="14" spans="1:15" ht="16.5">
      <c r="A14" s="414"/>
      <c r="B14" s="414"/>
      <c r="C14" s="414"/>
      <c r="D14" s="422">
        <f>SUM(D11:D13)</f>
        <v>9813284.2175530065</v>
      </c>
      <c r="E14" s="422">
        <f t="shared" ref="E14:H14" si="1">SUM(E11:E13)</f>
        <v>324730.74784699385</v>
      </c>
      <c r="F14" s="422">
        <f t="shared" si="1"/>
        <v>545959</v>
      </c>
      <c r="G14" s="422">
        <f t="shared" si="1"/>
        <v>0</v>
      </c>
      <c r="H14" s="459">
        <f t="shared" si="1"/>
        <v>10683973.965399999</v>
      </c>
      <c r="I14" s="459">
        <f>+'Payroll Base and Adjustment '!T44</f>
        <v>-2344081.5311845895</v>
      </c>
      <c r="J14" s="458">
        <f>+H14+I14</f>
        <v>8339892.4342154097</v>
      </c>
      <c r="K14" s="457"/>
    </row>
    <row r="15" spans="1:15">
      <c r="A15" s="414" t="s">
        <v>279</v>
      </c>
      <c r="B15" s="414"/>
      <c r="C15" s="414"/>
      <c r="D15" s="414"/>
      <c r="E15" s="414"/>
      <c r="F15" s="414"/>
      <c r="G15" s="414"/>
      <c r="H15" s="454"/>
      <c r="I15" s="454"/>
      <c r="J15" s="454"/>
      <c r="K15" s="454">
        <f>+J14-J8</f>
        <v>333465.30457103904</v>
      </c>
    </row>
    <row r="16" spans="1:15">
      <c r="A16" s="414"/>
      <c r="B16" s="414"/>
      <c r="C16" s="414"/>
      <c r="D16" s="414"/>
      <c r="E16" s="414"/>
      <c r="F16" s="414"/>
      <c r="G16" s="414"/>
      <c r="H16" s="454"/>
      <c r="I16" s="454"/>
      <c r="J16" s="454"/>
      <c r="K16" s="457"/>
    </row>
    <row r="17" spans="1:14">
      <c r="A17" s="454" t="s">
        <v>280</v>
      </c>
      <c r="B17" s="414"/>
      <c r="C17" s="414"/>
      <c r="D17" s="414"/>
      <c r="E17" s="414"/>
      <c r="F17" s="414"/>
      <c r="G17" s="414"/>
      <c r="H17" s="454"/>
      <c r="I17" s="454"/>
      <c r="J17" s="454"/>
      <c r="K17" s="457"/>
    </row>
    <row r="18" spans="1:14">
      <c r="A18" s="414" t="s">
        <v>281</v>
      </c>
      <c r="B18" s="414"/>
      <c r="C18" s="414"/>
      <c r="D18" s="414"/>
      <c r="E18" s="414"/>
      <c r="F18" s="414"/>
      <c r="G18" s="414"/>
      <c r="H18" s="454">
        <f>+'PreTax Net Income'!Y197+'PreTax Net Income'!Y198</f>
        <v>742151</v>
      </c>
      <c r="I18" s="454">
        <f>-0.2194*H18</f>
        <v>-162827.92940000002</v>
      </c>
      <c r="J18" s="454">
        <f>+H18+I18</f>
        <v>579323.07059999998</v>
      </c>
      <c r="K18" s="457"/>
    </row>
    <row r="19" spans="1:14">
      <c r="A19" s="414"/>
      <c r="B19" s="414"/>
      <c r="C19" s="414"/>
      <c r="D19" s="414"/>
      <c r="E19" s="414"/>
      <c r="F19" s="414"/>
      <c r="G19" s="414"/>
      <c r="H19" s="454"/>
      <c r="I19" s="454"/>
      <c r="J19" s="454"/>
      <c r="K19" s="457"/>
    </row>
    <row r="20" spans="1:14" ht="16.5">
      <c r="A20" s="410"/>
      <c r="B20" s="410"/>
      <c r="C20" s="410"/>
      <c r="D20" s="449" t="s">
        <v>282</v>
      </c>
      <c r="E20" s="449" t="s">
        <v>283</v>
      </c>
      <c r="F20" s="449" t="s">
        <v>284</v>
      </c>
      <c r="G20" s="449" t="s">
        <v>285</v>
      </c>
      <c r="H20" s="460"/>
      <c r="I20" s="454"/>
      <c r="J20" s="454"/>
      <c r="K20" s="460"/>
      <c r="L20" s="399"/>
      <c r="N20" s="399"/>
    </row>
    <row r="21" spans="1:14" ht="16.5">
      <c r="A21" s="410"/>
      <c r="B21" s="410"/>
      <c r="C21" s="410"/>
      <c r="D21" s="421">
        <f>+H14</f>
        <v>10683973.965399999</v>
      </c>
      <c r="E21" s="421">
        <f>+H14</f>
        <v>10683973.965399999</v>
      </c>
      <c r="F21" s="421">
        <v>1176000</v>
      </c>
      <c r="G21" s="421">
        <v>1814400</v>
      </c>
      <c r="H21" s="460"/>
      <c r="I21" s="454"/>
      <c r="J21" s="454"/>
      <c r="K21" s="460"/>
      <c r="L21" s="399"/>
      <c r="N21" s="399"/>
    </row>
    <row r="22" spans="1:14">
      <c r="A22" s="410" t="s">
        <v>6</v>
      </c>
      <c r="B22" s="414"/>
      <c r="C22" s="410"/>
      <c r="D22" s="414">
        <v>28626</v>
      </c>
      <c r="E22" s="414">
        <v>28626</v>
      </c>
      <c r="F22" s="414"/>
      <c r="G22" s="414"/>
      <c r="H22" s="460"/>
      <c r="I22" s="454"/>
      <c r="J22" s="454"/>
      <c r="K22" s="460"/>
      <c r="L22" s="399"/>
      <c r="N22" s="399"/>
    </row>
    <row r="23" spans="1:14">
      <c r="A23" s="410" t="s">
        <v>5</v>
      </c>
      <c r="B23" s="414"/>
      <c r="C23" s="410"/>
      <c r="D23" s="414">
        <v>298157</v>
      </c>
      <c r="E23" s="414">
        <v>298157</v>
      </c>
      <c r="F23" s="414"/>
      <c r="G23" s="414"/>
      <c r="H23" s="460"/>
      <c r="I23" s="454"/>
      <c r="J23" s="454"/>
      <c r="K23" s="460"/>
      <c r="L23" s="399"/>
      <c r="N23" s="399"/>
    </row>
    <row r="24" spans="1:14">
      <c r="A24" s="410" t="s">
        <v>286</v>
      </c>
      <c r="B24" s="414"/>
      <c r="C24" s="410"/>
      <c r="D24" s="414">
        <v>695</v>
      </c>
      <c r="E24" s="414">
        <v>695</v>
      </c>
      <c r="F24" s="414"/>
      <c r="G24" s="414"/>
      <c r="H24" s="460"/>
      <c r="I24" s="454"/>
      <c r="J24" s="454"/>
      <c r="K24" s="460"/>
      <c r="L24" s="399"/>
      <c r="N24" s="399"/>
    </row>
    <row r="25" spans="1:14">
      <c r="A25" s="410" t="s">
        <v>287</v>
      </c>
      <c r="B25" s="414"/>
      <c r="C25" s="410"/>
      <c r="D25" s="414">
        <v>24625</v>
      </c>
      <c r="E25" s="414">
        <v>24625</v>
      </c>
      <c r="F25" s="414"/>
      <c r="G25" s="414"/>
      <c r="H25" s="460"/>
      <c r="I25" s="454"/>
      <c r="J25" s="454"/>
      <c r="K25" s="460"/>
      <c r="L25" s="399"/>
      <c r="N25" s="399"/>
    </row>
    <row r="26" spans="1:14">
      <c r="A26" s="410" t="s">
        <v>288</v>
      </c>
      <c r="B26" s="414"/>
      <c r="C26" s="410"/>
      <c r="D26" s="414">
        <v>4624</v>
      </c>
      <c r="E26" s="414">
        <v>4624</v>
      </c>
      <c r="F26" s="414"/>
      <c r="G26" s="414"/>
      <c r="H26" s="460"/>
      <c r="I26" s="454"/>
      <c r="J26" s="454"/>
      <c r="K26" s="460"/>
      <c r="L26" s="399"/>
      <c r="N26" s="399"/>
    </row>
    <row r="27" spans="1:14" ht="16.5">
      <c r="A27" s="410" t="s">
        <v>289</v>
      </c>
      <c r="B27" s="414"/>
      <c r="C27" s="410"/>
      <c r="D27" s="421">
        <v>274885.64800000004</v>
      </c>
      <c r="E27" s="421">
        <v>0</v>
      </c>
      <c r="F27" s="421">
        <v>0</v>
      </c>
      <c r="G27" s="421">
        <v>0</v>
      </c>
      <c r="H27" s="460"/>
      <c r="I27" s="454"/>
      <c r="J27" s="454"/>
      <c r="K27" s="460"/>
      <c r="L27" s="399"/>
      <c r="N27" s="399"/>
    </row>
    <row r="28" spans="1:14">
      <c r="A28" s="410" t="s">
        <v>290</v>
      </c>
      <c r="B28" s="414"/>
      <c r="C28" s="410"/>
      <c r="D28" s="414">
        <f>SUM(D22:D27)</f>
        <v>631612.64800000004</v>
      </c>
      <c r="E28" s="414">
        <f>SUM(E22:E27)</f>
        <v>356727</v>
      </c>
      <c r="F28" s="414">
        <f>SUM(F22:F27)</f>
        <v>0</v>
      </c>
      <c r="G28" s="414">
        <f>SUM(G22:G27)</f>
        <v>0</v>
      </c>
      <c r="H28" s="460"/>
      <c r="I28" s="454"/>
      <c r="J28" s="454"/>
      <c r="K28" s="460"/>
      <c r="L28" s="399"/>
      <c r="N28" s="399"/>
    </row>
    <row r="29" spans="1:14">
      <c r="A29" s="410"/>
      <c r="B29" s="414"/>
      <c r="C29" s="410"/>
      <c r="D29" s="414"/>
      <c r="E29" s="414"/>
      <c r="F29" s="414"/>
      <c r="G29" s="414"/>
      <c r="H29" s="460"/>
      <c r="I29" s="454"/>
      <c r="J29" s="454"/>
      <c r="K29" s="460"/>
      <c r="L29" s="399"/>
      <c r="N29" s="399"/>
    </row>
    <row r="30" spans="1:14" ht="16.5">
      <c r="A30" s="410"/>
      <c r="B30" s="414"/>
      <c r="C30" s="410"/>
      <c r="D30" s="449" t="s">
        <v>282</v>
      </c>
      <c r="E30" s="449" t="s">
        <v>283</v>
      </c>
      <c r="F30" s="449" t="s">
        <v>284</v>
      </c>
      <c r="G30" s="449" t="s">
        <v>285</v>
      </c>
      <c r="H30" s="460"/>
      <c r="I30" s="454"/>
      <c r="J30" s="454"/>
      <c r="K30" s="460"/>
      <c r="L30" s="399"/>
      <c r="N30" s="399"/>
    </row>
    <row r="31" spans="1:14">
      <c r="A31" s="410" t="s">
        <v>291</v>
      </c>
      <c r="B31" s="414"/>
      <c r="C31" s="410"/>
      <c r="D31" s="414">
        <f>+D21-D28</f>
        <v>10052361.317399999</v>
      </c>
      <c r="E31" s="414">
        <f t="shared" ref="E31:G31" si="2">+E21-E28</f>
        <v>10327246.965399999</v>
      </c>
      <c r="F31" s="414">
        <f t="shared" si="2"/>
        <v>1176000</v>
      </c>
      <c r="G31" s="414">
        <f t="shared" si="2"/>
        <v>1814400</v>
      </c>
      <c r="H31" s="460"/>
      <c r="I31" s="454"/>
      <c r="J31" s="454"/>
      <c r="K31" s="460"/>
      <c r="L31" s="399"/>
      <c r="M31" s="443"/>
      <c r="N31" s="399"/>
    </row>
    <row r="32" spans="1:14">
      <c r="A32" s="410" t="s">
        <v>292</v>
      </c>
      <c r="B32" s="414"/>
      <c r="C32" s="410"/>
      <c r="D32" s="450">
        <v>6.2E-2</v>
      </c>
      <c r="E32" s="450">
        <v>1.4500000000000001E-2</v>
      </c>
      <c r="F32" s="450">
        <v>6.0000000000000001E-3</v>
      </c>
      <c r="G32" s="450">
        <v>5.0000000000000001E-3</v>
      </c>
      <c r="H32" s="460"/>
      <c r="I32" s="454"/>
      <c r="J32" s="454"/>
      <c r="K32" s="460"/>
      <c r="L32" s="399"/>
      <c r="N32" s="399"/>
    </row>
    <row r="33" spans="1:14" ht="16.5">
      <c r="A33" s="410"/>
      <c r="B33" s="410"/>
      <c r="C33" s="410"/>
      <c r="D33" s="422">
        <f>+D31*D32</f>
        <v>623246.40167879988</v>
      </c>
      <c r="E33" s="422">
        <f t="shared" ref="E33:G33" si="3">+E31*E32</f>
        <v>149745.08099829999</v>
      </c>
      <c r="F33" s="422">
        <f t="shared" si="3"/>
        <v>7056</v>
      </c>
      <c r="G33" s="422">
        <f t="shared" si="3"/>
        <v>9072</v>
      </c>
      <c r="H33" s="461">
        <f>SUM(D33:G33)</f>
        <v>789119.48267709988</v>
      </c>
      <c r="I33" s="459">
        <f>-0.2194*H33</f>
        <v>-173132.81449935574</v>
      </c>
      <c r="J33" s="458">
        <f>+H33+I33</f>
        <v>615986.66817774414</v>
      </c>
      <c r="K33" s="457"/>
      <c r="L33" s="399"/>
      <c r="N33" s="399"/>
    </row>
    <row r="34" spans="1:14" ht="17.25">
      <c r="A34" s="410"/>
      <c r="B34" s="410"/>
      <c r="C34" s="410"/>
      <c r="D34" s="410"/>
      <c r="E34" s="410"/>
      <c r="F34" s="410"/>
      <c r="G34" s="410"/>
      <c r="H34" s="462">
        <f>+H33-H18</f>
        <v>46968.482677099877</v>
      </c>
      <c r="I34" s="459"/>
      <c r="J34" s="454"/>
      <c r="K34" s="458">
        <f>+J33-J18</f>
        <v>36663.597577744164</v>
      </c>
      <c r="L34" s="399"/>
      <c r="M34" s="430"/>
      <c r="N34" s="399"/>
    </row>
    <row r="35" spans="1:14" ht="16.5">
      <c r="A35" s="410"/>
      <c r="B35" s="410"/>
      <c r="C35" s="410"/>
      <c r="D35" s="410"/>
      <c r="E35" s="410"/>
      <c r="F35" s="410"/>
      <c r="G35" s="410"/>
      <c r="H35" s="460"/>
      <c r="I35" s="460"/>
      <c r="J35" s="460"/>
      <c r="K35" s="462">
        <f>SUM(K15:K34)</f>
        <v>370128.90214878321</v>
      </c>
      <c r="L35" s="399"/>
      <c r="N35" s="399"/>
    </row>
    <row r="36" spans="1:14">
      <c r="A36" s="399"/>
      <c r="B36" s="399"/>
      <c r="C36" s="399"/>
      <c r="D36" s="399"/>
      <c r="E36" s="451"/>
      <c r="F36" s="452"/>
      <c r="G36" s="451"/>
      <c r="H36" s="399"/>
      <c r="I36" s="399"/>
      <c r="J36" s="399"/>
      <c r="K36" s="399"/>
      <c r="L36" s="399"/>
      <c r="M36" s="442"/>
      <c r="N36" s="399"/>
    </row>
    <row r="37" spans="1:14">
      <c r="A37" s="399"/>
      <c r="B37" s="399"/>
      <c r="C37" s="399"/>
      <c r="D37" s="399"/>
      <c r="E37" s="451"/>
      <c r="F37" s="451"/>
      <c r="G37" s="451"/>
      <c r="H37" s="399"/>
      <c r="I37" s="399"/>
      <c r="J37" s="399"/>
      <c r="K37" s="399"/>
      <c r="L37" s="399"/>
      <c r="M37" s="453"/>
      <c r="N37" s="399"/>
    </row>
    <row r="38" spans="1:14">
      <c r="A38" s="399"/>
      <c r="B38" s="399"/>
      <c r="C38" s="399"/>
      <c r="D38" s="399"/>
      <c r="E38" s="451"/>
      <c r="F38" s="447"/>
      <c r="G38" s="451"/>
      <c r="H38" s="399"/>
      <c r="I38" s="399"/>
      <c r="J38" s="399"/>
      <c r="K38" s="399"/>
      <c r="L38" s="399"/>
      <c r="N38" s="399"/>
    </row>
  </sheetData>
  <mergeCells count="1">
    <mergeCell ref="D6:H6"/>
  </mergeCell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11</vt:i4>
      </vt:variant>
    </vt:vector>
  </HeadingPairs>
  <TitlesOfParts>
    <vt:vector size="36" baseType="lpstr">
      <vt:lpstr>Tab 56 - Sched C-1 Summary</vt:lpstr>
      <vt:lpstr>Tab 57 - Sched D-1 Adj by Act</vt:lpstr>
      <vt:lpstr>Tab 57 - Sched D-2 Adjustments</vt:lpstr>
      <vt:lpstr>D-2.1</vt:lpstr>
      <vt:lpstr>D-2.2</vt:lpstr>
      <vt:lpstr>D-2.3</vt:lpstr>
      <vt:lpstr>D-2.4</vt:lpstr>
      <vt:lpstr>D-2.5</vt:lpstr>
      <vt:lpstr>D-2.6</vt:lpstr>
      <vt:lpstr>D-2.7</vt:lpstr>
      <vt:lpstr>D-2.8</vt:lpstr>
      <vt:lpstr>D-2.9</vt:lpstr>
      <vt:lpstr>Income Statement Summary</vt:lpstr>
      <vt:lpstr>Income Statement Detail</vt:lpstr>
      <vt:lpstr>PreTax Net Income</vt:lpstr>
      <vt:lpstr>Op Revenue</vt:lpstr>
      <vt:lpstr>Prime Group Revenue Calc</vt:lpstr>
      <vt:lpstr>Gas Cost</vt:lpstr>
      <vt:lpstr>Lobbying</vt:lpstr>
      <vt:lpstr>Property Tax</vt:lpstr>
      <vt:lpstr>Payroll Base and Adjustment </vt:lpstr>
      <vt:lpstr>Payroll Taxes</vt:lpstr>
      <vt:lpstr>Medical and Dental</vt:lpstr>
      <vt:lpstr>401k estimate</vt:lpstr>
      <vt:lpstr>Pensions</vt:lpstr>
      <vt:lpstr>'D-2.6'!Print_Area</vt:lpstr>
      <vt:lpstr>'Income Statement Summary'!Print_Area</vt:lpstr>
      <vt:lpstr>'Payroll Base and Adjustment '!Print_Area</vt:lpstr>
      <vt:lpstr>'Tab 56 - Sched C-1 Summary'!Print_Area</vt:lpstr>
      <vt:lpstr>'Tab 57 - Sched D-1 Adj by Act'!Print_Area</vt:lpstr>
      <vt:lpstr>'Tab 57 - Sched D-2 Adjustments'!Print_Area</vt:lpstr>
      <vt:lpstr>'Income Statement Detail'!Print_Titles</vt:lpstr>
      <vt:lpstr>'Income Statement Summary'!Print_Titles</vt:lpstr>
      <vt:lpstr>'Payroll Base and Adjustment '!Print_Titles</vt:lpstr>
      <vt:lpstr>'Tab 57 - Sched D-1 Adj by Act'!Print_Titles</vt:lpstr>
      <vt:lpstr>'Tab 57 - Sched D-2 Adjustments'!Print_Titles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2021-06-11T17:16:45Z</dcterms:created>
  <dcterms:modified xsi:type="dcterms:W3CDTF">2021-06-11T17:18:09Z</dcterms:modified>
  <cp:category/>
  <cp:contentStatus/>
</cp:coreProperties>
</file>