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Schedule N/"/>
    </mc:Choice>
  </mc:AlternateContent>
  <xr:revisionPtr revIDLastSave="384" documentId="8_{3C70A457-4C8A-4E0D-B51C-C51D85BFBE54}" xr6:coauthVersionLast="47" xr6:coauthVersionMax="47" xr10:uidLastSave="{B9A0AC31-7418-44CF-AC33-0DDF1A2746B0}"/>
  <bookViews>
    <workbookView xWindow="6300" yWindow="2640" windowWidth="21510" windowHeight="11370" firstSheet="4" xr2:uid="{2BD521CD-D0F2-48E1-9A20-A9567B1962A4}"/>
  </bookViews>
  <sheets>
    <sheet name="Res (DR)" sheetId="1" r:id="rId1"/>
    <sheet name="Res (Transp)" sheetId="2" r:id="rId2"/>
    <sheet name="Farm Tap (DR)" sheetId="16" r:id="rId3"/>
    <sheet name="Sm Non-Res (DR)" sheetId="3" r:id="rId4"/>
    <sheet name="Sm Non-Res (Transp)" sheetId="12" r:id="rId5"/>
    <sheet name="Lg Non-Res (DR)" sheetId="4" r:id="rId6"/>
    <sheet name="Lg Non-Res (Transp)" sheetId="14" r:id="rId7"/>
    <sheet name="Interrupt (Transp)" sheetId="15" r:id="rId8"/>
    <sheet name="Off System" sheetId="5" r:id="rId9"/>
  </sheets>
  <definedNames>
    <definedName name="_xlnm.Print_Area" localSheetId="2">'Farm Tap (DR)'!$A$1:$K$39</definedName>
    <definedName name="_xlnm.Print_Area" localSheetId="7">'Interrupt (Transp)'!$A$1:$K$39</definedName>
    <definedName name="_xlnm.Print_Area" localSheetId="5">'Lg Non-Res (DR)'!$A$1:$K$41</definedName>
    <definedName name="_xlnm.Print_Area" localSheetId="8">'Off System'!$A$1:$K$39</definedName>
    <definedName name="_xlnm.Print_Area" localSheetId="0">'Res (DR)'!$A$1:$K$39</definedName>
    <definedName name="_xlnm.Print_Area" localSheetId="1">'Res (Transp)'!$A$1:$K$39</definedName>
    <definedName name="_xlnm.Print_Area" localSheetId="3">'Sm Non-Res (DR)'!$A$1:$K$39</definedName>
    <definedName name="_xlnm.Print_Area" localSheetId="4">'Sm Non-Res (Transp)'!$A$1:$K$39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B36" i="5"/>
  <c r="C34" i="5"/>
  <c r="B34" i="5"/>
  <c r="C32" i="5"/>
  <c r="B32" i="5"/>
  <c r="C30" i="5"/>
  <c r="B30" i="5"/>
  <c r="C28" i="5"/>
  <c r="B28" i="5"/>
  <c r="C26" i="5"/>
  <c r="B26" i="5"/>
  <c r="C24" i="5"/>
  <c r="B24" i="5"/>
  <c r="C22" i="5"/>
  <c r="B22" i="5"/>
  <c r="C20" i="5"/>
  <c r="B20" i="5"/>
  <c r="F36" i="5"/>
  <c r="F34" i="5"/>
  <c r="F32" i="5"/>
  <c r="F30" i="5"/>
  <c r="F28" i="5"/>
  <c r="F26" i="5"/>
  <c r="F24" i="5"/>
  <c r="F22" i="5"/>
  <c r="F20" i="5"/>
  <c r="C36" i="16"/>
  <c r="H36" i="16" s="1"/>
  <c r="B36" i="16"/>
  <c r="D36" i="16" s="1"/>
  <c r="E36" i="16" s="1"/>
  <c r="C34" i="16"/>
  <c r="B34" i="16"/>
  <c r="D34" i="16" s="1"/>
  <c r="E34" i="16" s="1"/>
  <c r="C32" i="16"/>
  <c r="B32" i="16"/>
  <c r="C30" i="16"/>
  <c r="B30" i="16"/>
  <c r="D30" i="16" s="1"/>
  <c r="E30" i="16" s="1"/>
  <c r="C28" i="16"/>
  <c r="B28" i="16"/>
  <c r="D28" i="16" s="1"/>
  <c r="E28" i="16" s="1"/>
  <c r="C26" i="16"/>
  <c r="B26" i="16"/>
  <c r="C24" i="16"/>
  <c r="B24" i="16"/>
  <c r="C22" i="16"/>
  <c r="B22" i="16"/>
  <c r="D22" i="16" s="1"/>
  <c r="E22" i="16" s="1"/>
  <c r="C20" i="16"/>
  <c r="B20" i="16"/>
  <c r="G20" i="16" s="1"/>
  <c r="F36" i="16"/>
  <c r="H34" i="16"/>
  <c r="F34" i="16"/>
  <c r="G34" i="16"/>
  <c r="H32" i="16"/>
  <c r="F32" i="16"/>
  <c r="D32" i="16"/>
  <c r="E32" i="16" s="1"/>
  <c r="G32" i="16"/>
  <c r="H30" i="16"/>
  <c r="F30" i="16"/>
  <c r="G30" i="16"/>
  <c r="H28" i="16"/>
  <c r="F28" i="16"/>
  <c r="H26" i="16"/>
  <c r="F26" i="16"/>
  <c r="D26" i="16"/>
  <c r="E26" i="16" s="1"/>
  <c r="G26" i="16"/>
  <c r="F24" i="16"/>
  <c r="D24" i="16"/>
  <c r="E24" i="16" s="1"/>
  <c r="F22" i="16"/>
  <c r="H20" i="16"/>
  <c r="F20" i="16"/>
  <c r="I36" i="16" l="1"/>
  <c r="G22" i="16"/>
  <c r="I22" i="16" s="1"/>
  <c r="G28" i="16"/>
  <c r="G36" i="16"/>
  <c r="I28" i="16"/>
  <c r="I32" i="16"/>
  <c r="D20" i="16"/>
  <c r="E20" i="16" s="1"/>
  <c r="I20" i="16"/>
  <c r="G24" i="16"/>
  <c r="H24" i="16"/>
  <c r="H22" i="16"/>
  <c r="I26" i="16"/>
  <c r="I30" i="16"/>
  <c r="I34" i="16"/>
  <c r="C36" i="15"/>
  <c r="B36" i="15"/>
  <c r="C34" i="15"/>
  <c r="B34" i="15"/>
  <c r="G34" i="15"/>
  <c r="C32" i="15"/>
  <c r="B32" i="15"/>
  <c r="C30" i="15"/>
  <c r="H30" i="15" s="1"/>
  <c r="B30" i="15"/>
  <c r="C28" i="15"/>
  <c r="B28" i="15"/>
  <c r="G28" i="15" s="1"/>
  <c r="C26" i="15"/>
  <c r="B26" i="15"/>
  <c r="C24" i="15"/>
  <c r="B24" i="15"/>
  <c r="C22" i="15"/>
  <c r="H22" i="15" s="1"/>
  <c r="B22" i="15"/>
  <c r="G22" i="15" s="1"/>
  <c r="C20" i="15"/>
  <c r="B20" i="15"/>
  <c r="F36" i="15"/>
  <c r="F34" i="15"/>
  <c r="H34" i="15"/>
  <c r="F32" i="15"/>
  <c r="F30" i="15"/>
  <c r="G30" i="15"/>
  <c r="F28" i="15"/>
  <c r="F26" i="15"/>
  <c r="F24" i="15"/>
  <c r="F22" i="15"/>
  <c r="F20" i="15"/>
  <c r="F38" i="14"/>
  <c r="F36" i="14"/>
  <c r="F34" i="14"/>
  <c r="F32" i="14"/>
  <c r="F30" i="14"/>
  <c r="F28" i="14"/>
  <c r="F26" i="14"/>
  <c r="F24" i="14"/>
  <c r="F22" i="14"/>
  <c r="G22" i="14"/>
  <c r="F20" i="14"/>
  <c r="C28" i="14"/>
  <c r="B28" i="14"/>
  <c r="G28" i="14" s="1"/>
  <c r="C26" i="14"/>
  <c r="D26" i="14" s="1"/>
  <c r="B26" i="14"/>
  <c r="C24" i="14"/>
  <c r="D24" i="14" s="1"/>
  <c r="B24" i="14"/>
  <c r="C22" i="14"/>
  <c r="H22" i="14" s="1"/>
  <c r="B22" i="14"/>
  <c r="C38" i="14"/>
  <c r="H38" i="14" s="1"/>
  <c r="B38" i="14"/>
  <c r="G38" i="14" s="1"/>
  <c r="C36" i="14"/>
  <c r="H36" i="14" s="1"/>
  <c r="B36" i="14"/>
  <c r="C34" i="14"/>
  <c r="H34" i="14" s="1"/>
  <c r="B34" i="14"/>
  <c r="G34" i="14" s="1"/>
  <c r="C32" i="14"/>
  <c r="H32" i="14" s="1"/>
  <c r="I32" i="14" s="1"/>
  <c r="B32" i="14"/>
  <c r="G32" i="14" s="1"/>
  <c r="C30" i="14"/>
  <c r="B30" i="14"/>
  <c r="G30" i="14" s="1"/>
  <c r="H28" i="14"/>
  <c r="H26" i="14"/>
  <c r="G26" i="14"/>
  <c r="C20" i="14"/>
  <c r="B20" i="14"/>
  <c r="G20" i="14" s="1"/>
  <c r="C38" i="4"/>
  <c r="B38" i="4"/>
  <c r="G38" i="4"/>
  <c r="C36" i="4"/>
  <c r="B36" i="4"/>
  <c r="C34" i="4"/>
  <c r="H34" i="4" s="1"/>
  <c r="B34" i="4"/>
  <c r="C32" i="4"/>
  <c r="B32" i="4"/>
  <c r="C30" i="4"/>
  <c r="B30" i="4"/>
  <c r="G30" i="4" s="1"/>
  <c r="C28" i="4"/>
  <c r="B28" i="4"/>
  <c r="B26" i="4"/>
  <c r="C26" i="4"/>
  <c r="H26" i="4" s="1"/>
  <c r="C24" i="4"/>
  <c r="H24" i="4" s="1"/>
  <c r="B24" i="4"/>
  <c r="C22" i="4"/>
  <c r="B22" i="4"/>
  <c r="C20" i="4"/>
  <c r="B20" i="4"/>
  <c r="F26" i="4"/>
  <c r="F36" i="12"/>
  <c r="F34" i="12"/>
  <c r="F32" i="12"/>
  <c r="F30" i="12"/>
  <c r="F28" i="12"/>
  <c r="F26" i="12"/>
  <c r="F24" i="12"/>
  <c r="F22" i="12"/>
  <c r="F20" i="12"/>
  <c r="C36" i="12"/>
  <c r="H36" i="12" s="1"/>
  <c r="B36" i="12"/>
  <c r="G36" i="12" s="1"/>
  <c r="C34" i="12"/>
  <c r="H34" i="12" s="1"/>
  <c r="B34" i="12"/>
  <c r="G34" i="12" s="1"/>
  <c r="C32" i="12"/>
  <c r="H32" i="12" s="1"/>
  <c r="B32" i="12"/>
  <c r="G32" i="12" s="1"/>
  <c r="C30" i="12"/>
  <c r="H30" i="12" s="1"/>
  <c r="B30" i="12"/>
  <c r="C28" i="12"/>
  <c r="B28" i="12"/>
  <c r="C26" i="12"/>
  <c r="B26" i="12"/>
  <c r="G26" i="12" s="1"/>
  <c r="C24" i="12"/>
  <c r="B24" i="12"/>
  <c r="G24" i="12" s="1"/>
  <c r="C22" i="12"/>
  <c r="B22" i="12"/>
  <c r="G22" i="12" s="1"/>
  <c r="C20" i="12"/>
  <c r="H20" i="12" s="1"/>
  <c r="B20" i="12"/>
  <c r="G20" i="12" s="1"/>
  <c r="C36" i="3"/>
  <c r="B36" i="3"/>
  <c r="C34" i="3"/>
  <c r="B34" i="3"/>
  <c r="C32" i="3"/>
  <c r="B32" i="3"/>
  <c r="C30" i="3"/>
  <c r="H30" i="3" s="1"/>
  <c r="B30" i="3"/>
  <c r="G30" i="3" s="1"/>
  <c r="C28" i="3"/>
  <c r="B28" i="3"/>
  <c r="C26" i="3"/>
  <c r="B26" i="3"/>
  <c r="C24" i="3"/>
  <c r="B24" i="3"/>
  <c r="C22" i="3"/>
  <c r="B22" i="3"/>
  <c r="C20" i="3"/>
  <c r="B20" i="3"/>
  <c r="F36" i="2"/>
  <c r="F34" i="2"/>
  <c r="H34" i="2" s="1"/>
  <c r="F32" i="2"/>
  <c r="F30" i="2"/>
  <c r="H30" i="2" s="1"/>
  <c r="F28" i="2"/>
  <c r="F26" i="2"/>
  <c r="F24" i="2"/>
  <c r="F22" i="2"/>
  <c r="F20" i="2"/>
  <c r="H20" i="2" s="1"/>
  <c r="I20" i="2" s="1"/>
  <c r="H34" i="5"/>
  <c r="G34" i="5"/>
  <c r="G32" i="5"/>
  <c r="H30" i="5"/>
  <c r="D26" i="5"/>
  <c r="E26" i="5" s="1"/>
  <c r="G26" i="5"/>
  <c r="G24" i="5"/>
  <c r="H22" i="5"/>
  <c r="G22" i="5"/>
  <c r="G20" i="5"/>
  <c r="F38" i="4"/>
  <c r="F36" i="4"/>
  <c r="F34" i="4"/>
  <c r="F32" i="4"/>
  <c r="F30" i="4"/>
  <c r="H30" i="4"/>
  <c r="F28" i="4"/>
  <c r="G28" i="4"/>
  <c r="F24" i="4"/>
  <c r="G24" i="4"/>
  <c r="F22" i="4"/>
  <c r="H22" i="4"/>
  <c r="G22" i="4"/>
  <c r="F20" i="4"/>
  <c r="G20" i="4" s="1"/>
  <c r="F36" i="3"/>
  <c r="G36" i="3" s="1"/>
  <c r="F34" i="3"/>
  <c r="G34" i="3" s="1"/>
  <c r="F32" i="3"/>
  <c r="F30" i="3"/>
  <c r="F28" i="3"/>
  <c r="F26" i="3"/>
  <c r="G26" i="3" s="1"/>
  <c r="F24" i="3"/>
  <c r="G24" i="3" s="1"/>
  <c r="F22" i="3"/>
  <c r="F20" i="3"/>
  <c r="H20" i="3"/>
  <c r="G20" i="3"/>
  <c r="H36" i="2"/>
  <c r="I36" i="2" s="1"/>
  <c r="G36" i="2"/>
  <c r="C36" i="2"/>
  <c r="D36" i="2" s="1"/>
  <c r="E36" i="2" s="1"/>
  <c r="B36" i="2"/>
  <c r="C34" i="2"/>
  <c r="D34" i="2" s="1"/>
  <c r="E34" i="2" s="1"/>
  <c r="B34" i="2"/>
  <c r="H32" i="2"/>
  <c r="I32" i="2" s="1"/>
  <c r="G32" i="2"/>
  <c r="C32" i="2"/>
  <c r="D32" i="2" s="1"/>
  <c r="E32" i="2" s="1"/>
  <c r="B32" i="2"/>
  <c r="C30" i="2"/>
  <c r="D30" i="2" s="1"/>
  <c r="E30" i="2" s="1"/>
  <c r="B30" i="2"/>
  <c r="H28" i="2"/>
  <c r="I28" i="2" s="1"/>
  <c r="G28" i="2"/>
  <c r="C28" i="2"/>
  <c r="D28" i="2" s="1"/>
  <c r="E28" i="2" s="1"/>
  <c r="B28" i="2"/>
  <c r="H26" i="2"/>
  <c r="I26" i="2" s="1"/>
  <c r="G26" i="2"/>
  <c r="C26" i="2"/>
  <c r="D26" i="2" s="1"/>
  <c r="E26" i="2" s="1"/>
  <c r="B26" i="2"/>
  <c r="H24" i="2"/>
  <c r="G24" i="2"/>
  <c r="C24" i="2"/>
  <c r="D24" i="2" s="1"/>
  <c r="E24" i="2" s="1"/>
  <c r="B24" i="2"/>
  <c r="G22" i="2"/>
  <c r="C22" i="2"/>
  <c r="D22" i="2" s="1"/>
  <c r="E22" i="2" s="1"/>
  <c r="B22" i="2"/>
  <c r="G20" i="2"/>
  <c r="C20" i="2"/>
  <c r="D20" i="2" s="1"/>
  <c r="E20" i="2" s="1"/>
  <c r="B20" i="2"/>
  <c r="F36" i="1"/>
  <c r="C36" i="1"/>
  <c r="B36" i="1"/>
  <c r="F34" i="1"/>
  <c r="C34" i="1"/>
  <c r="B34" i="1"/>
  <c r="F32" i="1"/>
  <c r="C32" i="1"/>
  <c r="H32" i="1" s="1"/>
  <c r="I32" i="1" s="1"/>
  <c r="B32" i="1"/>
  <c r="G32" i="1" s="1"/>
  <c r="F30" i="1"/>
  <c r="C30" i="1"/>
  <c r="H30" i="1" s="1"/>
  <c r="B30" i="1"/>
  <c r="G30" i="1" s="1"/>
  <c r="F28" i="1"/>
  <c r="C28" i="1"/>
  <c r="B28" i="1"/>
  <c r="G28" i="1" s="1"/>
  <c r="H26" i="1"/>
  <c r="F26" i="1"/>
  <c r="C26" i="1"/>
  <c r="D26" i="1" s="1"/>
  <c r="E26" i="1" s="1"/>
  <c r="B26" i="1"/>
  <c r="G26" i="1" s="1"/>
  <c r="F24" i="1"/>
  <c r="C24" i="1"/>
  <c r="B24" i="1"/>
  <c r="F22" i="1"/>
  <c r="H22" i="1" s="1"/>
  <c r="C22" i="1"/>
  <c r="D22" i="1" s="1"/>
  <c r="E22" i="1" s="1"/>
  <c r="B22" i="1"/>
  <c r="F20" i="1"/>
  <c r="C20" i="1"/>
  <c r="D20" i="1" s="1"/>
  <c r="E20" i="1" s="1"/>
  <c r="B20" i="1"/>
  <c r="G20" i="1" s="1"/>
  <c r="G36" i="5" l="1"/>
  <c r="H36" i="5"/>
  <c r="D32" i="5"/>
  <c r="E32" i="5" s="1"/>
  <c r="G30" i="5"/>
  <c r="I30" i="5" s="1"/>
  <c r="G28" i="5"/>
  <c r="H28" i="5"/>
  <c r="I28" i="5" s="1"/>
  <c r="H24" i="5"/>
  <c r="I24" i="5" s="1"/>
  <c r="I22" i="5"/>
  <c r="H20" i="5"/>
  <c r="I20" i="5" s="1"/>
  <c r="I24" i="16"/>
  <c r="H28" i="15"/>
  <c r="G20" i="15"/>
  <c r="I20" i="15" s="1"/>
  <c r="H20" i="15"/>
  <c r="G26" i="15"/>
  <c r="H26" i="15"/>
  <c r="G36" i="15"/>
  <c r="H36" i="15"/>
  <c r="I36" i="15" s="1"/>
  <c r="H32" i="15"/>
  <c r="G32" i="15"/>
  <c r="I32" i="15" s="1"/>
  <c r="I26" i="15"/>
  <c r="G24" i="15"/>
  <c r="H24" i="15"/>
  <c r="I24" i="15" s="1"/>
  <c r="I34" i="15"/>
  <c r="I30" i="15"/>
  <c r="I28" i="15"/>
  <c r="I22" i="15"/>
  <c r="D20" i="15"/>
  <c r="E20" i="15" s="1"/>
  <c r="D22" i="15"/>
  <c r="E22" i="15" s="1"/>
  <c r="D24" i="15"/>
  <c r="E24" i="15" s="1"/>
  <c r="D26" i="15"/>
  <c r="E26" i="15" s="1"/>
  <c r="D28" i="15"/>
  <c r="E28" i="15" s="1"/>
  <c r="D30" i="15"/>
  <c r="E30" i="15" s="1"/>
  <c r="D32" i="15"/>
  <c r="E32" i="15" s="1"/>
  <c r="D34" i="15"/>
  <c r="E34" i="15" s="1"/>
  <c r="D36" i="15"/>
  <c r="E36" i="15" s="1"/>
  <c r="G36" i="14"/>
  <c r="H30" i="14"/>
  <c r="I38" i="14"/>
  <c r="G24" i="14"/>
  <c r="H20" i="14"/>
  <c r="I20" i="14" s="1"/>
  <c r="I28" i="14"/>
  <c r="I22" i="14"/>
  <c r="D22" i="14"/>
  <c r="H24" i="14"/>
  <c r="I34" i="14"/>
  <c r="I30" i="14"/>
  <c r="I36" i="14"/>
  <c r="I26" i="14"/>
  <c r="D20" i="14"/>
  <c r="E20" i="14" s="1"/>
  <c r="E22" i="14"/>
  <c r="E24" i="14"/>
  <c r="E26" i="14"/>
  <c r="D28" i="14"/>
  <c r="E28" i="14" s="1"/>
  <c r="D30" i="14"/>
  <c r="E30" i="14" s="1"/>
  <c r="D32" i="14"/>
  <c r="E32" i="14" s="1"/>
  <c r="D34" i="14"/>
  <c r="E34" i="14" s="1"/>
  <c r="D36" i="14"/>
  <c r="E36" i="14" s="1"/>
  <c r="D38" i="14"/>
  <c r="E38" i="14" s="1"/>
  <c r="G34" i="4"/>
  <c r="I34" i="4" s="1"/>
  <c r="G26" i="4"/>
  <c r="I26" i="4" s="1"/>
  <c r="D26" i="4"/>
  <c r="E26" i="4" s="1"/>
  <c r="I24" i="4"/>
  <c r="G32" i="4"/>
  <c r="G36" i="4"/>
  <c r="H28" i="4"/>
  <c r="H32" i="4"/>
  <c r="I32" i="4" s="1"/>
  <c r="I28" i="4"/>
  <c r="I30" i="4"/>
  <c r="H36" i="4"/>
  <c r="H38" i="4"/>
  <c r="I38" i="4" s="1"/>
  <c r="H20" i="4"/>
  <c r="I20" i="4" s="1"/>
  <c r="I22" i="4"/>
  <c r="H24" i="12"/>
  <c r="H26" i="12"/>
  <c r="I26" i="12" s="1"/>
  <c r="G28" i="12"/>
  <c r="H28" i="12"/>
  <c r="G30" i="12"/>
  <c r="I30" i="12" s="1"/>
  <c r="H22" i="12"/>
  <c r="I22" i="12" s="1"/>
  <c r="I32" i="12"/>
  <c r="I28" i="12"/>
  <c r="I34" i="12"/>
  <c r="I24" i="12"/>
  <c r="I20" i="12"/>
  <c r="I36" i="12"/>
  <c r="D20" i="12"/>
  <c r="E20" i="12" s="1"/>
  <c r="D22" i="12"/>
  <c r="E22" i="12" s="1"/>
  <c r="D24" i="12"/>
  <c r="E24" i="12" s="1"/>
  <c r="D26" i="12"/>
  <c r="E26" i="12" s="1"/>
  <c r="D28" i="12"/>
  <c r="E28" i="12" s="1"/>
  <c r="D30" i="12"/>
  <c r="E30" i="12" s="1"/>
  <c r="D32" i="12"/>
  <c r="E32" i="12" s="1"/>
  <c r="D34" i="12"/>
  <c r="E34" i="12" s="1"/>
  <c r="D36" i="12"/>
  <c r="E36" i="12" s="1"/>
  <c r="G22" i="3"/>
  <c r="H36" i="3"/>
  <c r="I36" i="3" s="1"/>
  <c r="G32" i="3"/>
  <c r="I30" i="3"/>
  <c r="G28" i="3"/>
  <c r="H34" i="3"/>
  <c r="I34" i="3" s="1"/>
  <c r="H32" i="3"/>
  <c r="H28" i="3"/>
  <c r="H26" i="3"/>
  <c r="I26" i="3" s="1"/>
  <c r="H24" i="3"/>
  <c r="I24" i="3" s="1"/>
  <c r="D22" i="3"/>
  <c r="E22" i="3" s="1"/>
  <c r="I20" i="3"/>
  <c r="I34" i="2"/>
  <c r="I30" i="2"/>
  <c r="G30" i="2"/>
  <c r="G34" i="2"/>
  <c r="I24" i="2"/>
  <c r="H22" i="2"/>
  <c r="I22" i="2" s="1"/>
  <c r="I34" i="5"/>
  <c r="D22" i="5"/>
  <c r="E22" i="5" s="1"/>
  <c r="D36" i="5"/>
  <c r="E36" i="5" s="1"/>
  <c r="D30" i="5"/>
  <c r="E30" i="5" s="1"/>
  <c r="D24" i="5"/>
  <c r="E24" i="5" s="1"/>
  <c r="D34" i="5"/>
  <c r="E34" i="5" s="1"/>
  <c r="D20" i="5"/>
  <c r="E20" i="5" s="1"/>
  <c r="D28" i="5"/>
  <c r="E28" i="5" s="1"/>
  <c r="H26" i="5"/>
  <c r="I26" i="5" s="1"/>
  <c r="H32" i="5"/>
  <c r="I32" i="5" s="1"/>
  <c r="H22" i="3"/>
  <c r="D24" i="3"/>
  <c r="E24" i="3" s="1"/>
  <c r="D26" i="3"/>
  <c r="E26" i="3" s="1"/>
  <c r="D28" i="3"/>
  <c r="E28" i="3" s="1"/>
  <c r="D30" i="3"/>
  <c r="E30" i="3" s="1"/>
  <c r="D32" i="3"/>
  <c r="E32" i="3" s="1"/>
  <c r="D34" i="3"/>
  <c r="E34" i="3" s="1"/>
  <c r="D36" i="3"/>
  <c r="E36" i="3" s="1"/>
  <c r="D20" i="4"/>
  <c r="E20" i="4" s="1"/>
  <c r="D22" i="4"/>
  <c r="E22" i="4" s="1"/>
  <c r="D24" i="4"/>
  <c r="E24" i="4" s="1"/>
  <c r="D28" i="4"/>
  <c r="E28" i="4" s="1"/>
  <c r="D30" i="4"/>
  <c r="E30" i="4" s="1"/>
  <c r="D32" i="4"/>
  <c r="E32" i="4" s="1"/>
  <c r="D34" i="4"/>
  <c r="E34" i="4" s="1"/>
  <c r="D36" i="4"/>
  <c r="E36" i="4" s="1"/>
  <c r="D38" i="4"/>
  <c r="E38" i="4" s="1"/>
  <c r="D20" i="3"/>
  <c r="E20" i="3" s="1"/>
  <c r="D24" i="1"/>
  <c r="E24" i="1" s="1"/>
  <c r="G24" i="1"/>
  <c r="G34" i="1"/>
  <c r="D28" i="1"/>
  <c r="E28" i="1" s="1"/>
  <c r="H20" i="1"/>
  <c r="H28" i="1"/>
  <c r="I28" i="1" s="1"/>
  <c r="H34" i="1"/>
  <c r="G36" i="1"/>
  <c r="H36" i="1"/>
  <c r="I36" i="1" s="1"/>
  <c r="I26" i="1"/>
  <c r="I30" i="1"/>
  <c r="I34" i="1"/>
  <c r="I20" i="1"/>
  <c r="G22" i="1"/>
  <c r="I22" i="1" s="1"/>
  <c r="D32" i="1"/>
  <c r="E32" i="1" s="1"/>
  <c r="D34" i="1"/>
  <c r="E34" i="1" s="1"/>
  <c r="D30" i="1"/>
  <c r="E30" i="1" s="1"/>
  <c r="H24" i="1"/>
  <c r="D36" i="1"/>
  <c r="E36" i="1" s="1"/>
  <c r="I36" i="5" l="1"/>
  <c r="I24" i="14"/>
  <c r="I36" i="4"/>
  <c r="I22" i="3"/>
  <c r="I32" i="3"/>
  <c r="I28" i="3"/>
  <c r="I24" i="1"/>
</calcChain>
</file>

<file path=xl/sharedStrings.xml><?xml version="1.0" encoding="utf-8"?>
<sst xmlns="http://schemas.openxmlformats.org/spreadsheetml/2006/main" count="450" uniqueCount="62">
  <si>
    <t>Mcf</t>
  </si>
  <si>
    <t>A</t>
  </si>
  <si>
    <t>Base Rate</t>
  </si>
  <si>
    <t>Current</t>
  </si>
  <si>
    <t>Bill</t>
  </si>
  <si>
    <t>B</t>
  </si>
  <si>
    <t>Proposed</t>
  </si>
  <si>
    <t>Increase</t>
  </si>
  <si>
    <t>($)</t>
  </si>
  <si>
    <t>(%)</t>
  </si>
  <si>
    <t>[B - A}</t>
  </si>
  <si>
    <t>C</t>
  </si>
  <si>
    <t>D</t>
  </si>
  <si>
    <t>[C / A}</t>
  </si>
  <si>
    <t>Billing</t>
  </si>
  <si>
    <t>Factors</t>
  </si>
  <si>
    <t>GCR</t>
  </si>
  <si>
    <t>E</t>
  </si>
  <si>
    <t>F</t>
  </si>
  <si>
    <t>Total</t>
  </si>
  <si>
    <t>[A + E]</t>
  </si>
  <si>
    <t>G</t>
  </si>
  <si>
    <t>[B + E]</t>
  </si>
  <si>
    <t>H</t>
  </si>
  <si>
    <t>[(G - F) / F]</t>
  </si>
  <si>
    <t>Assumptions:</t>
  </si>
  <si>
    <t xml:space="preserve">     Forecast Period Average Usage = 3.8 Mcf per month</t>
  </si>
  <si>
    <t>DELTA NATURAL GAS COMPANY</t>
  </si>
  <si>
    <t>DATA:_____BASE PERIOD__X__FORECASTED PERIOD</t>
  </si>
  <si>
    <t>TYPE OF FILING: __X__ORIGINAL _____ UPDATED _____ REVISED</t>
  </si>
  <si>
    <t xml:space="preserve">     Forecast Period Average Usage = 3.9 Mcf per month</t>
  </si>
  <si>
    <t xml:space="preserve">     Forecast Period Average Usage = 9.7 Mcf per month</t>
  </si>
  <si>
    <t xml:space="preserve">     Forecast Period Average Usage = 14.2 Mcf per month</t>
  </si>
  <si>
    <t xml:space="preserve">     Forecast Period Average Usage = 69.1 Mcf per month</t>
  </si>
  <si>
    <t xml:space="preserve">     Forecast Period Average Usage = 1,106.1 Mcf per month</t>
  </si>
  <si>
    <t xml:space="preserve">     Forecast Period Average Usage = 3,801.0 Mcf per month</t>
  </si>
  <si>
    <t xml:space="preserve">     Forecast Period Average Usage = 5.4 Mcf per month</t>
  </si>
  <si>
    <t xml:space="preserve">     Forecast Period Average Usage = 88,455.2 Mcf per month</t>
  </si>
  <si>
    <t>WORKPAPER REFERENCE NO(S):</t>
  </si>
  <si>
    <t>Witness: W.S. Seelye</t>
  </si>
  <si>
    <t>CASE NO. 2021-00185</t>
  </si>
  <si>
    <t>FOR THE 12 MONTHS ENDED DECEMBER 31, 2022</t>
  </si>
  <si>
    <t>Page 1 of 9</t>
  </si>
  <si>
    <t>TYPICAL GAS BILL COMPARISON UNDER CURRENT &amp; PROPOSED RATES</t>
  </si>
  <si>
    <t>Page 9 of 9</t>
  </si>
  <si>
    <t>Page 8 of 9</t>
  </si>
  <si>
    <t>Page 7 of 9</t>
  </si>
  <si>
    <t>Page 6 of 9</t>
  </si>
  <si>
    <t>Page 5 of 9</t>
  </si>
  <si>
    <t>Page 4 of 9</t>
  </si>
  <si>
    <t>Page 3 of 9</t>
  </si>
  <si>
    <t>Page 2 of 9</t>
  </si>
  <si>
    <t>SCHEDULE N</t>
  </si>
  <si>
    <t>Residential Transportation</t>
  </si>
  <si>
    <t>Residential Sales</t>
  </si>
  <si>
    <t>Small Non-Residential Sales</t>
  </si>
  <si>
    <t>Small Non-Residential Transportation</t>
  </si>
  <si>
    <t>Large Non-Residential Sales</t>
  </si>
  <si>
    <t>Large Non-Residential Transportation</t>
  </si>
  <si>
    <t>Interruptible Service</t>
  </si>
  <si>
    <t>Off System Transportation</t>
  </si>
  <si>
    <t xml:space="preserve">Farm Tap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</si>
</sst>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164" fontId="0" fillId="0" borderId="0" xfId="1" applyNumberFormat="1" applyFont="1"/>
    <xf numFmtId="165" fontId="0" fillId="0" borderId="0" xfId="3" applyNumberFormat="1" applyFont="1"/>
    <xf numFmtId="44" fontId="0" fillId="0" borderId="0" xfId="2" applyFont="1"/>
    <xf numFmtId="164" fontId="0" fillId="0" borderId="3" xfId="1" applyNumberFormat="1" applyFont="1" applyBorder="1"/>
    <xf numFmtId="44" fontId="0" fillId="0" borderId="3" xfId="2" applyFont="1" applyBorder="1"/>
    <xf numFmtId="165" fontId="0" fillId="0" borderId="3" xfId="3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1" applyNumberFormat="1" applyFont="1" applyBorder="1"/>
    <xf numFmtId="44" fontId="0" fillId="0" borderId="0" xfId="2" applyFont="1" applyBorder="1"/>
    <xf numFmtId="165" fontId="0" fillId="0" borderId="0" xfId="3" applyNumberFormat="1" applyFont="1" applyBorder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2C08-966A-45F8-8950-CE496ED51436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2" max="4" width="11.5" customWidth="1"/>
    <col min="5" max="5" width="9" customWidth="1"/>
    <col min="6" max="8" width="11.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42</v>
      </c>
    </row>
    <row r="11" spans="1:11" x14ac:dyDescent="0.3">
      <c r="A11" s="9" t="s">
        <v>54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2</v>
      </c>
      <c r="B20" s="4">
        <f>21.97+A20*4.3185</f>
        <v>30.606999999999999</v>
      </c>
      <c r="C20" s="4">
        <f>29.03+A20*5.7072</f>
        <v>40.444400000000002</v>
      </c>
      <c r="D20" s="4">
        <f>C20-B20</f>
        <v>9.8374000000000024</v>
      </c>
      <c r="E20" s="3">
        <f>D20/B20</f>
        <v>0.32141013493645254</v>
      </c>
      <c r="F20" s="4">
        <f>A20*5.5532</f>
        <v>11.106400000000001</v>
      </c>
      <c r="G20" s="4">
        <f>B20+F20</f>
        <v>41.7134</v>
      </c>
      <c r="H20" s="4">
        <f>C20+F20</f>
        <v>51.550800000000002</v>
      </c>
      <c r="I20" s="3">
        <f>(H20-G20)/G20</f>
        <v>0.23583308960669719</v>
      </c>
    </row>
    <row r="21" spans="1:9" x14ac:dyDescent="0.3">
      <c r="A21" s="2"/>
    </row>
    <row r="22" spans="1:9" x14ac:dyDescent="0.3">
      <c r="A22" s="5">
        <v>3.8</v>
      </c>
      <c r="B22" s="6">
        <f>21.97+A22*4.3185</f>
        <v>38.380299999999998</v>
      </c>
      <c r="C22" s="6">
        <f>29.03+A22*5.7072</f>
        <v>50.717359999999999</v>
      </c>
      <c r="D22" s="6">
        <f>C22-B22</f>
        <v>12.337060000000001</v>
      </c>
      <c r="E22" s="7">
        <f>D22/B22</f>
        <v>0.32144251087146275</v>
      </c>
      <c r="F22" s="6">
        <f>A22*5.5532</f>
        <v>21.102160000000001</v>
      </c>
      <c r="G22" s="6">
        <f>B22+F22</f>
        <v>59.482460000000003</v>
      </c>
      <c r="H22" s="6">
        <f>C22+F22</f>
        <v>71.819519999999997</v>
      </c>
      <c r="I22" s="7">
        <f>(H22-G22)/G22</f>
        <v>0.2074066876185012</v>
      </c>
    </row>
    <row r="23" spans="1:9" x14ac:dyDescent="0.3">
      <c r="A23" s="2"/>
    </row>
    <row r="24" spans="1:9" x14ac:dyDescent="0.3">
      <c r="A24" s="2">
        <v>6</v>
      </c>
      <c r="B24" s="4">
        <f>21.97+A24*4.3185</f>
        <v>47.881</v>
      </c>
      <c r="C24" s="4">
        <f>29.03+A24*5.7072</f>
        <v>63.273200000000003</v>
      </c>
      <c r="D24" s="4">
        <f>C24-B24</f>
        <v>15.392200000000003</v>
      </c>
      <c r="E24" s="3">
        <f>D24/B24</f>
        <v>0.32146780560138682</v>
      </c>
      <c r="F24" s="4">
        <f>A24*5.5532</f>
        <v>33.319200000000002</v>
      </c>
      <c r="G24" s="4">
        <f>B24+F24</f>
        <v>81.200199999999995</v>
      </c>
      <c r="H24" s="4">
        <f>C24+F24</f>
        <v>96.592399999999998</v>
      </c>
      <c r="I24" s="3">
        <f>(H24-G24)/G24</f>
        <v>0.18955864640727491</v>
      </c>
    </row>
    <row r="25" spans="1:9" x14ac:dyDescent="0.3">
      <c r="A25" s="2"/>
    </row>
    <row r="26" spans="1:9" x14ac:dyDescent="0.3">
      <c r="A26" s="2">
        <v>10</v>
      </c>
      <c r="B26" s="4">
        <f>21.97+A26*4.3185</f>
        <v>65.155000000000001</v>
      </c>
      <c r="C26" s="4">
        <f>29.03+A26*5.7072</f>
        <v>86.102000000000004</v>
      </c>
      <c r="D26" s="4">
        <f>C26-B26</f>
        <v>20.947000000000003</v>
      </c>
      <c r="E26" s="3">
        <f>D26/B26</f>
        <v>0.32149489678459064</v>
      </c>
      <c r="F26" s="4">
        <f>A26*5.5532</f>
        <v>55.532000000000004</v>
      </c>
      <c r="G26" s="4">
        <f>B26+F26</f>
        <v>120.68700000000001</v>
      </c>
      <c r="H26" s="4">
        <f>C26+F26</f>
        <v>141.63400000000001</v>
      </c>
      <c r="I26" s="3">
        <f>(H26-G26)/G26</f>
        <v>0.17356467556571958</v>
      </c>
    </row>
    <row r="27" spans="1:9" x14ac:dyDescent="0.3">
      <c r="A27" s="2"/>
    </row>
    <row r="28" spans="1:9" x14ac:dyDescent="0.3">
      <c r="A28" s="2">
        <v>20</v>
      </c>
      <c r="B28" s="4">
        <f>21.97+A28*4.3185</f>
        <v>108.34</v>
      </c>
      <c r="C28" s="4">
        <f>29.03+A28*5.7072</f>
        <v>143.17400000000001</v>
      </c>
      <c r="D28" s="4">
        <f>C28-B28</f>
        <v>34.834000000000003</v>
      </c>
      <c r="E28" s="3">
        <f>D28/B28</f>
        <v>0.32152482924127745</v>
      </c>
      <c r="F28" s="4">
        <f>A28*5.5532</f>
        <v>111.06400000000001</v>
      </c>
      <c r="G28" s="4">
        <f>B28+F28</f>
        <v>219.404</v>
      </c>
      <c r="H28" s="4">
        <f>C28+F28</f>
        <v>254.238</v>
      </c>
      <c r="I28" s="3">
        <f>(H28-G28)/G28</f>
        <v>0.15876647645439465</v>
      </c>
    </row>
    <row r="29" spans="1:9" x14ac:dyDescent="0.3">
      <c r="A29" s="2"/>
    </row>
    <row r="30" spans="1:9" x14ac:dyDescent="0.3">
      <c r="A30" s="2">
        <v>40</v>
      </c>
      <c r="B30" s="4">
        <f>21.97+A30*4.3185</f>
        <v>194.71</v>
      </c>
      <c r="C30" s="4">
        <f>29.03+A30*5.7072</f>
        <v>257.31799999999998</v>
      </c>
      <c r="D30" s="4">
        <f>C30-B30</f>
        <v>62.607999999999976</v>
      </c>
      <c r="E30" s="3">
        <f>D30/B30</f>
        <v>0.32154486158902967</v>
      </c>
      <c r="F30" s="4">
        <f>A30*5.5532</f>
        <v>222.12800000000001</v>
      </c>
      <c r="G30" s="4">
        <f>B30+F30</f>
        <v>416.83800000000002</v>
      </c>
      <c r="H30" s="4">
        <f>C30+F30</f>
        <v>479.44600000000003</v>
      </c>
      <c r="I30" s="3">
        <f>(H30-G30)/G30</f>
        <v>0.15019743881316003</v>
      </c>
    </row>
    <row r="31" spans="1:9" x14ac:dyDescent="0.3">
      <c r="A31" s="2"/>
    </row>
    <row r="32" spans="1:9" x14ac:dyDescent="0.3">
      <c r="A32" s="2">
        <v>60</v>
      </c>
      <c r="B32" s="4">
        <f>21.97+A32*4.3185</f>
        <v>281.08000000000004</v>
      </c>
      <c r="C32" s="4">
        <f>29.03+A32*5.7072</f>
        <v>371.46199999999999</v>
      </c>
      <c r="D32" s="4">
        <f>C32-B32</f>
        <v>90.381999999999948</v>
      </c>
      <c r="E32" s="3">
        <f>D32/B32</f>
        <v>0.32155258289454935</v>
      </c>
      <c r="F32" s="4">
        <f>A32*5.5532</f>
        <v>333.19200000000001</v>
      </c>
      <c r="G32" s="4">
        <f>B32+F32</f>
        <v>614.27200000000005</v>
      </c>
      <c r="H32" s="4">
        <f>C32+F32</f>
        <v>704.654</v>
      </c>
      <c r="I32" s="3">
        <f>(H32-G32)/G32</f>
        <v>0.14713677328610117</v>
      </c>
    </row>
    <row r="33" spans="1:9" x14ac:dyDescent="0.3">
      <c r="A33" s="2"/>
    </row>
    <row r="34" spans="1:9" x14ac:dyDescent="0.3">
      <c r="A34" s="2">
        <v>80</v>
      </c>
      <c r="B34" s="4">
        <f>21.97+A34*4.3185</f>
        <v>367.45000000000005</v>
      </c>
      <c r="C34" s="4">
        <f>29.03+A34*5.7072</f>
        <v>485.60599999999999</v>
      </c>
      <c r="D34" s="4">
        <f>C34-B34</f>
        <v>118.15599999999995</v>
      </c>
      <c r="E34" s="3">
        <f>D34/B34</f>
        <v>0.32155667437746616</v>
      </c>
      <c r="F34" s="4">
        <f>A34*5.5532</f>
        <v>444.25600000000003</v>
      </c>
      <c r="G34" s="4">
        <f>B34+F34</f>
        <v>811.70600000000013</v>
      </c>
      <c r="H34" s="4">
        <f>C34+F34</f>
        <v>929.86200000000008</v>
      </c>
      <c r="I34" s="3">
        <f>(H34-G34)/G34</f>
        <v>0.14556501984708742</v>
      </c>
    </row>
    <row r="35" spans="1:9" x14ac:dyDescent="0.3">
      <c r="A35" s="2"/>
    </row>
    <row r="36" spans="1:9" x14ac:dyDescent="0.3">
      <c r="A36" s="2">
        <v>100</v>
      </c>
      <c r="B36" s="4">
        <f>21.97+A36*4.3185</f>
        <v>453.82000000000005</v>
      </c>
      <c r="C36" s="4">
        <f>29.03+A36*5.7072</f>
        <v>599.75</v>
      </c>
      <c r="D36" s="4">
        <f>C36-B36</f>
        <v>145.92999999999995</v>
      </c>
      <c r="E36" s="3">
        <f>D36/B36</f>
        <v>0.32155920849676067</v>
      </c>
      <c r="F36" s="4">
        <f>A36*5.5532</f>
        <v>555.32000000000005</v>
      </c>
      <c r="G36" s="4">
        <f>B36+F36</f>
        <v>1009.1400000000001</v>
      </c>
      <c r="H36" s="4">
        <f>C36+F36</f>
        <v>1155.0700000000002</v>
      </c>
      <c r="I36" s="3">
        <f>(H36-G36)/G36</f>
        <v>0.14460828031789449</v>
      </c>
    </row>
    <row r="38" spans="1:9" x14ac:dyDescent="0.3">
      <c r="A38" t="s">
        <v>25</v>
      </c>
    </row>
    <row r="39" spans="1:9" x14ac:dyDescent="0.3">
      <c r="A39" s="1" t="s">
        <v>26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5709-7C20-4E33-B32B-ACCE07F1D5F7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2" max="4" width="11.5" customWidth="1"/>
    <col min="5" max="5" width="9" customWidth="1"/>
    <col min="6" max="8" width="11.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51</v>
      </c>
    </row>
    <row r="11" spans="1:11" x14ac:dyDescent="0.3">
      <c r="A11" s="9" t="s">
        <v>53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2</v>
      </c>
      <c r="B20" s="4">
        <f>21.97+A20*4.3185</f>
        <v>30.606999999999999</v>
      </c>
      <c r="C20" s="4">
        <f>29.03+A20*5.7072</f>
        <v>40.444400000000002</v>
      </c>
      <c r="D20" s="4">
        <f>C20-B20</f>
        <v>9.8374000000000024</v>
      </c>
      <c r="E20" s="3">
        <f>D20/B20</f>
        <v>0.32141013493645254</v>
      </c>
      <c r="F20" s="4">
        <f>A20*0</f>
        <v>0</v>
      </c>
      <c r="G20" s="4">
        <f>B20+F20</f>
        <v>30.606999999999999</v>
      </c>
      <c r="H20" s="4">
        <f>C20+F20</f>
        <v>40.444400000000002</v>
      </c>
      <c r="I20" s="3">
        <f>(H20-G20)/G20</f>
        <v>0.32141013493645254</v>
      </c>
    </row>
    <row r="21" spans="1:9" x14ac:dyDescent="0.3">
      <c r="A21" s="2"/>
    </row>
    <row r="22" spans="1:9" x14ac:dyDescent="0.3">
      <c r="A22" s="5">
        <v>3.9</v>
      </c>
      <c r="B22" s="6">
        <f>21.97+A22*4.3185</f>
        <v>38.812150000000003</v>
      </c>
      <c r="C22" s="6">
        <f>29.03+A22*5.7072</f>
        <v>51.288080000000001</v>
      </c>
      <c r="D22" s="6">
        <f>C22-B22</f>
        <v>12.475929999999998</v>
      </c>
      <c r="E22" s="7">
        <f>D22/B22</f>
        <v>0.32144392928503052</v>
      </c>
      <c r="F22" s="6">
        <f>A22*0</f>
        <v>0</v>
      </c>
      <c r="G22" s="6">
        <f>B22+F22</f>
        <v>38.812150000000003</v>
      </c>
      <c r="H22" s="6">
        <f>C22+F22</f>
        <v>51.288080000000001</v>
      </c>
      <c r="I22" s="7">
        <f>(H22-G22)/G22</f>
        <v>0.32144392928503052</v>
      </c>
    </row>
    <row r="23" spans="1:9" x14ac:dyDescent="0.3">
      <c r="A23" s="2"/>
    </row>
    <row r="24" spans="1:9" x14ac:dyDescent="0.3">
      <c r="A24" s="2">
        <v>6</v>
      </c>
      <c r="B24" s="4">
        <f>21.97+A24*4.3185</f>
        <v>47.881</v>
      </c>
      <c r="C24" s="4">
        <f>29.03+A24*5.7072</f>
        <v>63.273200000000003</v>
      </c>
      <c r="D24" s="4">
        <f>C24-B24</f>
        <v>15.392200000000003</v>
      </c>
      <c r="E24" s="3">
        <f>D24/B24</f>
        <v>0.32146780560138682</v>
      </c>
      <c r="F24" s="4">
        <f>A24*0</f>
        <v>0</v>
      </c>
      <c r="G24" s="4">
        <f>B24+F24</f>
        <v>47.881</v>
      </c>
      <c r="H24" s="4">
        <f>C24+F24</f>
        <v>63.273200000000003</v>
      </c>
      <c r="I24" s="3">
        <f>(H24-G24)/G24</f>
        <v>0.32146780560138682</v>
      </c>
    </row>
    <row r="25" spans="1:9" x14ac:dyDescent="0.3">
      <c r="A25" s="2"/>
    </row>
    <row r="26" spans="1:9" x14ac:dyDescent="0.3">
      <c r="A26" s="2">
        <v>10</v>
      </c>
      <c r="B26" s="4">
        <f>21.97+A26*4.3185</f>
        <v>65.155000000000001</v>
      </c>
      <c r="C26" s="4">
        <f>29.03+A26*5.7072</f>
        <v>86.102000000000004</v>
      </c>
      <c r="D26" s="4">
        <f>C26-B26</f>
        <v>20.947000000000003</v>
      </c>
      <c r="E26" s="3">
        <f>D26/B26</f>
        <v>0.32149489678459064</v>
      </c>
      <c r="F26" s="4">
        <f>A26*0</f>
        <v>0</v>
      </c>
      <c r="G26" s="4">
        <f>B26+F26</f>
        <v>65.155000000000001</v>
      </c>
      <c r="H26" s="4">
        <f>C26+F26</f>
        <v>86.102000000000004</v>
      </c>
      <c r="I26" s="3">
        <f>(H26-G26)/G26</f>
        <v>0.32149489678459064</v>
      </c>
    </row>
    <row r="27" spans="1:9" x14ac:dyDescent="0.3">
      <c r="A27" s="2"/>
    </row>
    <row r="28" spans="1:9" x14ac:dyDescent="0.3">
      <c r="A28" s="2">
        <v>20</v>
      </c>
      <c r="B28" s="4">
        <f>21.97+A28*4.3185</f>
        <v>108.34</v>
      </c>
      <c r="C28" s="4">
        <f>29.03+A28*5.7072</f>
        <v>143.17400000000001</v>
      </c>
      <c r="D28" s="4">
        <f>C28-B28</f>
        <v>34.834000000000003</v>
      </c>
      <c r="E28" s="3">
        <f>D28/B28</f>
        <v>0.32152482924127745</v>
      </c>
      <c r="F28" s="4">
        <f>A28*0</f>
        <v>0</v>
      </c>
      <c r="G28" s="4">
        <f>B28+F28</f>
        <v>108.34</v>
      </c>
      <c r="H28" s="4">
        <f>C28+F28</f>
        <v>143.17400000000001</v>
      </c>
      <c r="I28" s="3">
        <f>(H28-G28)/G28</f>
        <v>0.32152482924127745</v>
      </c>
    </row>
    <row r="29" spans="1:9" x14ac:dyDescent="0.3">
      <c r="A29" s="2"/>
    </row>
    <row r="30" spans="1:9" x14ac:dyDescent="0.3">
      <c r="A30" s="2">
        <v>40</v>
      </c>
      <c r="B30" s="4">
        <f>21.97+A30*4.3185</f>
        <v>194.71</v>
      </c>
      <c r="C30" s="4">
        <f>29.03+A30*5.7072</f>
        <v>257.31799999999998</v>
      </c>
      <c r="D30" s="4">
        <f>C30-B30</f>
        <v>62.607999999999976</v>
      </c>
      <c r="E30" s="3">
        <f>D30/B30</f>
        <v>0.32154486158902967</v>
      </c>
      <c r="F30" s="4">
        <f>A30*0</f>
        <v>0</v>
      </c>
      <c r="G30" s="4">
        <f>B30+F30</f>
        <v>194.71</v>
      </c>
      <c r="H30" s="4">
        <f>C30+F30</f>
        <v>257.31799999999998</v>
      </c>
      <c r="I30" s="3">
        <f>(H30-G30)/G30</f>
        <v>0.32154486158902967</v>
      </c>
    </row>
    <row r="31" spans="1:9" x14ac:dyDescent="0.3">
      <c r="A31" s="2"/>
    </row>
    <row r="32" spans="1:9" x14ac:dyDescent="0.3">
      <c r="A32" s="2">
        <v>60</v>
      </c>
      <c r="B32" s="4">
        <f>21.97+A32*4.3185</f>
        <v>281.08000000000004</v>
      </c>
      <c r="C32" s="4">
        <f>29.03+A32*5.7072</f>
        <v>371.46199999999999</v>
      </c>
      <c r="D32" s="4">
        <f>C32-B32</f>
        <v>90.381999999999948</v>
      </c>
      <c r="E32" s="3">
        <f>D32/B32</f>
        <v>0.32155258289454935</v>
      </c>
      <c r="F32" s="4">
        <f>A32*0</f>
        <v>0</v>
      </c>
      <c r="G32" s="4">
        <f>B32+F32</f>
        <v>281.08000000000004</v>
      </c>
      <c r="H32" s="4">
        <f>C32+F32</f>
        <v>371.46199999999999</v>
      </c>
      <c r="I32" s="3">
        <f>(H32-G32)/G32</f>
        <v>0.32155258289454935</v>
      </c>
    </row>
    <row r="33" spans="1:9" x14ac:dyDescent="0.3">
      <c r="A33" s="2"/>
    </row>
    <row r="34" spans="1:9" x14ac:dyDescent="0.3">
      <c r="A34" s="2">
        <v>80</v>
      </c>
      <c r="B34" s="4">
        <f>21.97+A34*4.3185</f>
        <v>367.45000000000005</v>
      </c>
      <c r="C34" s="4">
        <f>29.03+A34*5.7072</f>
        <v>485.60599999999999</v>
      </c>
      <c r="D34" s="4">
        <f>C34-B34</f>
        <v>118.15599999999995</v>
      </c>
      <c r="E34" s="3">
        <f>D34/B34</f>
        <v>0.32155667437746616</v>
      </c>
      <c r="F34" s="4">
        <f>A34*0</f>
        <v>0</v>
      </c>
      <c r="G34" s="4">
        <f>B34+F34</f>
        <v>367.45000000000005</v>
      </c>
      <c r="H34" s="4">
        <f>C34+F34</f>
        <v>485.60599999999999</v>
      </c>
      <c r="I34" s="3">
        <f>(H34-G34)/G34</f>
        <v>0.32155667437746616</v>
      </c>
    </row>
    <row r="35" spans="1:9" x14ac:dyDescent="0.3">
      <c r="A35" s="2"/>
    </row>
    <row r="36" spans="1:9" x14ac:dyDescent="0.3">
      <c r="A36" s="2">
        <v>100</v>
      </c>
      <c r="B36" s="4">
        <f>21.97+A36*4.3185</f>
        <v>453.82000000000005</v>
      </c>
      <c r="C36" s="4">
        <f>29.03+A36*5.7072</f>
        <v>599.75</v>
      </c>
      <c r="D36" s="4">
        <f>C36-B36</f>
        <v>145.92999999999995</v>
      </c>
      <c r="E36" s="3">
        <f>D36/B36</f>
        <v>0.32155920849676067</v>
      </c>
      <c r="F36" s="4">
        <f>A36*0</f>
        <v>0</v>
      </c>
      <c r="G36" s="4">
        <f>B36+F36</f>
        <v>453.82000000000005</v>
      </c>
      <c r="H36" s="4">
        <f>C36+F36</f>
        <v>599.75</v>
      </c>
      <c r="I36" s="3">
        <f>(H36-G36)/G36</f>
        <v>0.32155920849676067</v>
      </c>
    </row>
    <row r="38" spans="1:9" x14ac:dyDescent="0.3">
      <c r="A38" t="s">
        <v>25</v>
      </c>
    </row>
    <row r="39" spans="1:9" x14ac:dyDescent="0.3">
      <c r="A39" s="1" t="s">
        <v>30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928C-540C-42C7-85ED-2D0F7BAC25EA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2" max="4" width="11.5" customWidth="1"/>
    <col min="5" max="5" width="9" customWidth="1"/>
    <col min="6" max="8" width="11.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50</v>
      </c>
    </row>
    <row r="11" spans="1:11" x14ac:dyDescent="0.3">
      <c r="A11" s="9" t="s">
        <v>61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2</v>
      </c>
      <c r="B20" s="4">
        <f>16.87+A20*4.3185</f>
        <v>25.507000000000001</v>
      </c>
      <c r="C20" s="4">
        <f>29.03+A20*2.357</f>
        <v>33.744</v>
      </c>
      <c r="D20" s="4">
        <f>C20-B20</f>
        <v>8.2369999999999983</v>
      </c>
      <c r="E20" s="3">
        <f>D20/B20</f>
        <v>0.32293096012859207</v>
      </c>
      <c r="F20" s="4">
        <f>A20*5.5532</f>
        <v>11.106400000000001</v>
      </c>
      <c r="G20" s="4">
        <f>B20+F20</f>
        <v>36.613399999999999</v>
      </c>
      <c r="H20" s="4">
        <f>C20+F20</f>
        <v>44.8504</v>
      </c>
      <c r="I20" s="3">
        <f>(H20-G20)/G20</f>
        <v>0.22497227790918084</v>
      </c>
    </row>
    <row r="21" spans="1:9" x14ac:dyDescent="0.3">
      <c r="A21" s="2"/>
    </row>
    <row r="22" spans="1:9" x14ac:dyDescent="0.3">
      <c r="A22" s="5">
        <v>5.4</v>
      </c>
      <c r="B22" s="6">
        <f>16.87+A22*4.3185</f>
        <v>40.189900000000009</v>
      </c>
      <c r="C22" s="6">
        <f>29.03+A22*2.357</f>
        <v>41.757800000000003</v>
      </c>
      <c r="D22" s="6">
        <f>C22-B22</f>
        <v>1.5678999999999945</v>
      </c>
      <c r="E22" s="7">
        <f>D22/B22</f>
        <v>3.9012289157225925E-2</v>
      </c>
      <c r="F22" s="6">
        <f>A22*5.5532</f>
        <v>29.987280000000005</v>
      </c>
      <c r="G22" s="6">
        <f>B22+F22</f>
        <v>70.177180000000021</v>
      </c>
      <c r="H22" s="6">
        <f>C22+F22</f>
        <v>71.745080000000002</v>
      </c>
      <c r="I22" s="7">
        <f>(H22-G22)/G22</f>
        <v>2.2342020582758953E-2</v>
      </c>
    </row>
    <row r="23" spans="1:9" x14ac:dyDescent="0.3">
      <c r="A23" s="2"/>
    </row>
    <row r="24" spans="1:9" x14ac:dyDescent="0.3">
      <c r="A24" s="2">
        <v>7</v>
      </c>
      <c r="B24" s="4">
        <f>16.87+A24*4.3185</f>
        <v>47.099500000000006</v>
      </c>
      <c r="C24" s="4">
        <f>29.03+A24*2.357</f>
        <v>45.529000000000003</v>
      </c>
      <c r="D24" s="4">
        <f>C24-B24</f>
        <v>-1.5705000000000027</v>
      </c>
      <c r="E24" s="3">
        <f>D24/B24</f>
        <v>-3.3344303018078801E-2</v>
      </c>
      <c r="F24" s="4">
        <f>A24*5.5532</f>
        <v>38.872399999999999</v>
      </c>
      <c r="G24" s="4">
        <f>B24+F24</f>
        <v>85.971900000000005</v>
      </c>
      <c r="H24" s="4">
        <f>C24+F24</f>
        <v>84.401399999999995</v>
      </c>
      <c r="I24" s="3">
        <f>(H24-G24)/G24</f>
        <v>-1.826759673800404E-2</v>
      </c>
    </row>
    <row r="25" spans="1:9" x14ac:dyDescent="0.3">
      <c r="A25" s="2"/>
    </row>
    <row r="26" spans="1:9" x14ac:dyDescent="0.3">
      <c r="A26" s="2">
        <v>10</v>
      </c>
      <c r="B26" s="4">
        <f>16.87+A26*4.3185</f>
        <v>60.055000000000007</v>
      </c>
      <c r="C26" s="4">
        <f>29.03+A26*2.357</f>
        <v>52.6</v>
      </c>
      <c r="D26" s="4">
        <f>C26-B26</f>
        <v>-7.4550000000000054</v>
      </c>
      <c r="E26" s="3">
        <f>D26/B26</f>
        <v>-0.12413620847556414</v>
      </c>
      <c r="F26" s="4">
        <f>A26*5.5532</f>
        <v>55.532000000000004</v>
      </c>
      <c r="G26" s="4">
        <f>B26+F26</f>
        <v>115.58700000000002</v>
      </c>
      <c r="H26" s="4">
        <f>C26+F26</f>
        <v>108.13200000000001</v>
      </c>
      <c r="I26" s="3">
        <f>(H26-G26)/G26</f>
        <v>-6.4496872485660245E-2</v>
      </c>
    </row>
    <row r="27" spans="1:9" x14ac:dyDescent="0.3">
      <c r="A27" s="2"/>
    </row>
    <row r="28" spans="1:9" x14ac:dyDescent="0.3">
      <c r="A28" s="2">
        <v>20</v>
      </c>
      <c r="B28" s="4">
        <f>16.87+A28*4.3185</f>
        <v>103.24000000000001</v>
      </c>
      <c r="C28" s="4">
        <f>29.03+A28*2.357</f>
        <v>76.17</v>
      </c>
      <c r="D28" s="4">
        <f>C28-B28</f>
        <v>-27.070000000000007</v>
      </c>
      <c r="E28" s="3">
        <f>D28/B28</f>
        <v>-0.26220457187136775</v>
      </c>
      <c r="F28" s="4">
        <f>A28*5.5532</f>
        <v>111.06400000000001</v>
      </c>
      <c r="G28" s="4">
        <f>B28+F28</f>
        <v>214.30400000000003</v>
      </c>
      <c r="H28" s="4">
        <f>C28+F28</f>
        <v>187.23400000000001</v>
      </c>
      <c r="I28" s="3">
        <f>(H28-G28)/G28</f>
        <v>-0.12631588771091543</v>
      </c>
    </row>
    <row r="29" spans="1:9" x14ac:dyDescent="0.3">
      <c r="A29" s="2"/>
    </row>
    <row r="30" spans="1:9" x14ac:dyDescent="0.3">
      <c r="A30" s="2">
        <v>40</v>
      </c>
      <c r="B30" s="4">
        <f>16.87+A30*4.3185</f>
        <v>189.61</v>
      </c>
      <c r="C30" s="4">
        <f>29.03+A30*2.357</f>
        <v>123.31</v>
      </c>
      <c r="D30" s="4">
        <f>C30-B30</f>
        <v>-66.300000000000011</v>
      </c>
      <c r="E30" s="3">
        <f>D30/B30</f>
        <v>-0.34966510205157958</v>
      </c>
      <c r="F30" s="4">
        <f>A30*5.5532</f>
        <v>222.12800000000001</v>
      </c>
      <c r="G30" s="4">
        <f>B30+F30</f>
        <v>411.73800000000006</v>
      </c>
      <c r="H30" s="4">
        <f>C30+F30</f>
        <v>345.43799999999999</v>
      </c>
      <c r="I30" s="3">
        <f>(H30-G30)/G30</f>
        <v>-0.16102472931815878</v>
      </c>
    </row>
    <row r="31" spans="1:9" x14ac:dyDescent="0.3">
      <c r="A31" s="2"/>
    </row>
    <row r="32" spans="1:9" x14ac:dyDescent="0.3">
      <c r="A32" s="2">
        <v>60</v>
      </c>
      <c r="B32" s="4">
        <f>16.87+A32*4.3185</f>
        <v>275.98</v>
      </c>
      <c r="C32" s="4">
        <f>29.03+A32*2.357</f>
        <v>170.45000000000002</v>
      </c>
      <c r="D32" s="4">
        <f>C32-B32</f>
        <v>-105.53</v>
      </c>
      <c r="E32" s="3">
        <f>D32/B32</f>
        <v>-0.38238278136096815</v>
      </c>
      <c r="F32" s="4">
        <f>A32*5.5532</f>
        <v>333.19200000000001</v>
      </c>
      <c r="G32" s="4">
        <f>B32+F32</f>
        <v>609.17200000000003</v>
      </c>
      <c r="H32" s="4">
        <f>C32+F32</f>
        <v>503.64200000000005</v>
      </c>
      <c r="I32" s="3">
        <f>(H32-G32)/G32</f>
        <v>-0.17323514541049156</v>
      </c>
    </row>
    <row r="33" spans="1:9" x14ac:dyDescent="0.3">
      <c r="A33" s="2"/>
    </row>
    <row r="34" spans="1:9" x14ac:dyDescent="0.3">
      <c r="A34" s="2">
        <v>80</v>
      </c>
      <c r="B34" s="4">
        <f>16.87+A34*4.3185</f>
        <v>362.35</v>
      </c>
      <c r="C34" s="4">
        <f>29.03+A34*2.357</f>
        <v>217.59</v>
      </c>
      <c r="D34" s="4">
        <f>C34-B34</f>
        <v>-144.76000000000002</v>
      </c>
      <c r="E34" s="3">
        <f>D34/B34</f>
        <v>-0.39950324272112603</v>
      </c>
      <c r="F34" s="4">
        <f>A34*5.5532</f>
        <v>444.25600000000003</v>
      </c>
      <c r="G34" s="4">
        <f>B34+F34</f>
        <v>806.60599999999999</v>
      </c>
      <c r="H34" s="4">
        <f>C34+F34</f>
        <v>661.846</v>
      </c>
      <c r="I34" s="3">
        <f>(H34-G34)/G34</f>
        <v>-0.17946804263791738</v>
      </c>
    </row>
    <row r="35" spans="1:9" x14ac:dyDescent="0.3">
      <c r="A35" s="2"/>
    </row>
    <row r="36" spans="1:9" x14ac:dyDescent="0.3">
      <c r="A36" s="2">
        <v>100</v>
      </c>
      <c r="B36" s="4">
        <f>16.87+A36*4.3185</f>
        <v>448.72</v>
      </c>
      <c r="C36" s="4">
        <f>29.03+A36*2.357</f>
        <v>264.73</v>
      </c>
      <c r="D36" s="4">
        <f>C36-B36</f>
        <v>-183.99</v>
      </c>
      <c r="E36" s="3">
        <f>D36/B36</f>
        <v>-0.41003298270636479</v>
      </c>
      <c r="F36" s="4">
        <f>A36*5.5532</f>
        <v>555.32000000000005</v>
      </c>
      <c r="G36" s="4">
        <f>B36+F36</f>
        <v>1004.0400000000001</v>
      </c>
      <c r="H36" s="4">
        <f>C36+F36</f>
        <v>820.05000000000007</v>
      </c>
      <c r="I36" s="3">
        <f>(H36-G36)/G36</f>
        <v>-0.18324967132783554</v>
      </c>
    </row>
    <row r="38" spans="1:9" x14ac:dyDescent="0.3">
      <c r="A38" t="s">
        <v>25</v>
      </c>
    </row>
    <row r="39" spans="1:9" x14ac:dyDescent="0.3">
      <c r="A39" s="1" t="s">
        <v>36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E712-9531-477F-868E-AE1CB1AFC5BB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2" max="4" width="11.5" customWidth="1"/>
    <col min="5" max="5" width="9" customWidth="1"/>
    <col min="6" max="8" width="11.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49</v>
      </c>
    </row>
    <row r="11" spans="1:11" x14ac:dyDescent="0.3">
      <c r="A11" s="9" t="s">
        <v>55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5</v>
      </c>
      <c r="B20" s="4">
        <f>33.68+A20*4.3185</f>
        <v>55.272500000000001</v>
      </c>
      <c r="C20" s="4">
        <f>44.4+A20*5.6931</f>
        <v>72.865499999999997</v>
      </c>
      <c r="D20" s="4">
        <f>C20-B20</f>
        <v>17.592999999999996</v>
      </c>
      <c r="E20" s="3">
        <f>D20/B20</f>
        <v>0.3182957166764665</v>
      </c>
      <c r="F20" s="4">
        <f>A20*5.5532</f>
        <v>27.766000000000002</v>
      </c>
      <c r="G20" s="4">
        <f>B20+F20</f>
        <v>83.038499999999999</v>
      </c>
      <c r="H20" s="4">
        <f>C20+F20</f>
        <v>100.6315</v>
      </c>
      <c r="I20" s="3">
        <f>(H20-G20)/G20</f>
        <v>0.21186558042353854</v>
      </c>
    </row>
    <row r="21" spans="1:9" x14ac:dyDescent="0.3">
      <c r="A21" s="2"/>
    </row>
    <row r="22" spans="1:9" x14ac:dyDescent="0.3">
      <c r="A22" s="5">
        <v>9.6999999999999993</v>
      </c>
      <c r="B22" s="6">
        <f>33.68+A22*4.3185</f>
        <v>75.569449999999989</v>
      </c>
      <c r="C22" s="6">
        <f>44.4+A22*5.6931</f>
        <v>99.623069999999998</v>
      </c>
      <c r="D22" s="6">
        <f>C22-B22</f>
        <v>24.053620000000009</v>
      </c>
      <c r="E22" s="7">
        <f>D22/B22</f>
        <v>0.31829820119108998</v>
      </c>
      <c r="F22" s="6">
        <f>A22*5.5532</f>
        <v>53.866039999999998</v>
      </c>
      <c r="G22" s="6">
        <f>B22+F22</f>
        <v>129.43548999999999</v>
      </c>
      <c r="H22" s="6">
        <f>C22+F22</f>
        <v>153.48910999999998</v>
      </c>
      <c r="I22" s="7">
        <f>(H22-G22)/G22</f>
        <v>0.18583481238414593</v>
      </c>
    </row>
    <row r="23" spans="1:9" x14ac:dyDescent="0.3">
      <c r="A23" s="2"/>
    </row>
    <row r="24" spans="1:9" x14ac:dyDescent="0.3">
      <c r="A24" s="2">
        <v>20</v>
      </c>
      <c r="B24" s="4">
        <f>33.68+A24*4.3185</f>
        <v>120.05000000000001</v>
      </c>
      <c r="C24" s="4">
        <f>44.4+A24*5.6931</f>
        <v>158.262</v>
      </c>
      <c r="D24" s="4">
        <f>C24-B24</f>
        <v>38.211999999999989</v>
      </c>
      <c r="E24" s="3">
        <f>D24/B24</f>
        <v>0.31830070803831723</v>
      </c>
      <c r="F24" s="4">
        <f>A24*5.5532</f>
        <v>111.06400000000001</v>
      </c>
      <c r="G24" s="4">
        <f>B24+F24</f>
        <v>231.11400000000003</v>
      </c>
      <c r="H24" s="4">
        <f>C24+F24</f>
        <v>269.32600000000002</v>
      </c>
      <c r="I24" s="3">
        <f>(H24-G24)/G24</f>
        <v>0.16533831788641096</v>
      </c>
    </row>
    <row r="25" spans="1:9" x14ac:dyDescent="0.3">
      <c r="A25" s="2"/>
    </row>
    <row r="26" spans="1:9" x14ac:dyDescent="0.3">
      <c r="A26" s="2">
        <v>50</v>
      </c>
      <c r="B26" s="4">
        <f>33.68+A26*4.3185</f>
        <v>249.60500000000002</v>
      </c>
      <c r="C26" s="4">
        <f>44.4+A26*5.6931</f>
        <v>329.05500000000001</v>
      </c>
      <c r="D26" s="4">
        <f>C26-B26</f>
        <v>79.449999999999989</v>
      </c>
      <c r="E26" s="3">
        <f>D26/B26</f>
        <v>0.31830291861140597</v>
      </c>
      <c r="F26" s="4">
        <f>A26*5.5532</f>
        <v>277.66000000000003</v>
      </c>
      <c r="G26" s="4">
        <f>B26+F26</f>
        <v>527.2650000000001</v>
      </c>
      <c r="H26" s="4">
        <f>C26+F26</f>
        <v>606.71500000000003</v>
      </c>
      <c r="I26" s="3">
        <f>(H26-G26)/G26</f>
        <v>0.15068324277166115</v>
      </c>
    </row>
    <row r="27" spans="1:9" x14ac:dyDescent="0.3">
      <c r="A27" s="2"/>
    </row>
    <row r="28" spans="1:9" x14ac:dyDescent="0.3">
      <c r="A28" s="2">
        <v>100</v>
      </c>
      <c r="B28" s="4">
        <f>33.68+A28*4.3185</f>
        <v>465.53000000000003</v>
      </c>
      <c r="C28" s="4">
        <f>44.4+A28*5.6931</f>
        <v>613.71</v>
      </c>
      <c r="D28" s="4">
        <f>C28-B28</f>
        <v>148.18</v>
      </c>
      <c r="E28" s="3">
        <f>D28/B28</f>
        <v>0.31830386870878352</v>
      </c>
      <c r="F28" s="4">
        <f>A28*5.5532</f>
        <v>555.32000000000005</v>
      </c>
      <c r="G28" s="4">
        <f>B28+F28</f>
        <v>1020.8500000000001</v>
      </c>
      <c r="H28" s="4">
        <f>C28+F28</f>
        <v>1169.0300000000002</v>
      </c>
      <c r="I28" s="3">
        <f>(H28-G28)/G28</f>
        <v>0.14515354851349371</v>
      </c>
    </row>
    <row r="29" spans="1:9" x14ac:dyDescent="0.3">
      <c r="A29" s="2"/>
    </row>
    <row r="30" spans="1:9" x14ac:dyDescent="0.3">
      <c r="A30" s="2">
        <v>200</v>
      </c>
      <c r="B30" s="4">
        <f>33.68+A30*4.3185</f>
        <v>897.38</v>
      </c>
      <c r="C30" s="4">
        <f>44.4+A30*5.6931</f>
        <v>1183.0200000000002</v>
      </c>
      <c r="D30" s="4">
        <f>C30-B30</f>
        <v>285.64000000000021</v>
      </c>
      <c r="E30" s="3">
        <f>D30/B30</f>
        <v>0.3183043972453144</v>
      </c>
      <c r="F30" s="4">
        <f>A30*5.5532</f>
        <v>1110.6400000000001</v>
      </c>
      <c r="G30" s="4">
        <f>B30+F30</f>
        <v>2008.02</v>
      </c>
      <c r="H30" s="4">
        <f>C30+F30</f>
        <v>2293.6600000000003</v>
      </c>
      <c r="I30" s="3">
        <f>(H30-G30)/G30</f>
        <v>0.14224957918745845</v>
      </c>
    </row>
    <row r="31" spans="1:9" x14ac:dyDescent="0.3">
      <c r="A31" s="2"/>
    </row>
    <row r="32" spans="1:9" x14ac:dyDescent="0.3">
      <c r="A32" s="2">
        <v>300</v>
      </c>
      <c r="B32" s="4">
        <f>33.68+A32*4.3185</f>
        <v>1329.2300000000002</v>
      </c>
      <c r="C32" s="4">
        <f>44.4+A32*5.6931</f>
        <v>1752.3300000000002</v>
      </c>
      <c r="D32" s="4">
        <f>C32-B32</f>
        <v>423.09999999999991</v>
      </c>
      <c r="E32" s="3">
        <f>D32/B32</f>
        <v>0.31830458235218873</v>
      </c>
      <c r="F32" s="4">
        <f>A32*5.5532</f>
        <v>1665.96</v>
      </c>
      <c r="G32" s="4">
        <f>B32+F32</f>
        <v>2995.1900000000005</v>
      </c>
      <c r="H32" s="4">
        <f>C32+F32</f>
        <v>3418.29</v>
      </c>
      <c r="I32" s="3">
        <f>(H32-G32)/G32</f>
        <v>0.14125981991125752</v>
      </c>
    </row>
    <row r="33" spans="1:9" x14ac:dyDescent="0.3">
      <c r="A33" s="2"/>
    </row>
    <row r="34" spans="1:9" x14ac:dyDescent="0.3">
      <c r="A34" s="2">
        <v>400</v>
      </c>
      <c r="B34" s="4">
        <f>33.68+A34*4.3185</f>
        <v>1761.0800000000002</v>
      </c>
      <c r="C34" s="4">
        <f>44.4+A34*5.6931</f>
        <v>2321.6400000000003</v>
      </c>
      <c r="D34" s="4">
        <f>C34-B34</f>
        <v>560.56000000000017</v>
      </c>
      <c r="E34" s="3">
        <f>D34/B34</f>
        <v>0.31830467667567636</v>
      </c>
      <c r="F34" s="4">
        <f>A34*5.5532</f>
        <v>2221.2800000000002</v>
      </c>
      <c r="G34" s="4">
        <f>B34+F34</f>
        <v>3982.3600000000006</v>
      </c>
      <c r="H34" s="4">
        <f>C34+F34</f>
        <v>4542.92</v>
      </c>
      <c r="I34" s="3">
        <f>(H34-G34)/G34</f>
        <v>0.14076075492923779</v>
      </c>
    </row>
    <row r="35" spans="1:9" x14ac:dyDescent="0.3">
      <c r="A35" s="2"/>
    </row>
    <row r="36" spans="1:9" x14ac:dyDescent="0.3">
      <c r="A36" s="2">
        <v>500</v>
      </c>
      <c r="B36" s="4">
        <f>33.68+A36*4.3185</f>
        <v>2192.9299999999998</v>
      </c>
      <c r="C36" s="4">
        <f>44.4+A36*5.6931</f>
        <v>2890.9500000000003</v>
      </c>
      <c r="D36" s="4">
        <f>C36-B36</f>
        <v>698.02000000000044</v>
      </c>
      <c r="E36" s="3">
        <f>D36/B36</f>
        <v>0.31830473384923391</v>
      </c>
      <c r="F36" s="4">
        <f>A36*5.5532</f>
        <v>2776.6000000000004</v>
      </c>
      <c r="G36" s="4">
        <f>B36+F36</f>
        <v>4969.5300000000007</v>
      </c>
      <c r="H36" s="4">
        <f>C36+F36</f>
        <v>5667.5500000000011</v>
      </c>
      <c r="I36" s="3">
        <f>(H36-G36)/G36</f>
        <v>0.14045996301461111</v>
      </c>
    </row>
    <row r="38" spans="1:9" x14ac:dyDescent="0.3">
      <c r="A38" t="s">
        <v>25</v>
      </c>
    </row>
    <row r="39" spans="1:9" x14ac:dyDescent="0.3">
      <c r="A39" s="1" t="s">
        <v>31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6811-B635-4599-8E3F-A8625EE01D7B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2" max="4" width="11.5" customWidth="1"/>
    <col min="5" max="5" width="9" customWidth="1"/>
    <col min="6" max="8" width="11.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48</v>
      </c>
    </row>
    <row r="11" spans="1:11" x14ac:dyDescent="0.3">
      <c r="A11" s="9" t="s">
        <v>56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5</v>
      </c>
      <c r="B20" s="4">
        <f>33.68+A20*4.3185</f>
        <v>55.272500000000001</v>
      </c>
      <c r="C20" s="4">
        <f>44.4+A20*5.6931</f>
        <v>72.865499999999997</v>
      </c>
      <c r="D20" s="4">
        <f>C20-B20</f>
        <v>17.592999999999996</v>
      </c>
      <c r="E20" s="3">
        <f>D20/B20</f>
        <v>0.3182957166764665</v>
      </c>
      <c r="F20" s="4">
        <f>A20*0</f>
        <v>0</v>
      </c>
      <c r="G20" s="4">
        <f>B20+F20</f>
        <v>55.272500000000001</v>
      </c>
      <c r="H20" s="4">
        <f>C20+F20</f>
        <v>72.865499999999997</v>
      </c>
      <c r="I20" s="3">
        <f>(H20-G20)/G20</f>
        <v>0.3182957166764665</v>
      </c>
    </row>
    <row r="21" spans="1:9" x14ac:dyDescent="0.3">
      <c r="A21" s="2"/>
    </row>
    <row r="22" spans="1:9" x14ac:dyDescent="0.3">
      <c r="A22" s="5">
        <v>14.2</v>
      </c>
      <c r="B22" s="6">
        <f>33.68+A22*4.3185</f>
        <v>95.002700000000004</v>
      </c>
      <c r="C22" s="6">
        <f>44.4+A22*5.6931</f>
        <v>125.24202</v>
      </c>
      <c r="D22" s="6">
        <f>C22-B22</f>
        <v>30.239319999999992</v>
      </c>
      <c r="E22" s="7">
        <f>D22/B22</f>
        <v>0.31829958516968454</v>
      </c>
      <c r="F22" s="6">
        <f>A22*0</f>
        <v>0</v>
      </c>
      <c r="G22" s="6">
        <f>B22+F22</f>
        <v>95.002700000000004</v>
      </c>
      <c r="H22" s="6">
        <f>C22+F22</f>
        <v>125.24202</v>
      </c>
      <c r="I22" s="7">
        <f>(H22-G22)/G22</f>
        <v>0.31829958516968454</v>
      </c>
    </row>
    <row r="23" spans="1:9" x14ac:dyDescent="0.3">
      <c r="A23" s="2"/>
    </row>
    <row r="24" spans="1:9" x14ac:dyDescent="0.3">
      <c r="A24" s="2">
        <v>20</v>
      </c>
      <c r="B24" s="4">
        <f>33.68+A24*4.3185</f>
        <v>120.05000000000001</v>
      </c>
      <c r="C24" s="4">
        <f>44.4+A24*5.6931</f>
        <v>158.262</v>
      </c>
      <c r="D24" s="4">
        <f>C24-B24</f>
        <v>38.211999999999989</v>
      </c>
      <c r="E24" s="3">
        <f>D24/B24</f>
        <v>0.31830070803831723</v>
      </c>
      <c r="F24" s="4">
        <f>A24*0</f>
        <v>0</v>
      </c>
      <c r="G24" s="4">
        <f>B24+F24</f>
        <v>120.05000000000001</v>
      </c>
      <c r="H24" s="4">
        <f>C24+F24</f>
        <v>158.262</v>
      </c>
      <c r="I24" s="3">
        <f>(H24-G24)/G24</f>
        <v>0.31830070803831723</v>
      </c>
    </row>
    <row r="25" spans="1:9" x14ac:dyDescent="0.3">
      <c r="A25" s="2"/>
    </row>
    <row r="26" spans="1:9" x14ac:dyDescent="0.3">
      <c r="A26" s="2">
        <v>50</v>
      </c>
      <c r="B26" s="4">
        <f>33.68+A26*4.3185</f>
        <v>249.60500000000002</v>
      </c>
      <c r="C26" s="4">
        <f>44.4+A26*5.6931</f>
        <v>329.05500000000001</v>
      </c>
      <c r="D26" s="4">
        <f>C26-B26</f>
        <v>79.449999999999989</v>
      </c>
      <c r="E26" s="3">
        <f>D26/B26</f>
        <v>0.31830291861140597</v>
      </c>
      <c r="F26" s="4">
        <f>A26*0</f>
        <v>0</v>
      </c>
      <c r="G26" s="4">
        <f>B26+F26</f>
        <v>249.60500000000002</v>
      </c>
      <c r="H26" s="4">
        <f>C26+F26</f>
        <v>329.05500000000001</v>
      </c>
      <c r="I26" s="3">
        <f>(H26-G26)/G26</f>
        <v>0.31830291861140597</v>
      </c>
    </row>
    <row r="27" spans="1:9" x14ac:dyDescent="0.3">
      <c r="A27" s="2"/>
    </row>
    <row r="28" spans="1:9" x14ac:dyDescent="0.3">
      <c r="A28" s="2">
        <v>100</v>
      </c>
      <c r="B28" s="4">
        <f>33.68+A28*4.3185</f>
        <v>465.53000000000003</v>
      </c>
      <c r="C28" s="4">
        <f>44.4+A28*5.6931</f>
        <v>613.71</v>
      </c>
      <c r="D28" s="4">
        <f>C28-B28</f>
        <v>148.18</v>
      </c>
      <c r="E28" s="3">
        <f>D28/B28</f>
        <v>0.31830386870878352</v>
      </c>
      <c r="F28" s="4">
        <f>A28*0</f>
        <v>0</v>
      </c>
      <c r="G28" s="4">
        <f>B28+F28</f>
        <v>465.53000000000003</v>
      </c>
      <c r="H28" s="4">
        <f>C28+F28</f>
        <v>613.71</v>
      </c>
      <c r="I28" s="3">
        <f>(H28-G28)/G28</f>
        <v>0.31830386870878352</v>
      </c>
    </row>
    <row r="29" spans="1:9" x14ac:dyDescent="0.3">
      <c r="A29" s="2"/>
    </row>
    <row r="30" spans="1:9" x14ac:dyDescent="0.3">
      <c r="A30" s="2">
        <v>200</v>
      </c>
      <c r="B30" s="4">
        <f>33.68+A30*4.3185</f>
        <v>897.38</v>
      </c>
      <c r="C30" s="4">
        <f>44.4+A30*5.6931</f>
        <v>1183.0200000000002</v>
      </c>
      <c r="D30" s="4">
        <f>C30-B30</f>
        <v>285.64000000000021</v>
      </c>
      <c r="E30" s="3">
        <f>D30/B30</f>
        <v>0.3183043972453144</v>
      </c>
      <c r="F30" s="4">
        <f>A30*0</f>
        <v>0</v>
      </c>
      <c r="G30" s="4">
        <f>B30+F30</f>
        <v>897.38</v>
      </c>
      <c r="H30" s="4">
        <f>C30+F30</f>
        <v>1183.0200000000002</v>
      </c>
      <c r="I30" s="3">
        <f>(H30-G30)/G30</f>
        <v>0.3183043972453144</v>
      </c>
    </row>
    <row r="31" spans="1:9" x14ac:dyDescent="0.3">
      <c r="A31" s="2"/>
    </row>
    <row r="32" spans="1:9" x14ac:dyDescent="0.3">
      <c r="A32" s="2">
        <v>300</v>
      </c>
      <c r="B32" s="4">
        <f>33.68+A32*4.3185</f>
        <v>1329.2300000000002</v>
      </c>
      <c r="C32" s="4">
        <f>44.4+A32*5.6931</f>
        <v>1752.3300000000002</v>
      </c>
      <c r="D32" s="4">
        <f>C32-B32</f>
        <v>423.09999999999991</v>
      </c>
      <c r="E32" s="3">
        <f>D32/B32</f>
        <v>0.31830458235218873</v>
      </c>
      <c r="F32" s="4">
        <f>A32*0</f>
        <v>0</v>
      </c>
      <c r="G32" s="4">
        <f>B32+F32</f>
        <v>1329.2300000000002</v>
      </c>
      <c r="H32" s="4">
        <f>C32+F32</f>
        <v>1752.3300000000002</v>
      </c>
      <c r="I32" s="3">
        <f>(H32-G32)/G32</f>
        <v>0.31830458235218873</v>
      </c>
    </row>
    <row r="33" spans="1:9" x14ac:dyDescent="0.3">
      <c r="A33" s="2"/>
    </row>
    <row r="34" spans="1:9" x14ac:dyDescent="0.3">
      <c r="A34" s="2">
        <v>400</v>
      </c>
      <c r="B34" s="4">
        <f>33.68+A34*4.3185</f>
        <v>1761.0800000000002</v>
      </c>
      <c r="C34" s="4">
        <f>44.4+A34*5.6931</f>
        <v>2321.6400000000003</v>
      </c>
      <c r="D34" s="4">
        <f>C34-B34</f>
        <v>560.56000000000017</v>
      </c>
      <c r="E34" s="3">
        <f>D34/B34</f>
        <v>0.31830467667567636</v>
      </c>
      <c r="F34" s="4">
        <f>A34*0</f>
        <v>0</v>
      </c>
      <c r="G34" s="4">
        <f>B34+F34</f>
        <v>1761.0800000000002</v>
      </c>
      <c r="H34" s="4">
        <f>C34+F34</f>
        <v>2321.6400000000003</v>
      </c>
      <c r="I34" s="3">
        <f>(H34-G34)/G34</f>
        <v>0.31830467667567636</v>
      </c>
    </row>
    <row r="35" spans="1:9" x14ac:dyDescent="0.3">
      <c r="A35" s="2"/>
    </row>
    <row r="36" spans="1:9" x14ac:dyDescent="0.3">
      <c r="A36" s="2">
        <v>500</v>
      </c>
      <c r="B36" s="4">
        <f>33.68+A36*4.3185</f>
        <v>2192.9299999999998</v>
      </c>
      <c r="C36" s="4">
        <f>44.4+A36*5.6931</f>
        <v>2890.9500000000003</v>
      </c>
      <c r="D36" s="4">
        <f>C36-B36</f>
        <v>698.02000000000044</v>
      </c>
      <c r="E36" s="3">
        <f>D36/B36</f>
        <v>0.31830473384923391</v>
      </c>
      <c r="F36" s="4">
        <f>A36*0</f>
        <v>0</v>
      </c>
      <c r="G36" s="4">
        <f>B36+F36</f>
        <v>2192.9299999999998</v>
      </c>
      <c r="H36" s="4">
        <f>C36+F36</f>
        <v>2890.9500000000003</v>
      </c>
      <c r="I36" s="3">
        <f>(H36-G36)/G36</f>
        <v>0.31830473384923391</v>
      </c>
    </row>
    <row r="38" spans="1:9" x14ac:dyDescent="0.3">
      <c r="A38" t="s">
        <v>25</v>
      </c>
    </row>
    <row r="39" spans="1:9" x14ac:dyDescent="0.3">
      <c r="A39" s="1" t="s">
        <v>32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4A7F-3FA0-46BE-92FB-9CE2CF111FB3}">
  <sheetPr>
    <pageSetUpPr fitToPage="1"/>
  </sheetPr>
  <dimension ref="A1:K41"/>
  <sheetViews>
    <sheetView tabSelected="1" workbookViewId="0">
      <selection activeCell="E9" sqref="E9"/>
    </sheetView>
  </sheetViews>
  <sheetFormatPr defaultRowHeight="18.75" x14ac:dyDescent="0.3"/>
  <cols>
    <col min="1" max="1" width="9.09765625" bestFit="1" customWidth="1"/>
    <col min="2" max="4" width="11.5" customWidth="1"/>
    <col min="5" max="5" width="9" customWidth="1"/>
    <col min="6" max="6" width="11.5" customWidth="1"/>
    <col min="7" max="8" width="12.6992187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47</v>
      </c>
    </row>
    <row r="11" spans="1:11" x14ac:dyDescent="0.3">
      <c r="A11" s="9" t="s">
        <v>57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25</v>
      </c>
      <c r="B20" s="4">
        <f>147.94+A20*4.3185</f>
        <v>255.9025</v>
      </c>
      <c r="C20" s="4">
        <f>195.04+A20*5.6935</f>
        <v>337.3775</v>
      </c>
      <c r="D20" s="4">
        <f>C20-B20</f>
        <v>81.474999999999994</v>
      </c>
      <c r="E20" s="3">
        <f>D20/B20</f>
        <v>0.31838297789197056</v>
      </c>
      <c r="F20" s="4">
        <f>A20*5.5532</f>
        <v>138.83000000000001</v>
      </c>
      <c r="G20" s="4">
        <f>B20+F20</f>
        <v>394.73250000000002</v>
      </c>
      <c r="H20" s="4">
        <f>C20+F20</f>
        <v>476.20749999999998</v>
      </c>
      <c r="I20" s="3">
        <f>(H20-G20)/G20</f>
        <v>0.206405603794975</v>
      </c>
    </row>
    <row r="21" spans="1:9" x14ac:dyDescent="0.3">
      <c r="A21" s="2"/>
    </row>
    <row r="22" spans="1:9" x14ac:dyDescent="0.3">
      <c r="A22" s="5">
        <v>69.099999999999994</v>
      </c>
      <c r="B22" s="6">
        <f>147.94+A22*4.3185</f>
        <v>446.34834999999998</v>
      </c>
      <c r="C22" s="6">
        <f>195.04+A22*5.6935</f>
        <v>588.46084999999994</v>
      </c>
      <c r="D22" s="6">
        <f>C22-B22</f>
        <v>142.11249999999995</v>
      </c>
      <c r="E22" s="7">
        <f>D22/B22</f>
        <v>0.31838921326806735</v>
      </c>
      <c r="F22" s="6">
        <f>A22*5.5532</f>
        <v>383.72611999999998</v>
      </c>
      <c r="G22" s="6">
        <f>B22+F22</f>
        <v>830.07447000000002</v>
      </c>
      <c r="H22" s="6">
        <f>C22+F22</f>
        <v>972.18696999999997</v>
      </c>
      <c r="I22" s="7">
        <f>(H22-G22)/G22</f>
        <v>0.1712045185536184</v>
      </c>
    </row>
    <row r="23" spans="1:9" x14ac:dyDescent="0.3">
      <c r="A23" s="2"/>
    </row>
    <row r="24" spans="1:9" x14ac:dyDescent="0.3">
      <c r="A24" s="2">
        <v>200</v>
      </c>
      <c r="B24" s="4">
        <f>147.94+A24*4.3185</f>
        <v>1011.6400000000001</v>
      </c>
      <c r="C24" s="4">
        <f>195.04+A24*5.6935</f>
        <v>1333.74</v>
      </c>
      <c r="D24" s="4">
        <f>C24-B24</f>
        <v>322.09999999999991</v>
      </c>
      <c r="E24" s="3">
        <f>D24/B24</f>
        <v>0.31839389506148419</v>
      </c>
      <c r="F24" s="4">
        <f>A24*5.5532</f>
        <v>1110.6400000000001</v>
      </c>
      <c r="G24" s="4">
        <f>B24+F24</f>
        <v>2122.2800000000002</v>
      </c>
      <c r="H24" s="4">
        <f>C24+F24</f>
        <v>2444.38</v>
      </c>
      <c r="I24" s="3">
        <f>(H24-G24)/G24</f>
        <v>0.15177073713176389</v>
      </c>
    </row>
    <row r="25" spans="1:9" x14ac:dyDescent="0.3">
      <c r="A25" s="2"/>
    </row>
    <row r="26" spans="1:9" x14ac:dyDescent="0.3">
      <c r="A26" s="2">
        <v>500</v>
      </c>
      <c r="B26" s="4">
        <f>147.94+(200*4.3185)+((A26-200)*2.6696)</f>
        <v>1812.52</v>
      </c>
      <c r="C26" s="4">
        <f>195.04+(200*5.6935)+((A26-200)*3.5196)</f>
        <v>2389.62</v>
      </c>
      <c r="D26" s="4">
        <f>C26-B26</f>
        <v>577.09999999999991</v>
      </c>
      <c r="E26" s="3">
        <f>D26/B26</f>
        <v>0.31839648665945752</v>
      </c>
      <c r="F26" s="4">
        <f>A26*5.5532</f>
        <v>2776.6000000000004</v>
      </c>
      <c r="G26" s="4">
        <f>B26+F26</f>
        <v>4589.1200000000008</v>
      </c>
      <c r="H26" s="4">
        <f>C26+F26</f>
        <v>5166.22</v>
      </c>
      <c r="I26" s="3">
        <f>(H26-G26)/G26</f>
        <v>0.12575395718569124</v>
      </c>
    </row>
    <row r="27" spans="1:9" x14ac:dyDescent="0.3">
      <c r="A27" s="2"/>
    </row>
    <row r="28" spans="1:9" x14ac:dyDescent="0.3">
      <c r="A28" s="2">
        <v>1000</v>
      </c>
      <c r="B28" s="4">
        <f>147.94+(200*4.3185)+((A28-200)*2.6696)</f>
        <v>3147.3199999999997</v>
      </c>
      <c r="C28" s="4">
        <f>195.04+(200*5.6935)+((A28-200)*3.5196)</f>
        <v>4149.42</v>
      </c>
      <c r="D28" s="4">
        <f>C28-B28</f>
        <v>1002.1000000000004</v>
      </c>
      <c r="E28" s="3">
        <f>D28/B28</f>
        <v>0.31839787501747535</v>
      </c>
      <c r="F28" s="4">
        <f>A28*5.5532</f>
        <v>5553.2000000000007</v>
      </c>
      <c r="G28" s="4">
        <f>B28+F28</f>
        <v>8700.52</v>
      </c>
      <c r="H28" s="4">
        <f>C28+F28</f>
        <v>9702.6200000000008</v>
      </c>
      <c r="I28" s="3">
        <f>(H28-G28)/G28</f>
        <v>0.11517702390201968</v>
      </c>
    </row>
    <row r="29" spans="1:9" x14ac:dyDescent="0.3">
      <c r="A29" s="2"/>
    </row>
    <row r="30" spans="1:9" x14ac:dyDescent="0.3">
      <c r="A30" s="2">
        <v>2500</v>
      </c>
      <c r="B30" s="4">
        <f>147.94+(200*4.3185)+(800*2.6696)+((A30-1000)*1.8735)</f>
        <v>5957.57</v>
      </c>
      <c r="C30" s="4">
        <f>195.04+(200*5.6935)+(800*3.5196)+((A30-1000)*2.47)</f>
        <v>7854.42</v>
      </c>
      <c r="D30" s="4">
        <f>C30-B30</f>
        <v>1896.8500000000004</v>
      </c>
      <c r="E30" s="3">
        <f>D30/B30</f>
        <v>0.31839323751126725</v>
      </c>
      <c r="F30" s="4">
        <f>A30*5.5532</f>
        <v>13883</v>
      </c>
      <c r="G30" s="4">
        <f>B30+F30</f>
        <v>19840.57</v>
      </c>
      <c r="H30" s="4">
        <f>C30+F30</f>
        <v>21737.42</v>
      </c>
      <c r="I30" s="3">
        <f>(H30-G30)/G30</f>
        <v>9.5604612165880246E-2</v>
      </c>
    </row>
    <row r="31" spans="1:9" x14ac:dyDescent="0.3">
      <c r="A31" s="2"/>
    </row>
    <row r="32" spans="1:9" x14ac:dyDescent="0.3">
      <c r="A32" s="2">
        <v>5000</v>
      </c>
      <c r="B32" s="4">
        <f>147.94+(200*4.3185)+(800*2.6696)+((A32-1000)*1.8735)</f>
        <v>10641.32</v>
      </c>
      <c r="C32" s="4">
        <f>195.04+(200*5.6935)+(800*3.5196)+((A32-1000)*2.47)</f>
        <v>14029.42</v>
      </c>
      <c r="D32" s="4">
        <f>C32-B32</f>
        <v>3388.1000000000004</v>
      </c>
      <c r="E32" s="3">
        <f>D32/B32</f>
        <v>0.31839095149849833</v>
      </c>
      <c r="F32" s="4">
        <f>A32*5.5532</f>
        <v>27766</v>
      </c>
      <c r="G32" s="4">
        <f>B32+F32</f>
        <v>38407.32</v>
      </c>
      <c r="H32" s="4">
        <f>C32+F32</f>
        <v>41795.42</v>
      </c>
      <c r="I32" s="3">
        <f>(H32-G32)/G32</f>
        <v>8.8214954857563574E-2</v>
      </c>
    </row>
    <row r="33" spans="1:9" x14ac:dyDescent="0.3">
      <c r="A33" s="2"/>
    </row>
    <row r="34" spans="1:9" x14ac:dyDescent="0.3">
      <c r="A34" s="2">
        <v>7500</v>
      </c>
      <c r="B34" s="4">
        <f>147.94+(200*4.3185)+(800*2.6696)+(4000*1.8735)+((A34-5000)*1.4735)</f>
        <v>14325.07</v>
      </c>
      <c r="C34" s="4">
        <f>195.04+(200*5.6935)+(800*3.5196)+(4000*2.47)+((A34-5000)*1.9427)</f>
        <v>18886.169999999998</v>
      </c>
      <c r="D34" s="4">
        <f>C34-B34</f>
        <v>4561.0999999999985</v>
      </c>
      <c r="E34" s="3">
        <f>D34/B34</f>
        <v>0.3183998402800125</v>
      </c>
      <c r="F34" s="4">
        <f>A34*5.5532</f>
        <v>41649</v>
      </c>
      <c r="G34" s="4">
        <f>B34+F34</f>
        <v>55974.07</v>
      </c>
      <c r="H34" s="4">
        <f>C34+F34</f>
        <v>60535.17</v>
      </c>
      <c r="I34" s="3">
        <f>(H34-G34)/G34</f>
        <v>8.1485945188548889E-2</v>
      </c>
    </row>
    <row r="35" spans="1:9" x14ac:dyDescent="0.3">
      <c r="A35" s="2"/>
    </row>
    <row r="36" spans="1:9" x14ac:dyDescent="0.3">
      <c r="A36" s="2">
        <v>10000</v>
      </c>
      <c r="B36" s="4">
        <f>147.94+(200*4.3185)+(800*2.6696)+(4000*1.8735)+((A36-5000)*1.4735)</f>
        <v>18008.82</v>
      </c>
      <c r="C36" s="4">
        <f>195.04+(200*5.6935)+(800*3.5196)+(4000*2.47)+((A36-5000)*1.9427)</f>
        <v>23742.92</v>
      </c>
      <c r="D36" s="4">
        <f>C36-B36</f>
        <v>5734.0999999999985</v>
      </c>
      <c r="E36" s="3">
        <f>D36/B36</f>
        <v>0.3184050926157293</v>
      </c>
      <c r="F36" s="4">
        <f>A36*5.5532</f>
        <v>55532</v>
      </c>
      <c r="G36" s="4">
        <f>B36+F36</f>
        <v>73540.820000000007</v>
      </c>
      <c r="H36" s="4">
        <f>C36+F36</f>
        <v>79274.92</v>
      </c>
      <c r="I36" s="3">
        <f>(H36-G36)/G36</f>
        <v>7.7971662540613371E-2</v>
      </c>
    </row>
    <row r="37" spans="1:9" x14ac:dyDescent="0.3">
      <c r="A37" s="2"/>
    </row>
    <row r="38" spans="1:9" x14ac:dyDescent="0.3">
      <c r="A38" s="2">
        <v>15000</v>
      </c>
      <c r="B38" s="4">
        <f>147.94+(200*4.3185)+(800*2.6696)+(4000*1.8735)+(5000*1.4735)+((A38-10000)*1.2735)</f>
        <v>24376.32</v>
      </c>
      <c r="C38" s="4">
        <f>195.04+(200*5.6935)+(800*3.5196)+(4000*2.47)+(5000*1.9427)+((A38-10000)*1.679)</f>
        <v>32137.919999999998</v>
      </c>
      <c r="D38" s="4">
        <f>C38-B38</f>
        <v>7761.5999999999985</v>
      </c>
      <c r="E38" s="3">
        <f>D38/B38</f>
        <v>0.31840737240075606</v>
      </c>
      <c r="F38" s="4">
        <f>A38*5.5532</f>
        <v>83298</v>
      </c>
      <c r="G38" s="4">
        <f>B38+F38</f>
        <v>107674.32</v>
      </c>
      <c r="H38" s="4">
        <f>C38+F38</f>
        <v>115435.92</v>
      </c>
      <c r="I38" s="3">
        <f>(H38-G38)/G38</f>
        <v>7.208404009423966E-2</v>
      </c>
    </row>
    <row r="40" spans="1:9" x14ac:dyDescent="0.3">
      <c r="A40" t="s">
        <v>25</v>
      </c>
    </row>
    <row r="41" spans="1:9" x14ac:dyDescent="0.3">
      <c r="A41" s="1" t="s">
        <v>33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2CF4-852A-4B69-8522-BA384530BF82}">
  <sheetPr>
    <pageSetUpPr fitToPage="1"/>
  </sheetPr>
  <dimension ref="A1:K41"/>
  <sheetViews>
    <sheetView tabSelected="1" topLeftCell="A13" workbookViewId="0">
      <selection activeCell="E9" sqref="E9"/>
    </sheetView>
  </sheetViews>
  <sheetFormatPr defaultRowHeight="18.75" x14ac:dyDescent="0.3"/>
  <cols>
    <col min="1" max="1" width="9.09765625" bestFit="1" customWidth="1"/>
    <col min="2" max="4" width="11.5" customWidth="1"/>
    <col min="5" max="5" width="9" customWidth="1"/>
    <col min="6" max="6" width="11.5" customWidth="1"/>
    <col min="7" max="8" width="12.6992187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46</v>
      </c>
    </row>
    <row r="11" spans="1:11" x14ac:dyDescent="0.3">
      <c r="A11" s="9" t="s">
        <v>58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100</v>
      </c>
      <c r="B20" s="4">
        <f>147.94+A20*4.3185</f>
        <v>579.79</v>
      </c>
      <c r="C20" s="4">
        <f>195.04+A20*5.6935</f>
        <v>764.39</v>
      </c>
      <c r="D20" s="4">
        <f>C20-B20</f>
        <v>184.60000000000002</v>
      </c>
      <c r="E20" s="3">
        <f>D20/B20</f>
        <v>0.31839114162024185</v>
      </c>
      <c r="F20" s="4">
        <f>A20*0</f>
        <v>0</v>
      </c>
      <c r="G20" s="4">
        <f>B20+F20</f>
        <v>579.79</v>
      </c>
      <c r="H20" s="4">
        <f>C20+F20</f>
        <v>764.39</v>
      </c>
      <c r="I20" s="3">
        <f>(H20-G20)/G20</f>
        <v>0.31839114162024185</v>
      </c>
    </row>
    <row r="21" spans="1:9" x14ac:dyDescent="0.3">
      <c r="A21" s="2"/>
    </row>
    <row r="22" spans="1:9" x14ac:dyDescent="0.3">
      <c r="A22" s="2">
        <v>200</v>
      </c>
      <c r="B22" s="4">
        <f>147.94+A22*4.3185</f>
        <v>1011.6400000000001</v>
      </c>
      <c r="C22" s="4">
        <f>195.04+A22*5.6935</f>
        <v>1333.74</v>
      </c>
      <c r="D22" s="4">
        <f>C22-B22</f>
        <v>322.09999999999991</v>
      </c>
      <c r="E22" s="17">
        <f>D22/B22</f>
        <v>0.31839389506148419</v>
      </c>
      <c r="F22" s="16">
        <f>A22*0</f>
        <v>0</v>
      </c>
      <c r="G22" s="16">
        <f>B22+F22</f>
        <v>1011.6400000000001</v>
      </c>
      <c r="H22" s="16">
        <f>C22+F22</f>
        <v>1333.74</v>
      </c>
      <c r="I22" s="17">
        <f>(H22-G22)/G22</f>
        <v>0.31839389506148419</v>
      </c>
    </row>
    <row r="23" spans="1:9" x14ac:dyDescent="0.3">
      <c r="A23" s="2"/>
    </row>
    <row r="24" spans="1:9" x14ac:dyDescent="0.3">
      <c r="A24" s="2">
        <v>500</v>
      </c>
      <c r="B24" s="4">
        <f>147.94+(200*4.3185)+((A24-200)*2.6696)</f>
        <v>1812.52</v>
      </c>
      <c r="C24" s="4">
        <f>195.04+(200*5.6935)+((A24-200)*3.5196)</f>
        <v>2389.62</v>
      </c>
      <c r="D24" s="4">
        <f>C24-B24</f>
        <v>577.09999999999991</v>
      </c>
      <c r="E24" s="3">
        <f>D24/B24</f>
        <v>0.31839648665945752</v>
      </c>
      <c r="F24" s="4">
        <f>A24*0</f>
        <v>0</v>
      </c>
      <c r="G24" s="4">
        <f>B24+F24</f>
        <v>1812.52</v>
      </c>
      <c r="H24" s="4">
        <f>C24+F24</f>
        <v>2389.62</v>
      </c>
      <c r="I24" s="3">
        <f>(H24-G24)/G24</f>
        <v>0.31839648665945752</v>
      </c>
    </row>
    <row r="25" spans="1:9" x14ac:dyDescent="0.3">
      <c r="A25" s="2"/>
    </row>
    <row r="26" spans="1:9" x14ac:dyDescent="0.3">
      <c r="A26" s="2">
        <v>1000</v>
      </c>
      <c r="B26" s="4">
        <f>147.94+(200*4.3185)+((A26-200)*2.6696)</f>
        <v>3147.3199999999997</v>
      </c>
      <c r="C26" s="4">
        <f>195.04+(200*5.6935)+((A26-200)*3.5196)</f>
        <v>4149.42</v>
      </c>
      <c r="D26" s="4">
        <f>C26-B26</f>
        <v>1002.1000000000004</v>
      </c>
      <c r="E26" s="3">
        <f>D26/B26</f>
        <v>0.31839787501747535</v>
      </c>
      <c r="F26" s="4">
        <f>A26*0</f>
        <v>0</v>
      </c>
      <c r="G26" s="4">
        <f>B26+F26</f>
        <v>3147.3199999999997</v>
      </c>
      <c r="H26" s="4">
        <f>C26+F26</f>
        <v>4149.42</v>
      </c>
      <c r="I26" s="3">
        <f>(H26-G26)/G26</f>
        <v>0.31839787501747535</v>
      </c>
    </row>
    <row r="27" spans="1:9" x14ac:dyDescent="0.3">
      <c r="A27" s="2"/>
    </row>
    <row r="28" spans="1:9" x14ac:dyDescent="0.3">
      <c r="A28" s="5">
        <v>1106.0999999999999</v>
      </c>
      <c r="B28" s="6">
        <f>147.94+(200*4.3185)+(800*2.6696)+((A28-1000)*1.8735)</f>
        <v>3346.0983499999993</v>
      </c>
      <c r="C28" s="6">
        <f>195.04+(200*5.6935)+(800*3.5196)+((A28-1000)*2.47)</f>
        <v>4411.4870000000001</v>
      </c>
      <c r="D28" s="6">
        <f>C28-B28</f>
        <v>1065.3886500000008</v>
      </c>
      <c r="E28" s="7">
        <f>D28/B28</f>
        <v>0.31839729098219754</v>
      </c>
      <c r="F28" s="6">
        <f>A28*0</f>
        <v>0</v>
      </c>
      <c r="G28" s="6">
        <f>B28+F28</f>
        <v>3346.0983499999993</v>
      </c>
      <c r="H28" s="6">
        <f>C28+F28</f>
        <v>4411.4870000000001</v>
      </c>
      <c r="I28" s="7">
        <f>(H28-G28)/G28</f>
        <v>0.31839729098219754</v>
      </c>
    </row>
    <row r="29" spans="1:9" x14ac:dyDescent="0.3">
      <c r="A29" s="2"/>
    </row>
    <row r="30" spans="1:9" x14ac:dyDescent="0.3">
      <c r="A30" s="2">
        <v>2500</v>
      </c>
      <c r="B30" s="4">
        <f>147.94+(200*4.3185)+(800*2.6696)+((A30-1000)*1.8735)</f>
        <v>5957.57</v>
      </c>
      <c r="C30" s="4">
        <f>195.04+(200*5.6935)+(800*3.5196)+((A30-1000)*2.47)</f>
        <v>7854.42</v>
      </c>
      <c r="D30" s="4">
        <f>C30-B30</f>
        <v>1896.8500000000004</v>
      </c>
      <c r="E30" s="3">
        <f>D30/B30</f>
        <v>0.31839323751126725</v>
      </c>
      <c r="F30" s="4">
        <f>A30*0</f>
        <v>0</v>
      </c>
      <c r="G30" s="4">
        <f>B30+F30</f>
        <v>5957.57</v>
      </c>
      <c r="H30" s="4">
        <f>C30+F30</f>
        <v>7854.42</v>
      </c>
      <c r="I30" s="3">
        <f>(H30-G30)/G30</f>
        <v>0.31839323751126725</v>
      </c>
    </row>
    <row r="31" spans="1:9" x14ac:dyDescent="0.3">
      <c r="A31" s="2"/>
    </row>
    <row r="32" spans="1:9" x14ac:dyDescent="0.3">
      <c r="A32" s="2">
        <v>5000</v>
      </c>
      <c r="B32" s="4">
        <f>147.94+(200*4.3185)+(800*2.6696)+((A32-1000)*1.8735)</f>
        <v>10641.32</v>
      </c>
      <c r="C32" s="4">
        <f>195.04+(200*5.6935)+(800*3.5196)+((A32-1000)*2.47)</f>
        <v>14029.42</v>
      </c>
      <c r="D32" s="4">
        <f>C32-B32</f>
        <v>3388.1000000000004</v>
      </c>
      <c r="E32" s="3">
        <f>D32/B32</f>
        <v>0.31839095149849833</v>
      </c>
      <c r="F32" s="4">
        <f>A32*0</f>
        <v>0</v>
      </c>
      <c r="G32" s="4">
        <f>B32+F32</f>
        <v>10641.32</v>
      </c>
      <c r="H32" s="4">
        <f>C32+F32</f>
        <v>14029.42</v>
      </c>
      <c r="I32" s="3">
        <f>(H32-G32)/G32</f>
        <v>0.31839095149849833</v>
      </c>
    </row>
    <row r="33" spans="1:9" x14ac:dyDescent="0.3">
      <c r="A33" s="2"/>
    </row>
    <row r="34" spans="1:9" x14ac:dyDescent="0.3">
      <c r="A34" s="2">
        <v>7500</v>
      </c>
      <c r="B34" s="4">
        <f>147.94+(200*4.3185)+(800*2.6696)+(4000*1.8735)+((A34-5000)*1.4735)</f>
        <v>14325.07</v>
      </c>
      <c r="C34" s="4">
        <f>195.04+(200*5.6935)+(800*3.5196)+(4000*2.47)+((A34-5000)*1.9427)</f>
        <v>18886.169999999998</v>
      </c>
      <c r="D34" s="4">
        <f>C34-B34</f>
        <v>4561.0999999999985</v>
      </c>
      <c r="E34" s="3">
        <f>D34/B34</f>
        <v>0.3183998402800125</v>
      </c>
      <c r="F34" s="4">
        <f>A34*0</f>
        <v>0</v>
      </c>
      <c r="G34" s="4">
        <f>B34+F34</f>
        <v>14325.07</v>
      </c>
      <c r="H34" s="4">
        <f>C34+F34</f>
        <v>18886.169999999998</v>
      </c>
      <c r="I34" s="3">
        <f>(H34-G34)/G34</f>
        <v>0.3183998402800125</v>
      </c>
    </row>
    <row r="35" spans="1:9" x14ac:dyDescent="0.3">
      <c r="A35" s="2"/>
    </row>
    <row r="36" spans="1:9" x14ac:dyDescent="0.3">
      <c r="A36" s="2">
        <v>10000</v>
      </c>
      <c r="B36" s="4">
        <f>147.94+(200*4.3185)+(800*2.6696)+(4000*1.8735)+((A36-5000)*1.4735)</f>
        <v>18008.82</v>
      </c>
      <c r="C36" s="4">
        <f>195.04+(200*5.6935)+(800*3.5196)+(4000*2.47)+((A36-5000)*1.9427)</f>
        <v>23742.92</v>
      </c>
      <c r="D36" s="4">
        <f>C36-B36</f>
        <v>5734.0999999999985</v>
      </c>
      <c r="E36" s="3">
        <f>D36/B36</f>
        <v>0.3184050926157293</v>
      </c>
      <c r="F36" s="4">
        <f>A36*0</f>
        <v>0</v>
      </c>
      <c r="G36" s="4">
        <f>B36+F36</f>
        <v>18008.82</v>
      </c>
      <c r="H36" s="4">
        <f>C36+F36</f>
        <v>23742.92</v>
      </c>
      <c r="I36" s="3">
        <f>(H36-G36)/G36</f>
        <v>0.3184050926157293</v>
      </c>
    </row>
    <row r="37" spans="1:9" x14ac:dyDescent="0.3">
      <c r="A37" s="2"/>
    </row>
    <row r="38" spans="1:9" x14ac:dyDescent="0.3">
      <c r="A38" s="2">
        <v>15000</v>
      </c>
      <c r="B38" s="4">
        <f>147.94+(200*4.3185)+(800*2.6696)+(4000*1.8735)+(5000*1.4735)+((A38-10000)*1.2735)</f>
        <v>24376.32</v>
      </c>
      <c r="C38" s="4">
        <f>195.04+(200*5.6935)+(800*3.5196)+(4000*2.47)+(5000*1.9427)+((A38-10000)*1.679)</f>
        <v>32137.919999999998</v>
      </c>
      <c r="D38" s="4">
        <f>C38-B38</f>
        <v>7761.5999999999985</v>
      </c>
      <c r="E38" s="3">
        <f>D38/B38</f>
        <v>0.31840737240075606</v>
      </c>
      <c r="F38" s="4">
        <f>A38*0</f>
        <v>0</v>
      </c>
      <c r="G38" s="4">
        <f>B38+F38</f>
        <v>24376.32</v>
      </c>
      <c r="H38" s="4">
        <f>C38+F38</f>
        <v>32137.919999999998</v>
      </c>
      <c r="I38" s="3">
        <f>(H38-G38)/G38</f>
        <v>0.31840737240075606</v>
      </c>
    </row>
    <row r="40" spans="1:9" x14ac:dyDescent="0.3">
      <c r="A40" t="s">
        <v>25</v>
      </c>
    </row>
    <row r="41" spans="1:9" x14ac:dyDescent="0.3">
      <c r="A41" s="1" t="s">
        <v>34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FEB4-37B4-45E0-980F-80E5F82E2046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1" max="1" width="9.09765625" bestFit="1" customWidth="1"/>
    <col min="2" max="4" width="11.5" customWidth="1"/>
    <col min="5" max="5" width="9" customWidth="1"/>
    <col min="6" max="6" width="11.5" customWidth="1"/>
    <col min="7" max="8" width="12.6992187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45</v>
      </c>
    </row>
    <row r="11" spans="1:11" x14ac:dyDescent="0.3">
      <c r="A11" s="9" t="s">
        <v>59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500</v>
      </c>
      <c r="B20" s="4">
        <f>429.15+A20*1.6</f>
        <v>1229.1500000000001</v>
      </c>
      <c r="C20" s="4">
        <f>267.85+A20*1.7143</f>
        <v>1125</v>
      </c>
      <c r="D20" s="4">
        <f>C20-B20</f>
        <v>-104.15000000000009</v>
      </c>
      <c r="E20" s="3">
        <f>D20/B20</f>
        <v>-8.4733352316641655E-2</v>
      </c>
      <c r="F20" s="4">
        <f>A20*0</f>
        <v>0</v>
      </c>
      <c r="G20" s="4">
        <f>B20+F20</f>
        <v>1229.1500000000001</v>
      </c>
      <c r="H20" s="4">
        <f>C20+F20</f>
        <v>1125</v>
      </c>
      <c r="I20" s="3">
        <f>(H20-G20)/G20</f>
        <v>-8.4733352316641655E-2</v>
      </c>
    </row>
    <row r="21" spans="1:9" x14ac:dyDescent="0.3">
      <c r="A21" s="2"/>
    </row>
    <row r="22" spans="1:9" x14ac:dyDescent="0.3">
      <c r="A22" s="2">
        <v>1000</v>
      </c>
      <c r="B22" s="4">
        <f>429.15+A22*1.6</f>
        <v>2029.15</v>
      </c>
      <c r="C22" s="4">
        <f>267.85+A22*1.7143</f>
        <v>1982.15</v>
      </c>
      <c r="D22" s="4">
        <f>C22-B22</f>
        <v>-47</v>
      </c>
      <c r="E22" s="17">
        <f>D22/B22</f>
        <v>-2.3162407904787716E-2</v>
      </c>
      <c r="F22" s="16">
        <f>A22*0</f>
        <v>0</v>
      </c>
      <c r="G22" s="16">
        <f>B22+F22</f>
        <v>2029.15</v>
      </c>
      <c r="H22" s="16">
        <f>C22+F22</f>
        <v>1982.15</v>
      </c>
      <c r="I22" s="17">
        <f>(H22-G22)/G22</f>
        <v>-2.3162407904787716E-2</v>
      </c>
    </row>
    <row r="23" spans="1:9" x14ac:dyDescent="0.3">
      <c r="A23" s="2"/>
    </row>
    <row r="24" spans="1:9" x14ac:dyDescent="0.3">
      <c r="A24" s="2">
        <v>2500</v>
      </c>
      <c r="B24" s="4">
        <f>429.15+(1000*1.6)+((A24-1000)*1.2)</f>
        <v>3829.15</v>
      </c>
      <c r="C24" s="4">
        <f>267.85+(1000*1.7143)+((A24-1000)*1.2857)</f>
        <v>3910.7000000000003</v>
      </c>
      <c r="D24" s="4">
        <f>C24-B24</f>
        <v>81.550000000000182</v>
      </c>
      <c r="E24" s="3">
        <f>D24/B24</f>
        <v>2.1297154721021682E-2</v>
      </c>
      <c r="F24" s="4">
        <f>A24*0</f>
        <v>0</v>
      </c>
      <c r="G24" s="4">
        <f>B24+F24</f>
        <v>3829.15</v>
      </c>
      <c r="H24" s="4">
        <f>C24+F24</f>
        <v>3910.7000000000003</v>
      </c>
      <c r="I24" s="3">
        <f>(H24-G24)/G24</f>
        <v>2.1297154721021682E-2</v>
      </c>
    </row>
    <row r="25" spans="1:9" x14ac:dyDescent="0.3">
      <c r="A25" s="2"/>
    </row>
    <row r="26" spans="1:9" x14ac:dyDescent="0.3">
      <c r="A26" s="5">
        <v>3801</v>
      </c>
      <c r="B26" s="6">
        <f>429.15+(1000*1.6)+((A26-1000)*1.2)</f>
        <v>5390.35</v>
      </c>
      <c r="C26" s="6">
        <f>267.85+(1000*1.7143)+((A26-1000)*1.2857)</f>
        <v>5583.3957000000009</v>
      </c>
      <c r="D26" s="6">
        <f>C26-B26</f>
        <v>193.04570000000058</v>
      </c>
      <c r="E26" s="7">
        <f>D26/B26</f>
        <v>3.5813203224280533E-2</v>
      </c>
      <c r="F26" s="6">
        <f>A26*0</f>
        <v>0</v>
      </c>
      <c r="G26" s="6">
        <f>B26+F26</f>
        <v>5390.35</v>
      </c>
      <c r="H26" s="6">
        <f>C26+F26</f>
        <v>5583.3957000000009</v>
      </c>
      <c r="I26" s="7">
        <f>(H26-G26)/G26</f>
        <v>3.5813203224280533E-2</v>
      </c>
    </row>
    <row r="27" spans="1:9" x14ac:dyDescent="0.3">
      <c r="A27" s="2"/>
    </row>
    <row r="28" spans="1:9" x14ac:dyDescent="0.3">
      <c r="A28" s="2">
        <v>5000</v>
      </c>
      <c r="B28" s="4">
        <f>429.15+(1000*1.6)+((A28-1000)*1.2)</f>
        <v>6829.15</v>
      </c>
      <c r="C28" s="4">
        <f>267.85+(1000*1.7143)+((A28-1000)*1.2857)</f>
        <v>7124.9500000000007</v>
      </c>
      <c r="D28" s="4">
        <f>C28-B28</f>
        <v>295.80000000000109</v>
      </c>
      <c r="E28" s="3">
        <f>D28/B28</f>
        <v>4.3314321694500939E-2</v>
      </c>
      <c r="F28" s="4">
        <f>A28*0</f>
        <v>0</v>
      </c>
      <c r="G28" s="4">
        <f>B28+F28</f>
        <v>6829.15</v>
      </c>
      <c r="H28" s="4">
        <f>C28+F28</f>
        <v>7124.9500000000007</v>
      </c>
      <c r="I28" s="3">
        <f>(H28-G28)/G28</f>
        <v>4.3314321694500939E-2</v>
      </c>
    </row>
    <row r="29" spans="1:9" x14ac:dyDescent="0.3">
      <c r="A29" s="2"/>
    </row>
    <row r="30" spans="1:9" x14ac:dyDescent="0.3">
      <c r="A30" s="2">
        <v>7500</v>
      </c>
      <c r="B30" s="4">
        <f>429.15+(1000*1.6)+(4000*1.2)+((A30-5000)*0.8)</f>
        <v>8829.15</v>
      </c>
      <c r="C30" s="4">
        <f>267.85+(1000*1.7143)+(4000*1.2857)+((A30-5000)*0.8571)</f>
        <v>9267.7000000000007</v>
      </c>
      <c r="D30" s="4">
        <f>C30-B30</f>
        <v>438.55000000000109</v>
      </c>
      <c r="E30" s="3">
        <f>D30/B30</f>
        <v>4.9670693101827597E-2</v>
      </c>
      <c r="F30" s="4">
        <f>A30*0</f>
        <v>0</v>
      </c>
      <c r="G30" s="4">
        <f>B30+F30</f>
        <v>8829.15</v>
      </c>
      <c r="H30" s="4">
        <f>C30+F30</f>
        <v>9267.7000000000007</v>
      </c>
      <c r="I30" s="3">
        <f>(H30-G30)/G30</f>
        <v>4.9670693101827597E-2</v>
      </c>
    </row>
    <row r="31" spans="1:9" x14ac:dyDescent="0.3">
      <c r="A31" s="2"/>
    </row>
    <row r="32" spans="1:9" x14ac:dyDescent="0.3">
      <c r="A32" s="2">
        <v>10000</v>
      </c>
      <c r="B32" s="4">
        <f>429.15+(1000*1.6)+(4000*1.2)+((A32-5000)*0.8)</f>
        <v>10829.15</v>
      </c>
      <c r="C32" s="4">
        <f>267.85+(1000*1.7143)+(4000*1.2857)+((A32-5000)*0.8571)</f>
        <v>11410.45</v>
      </c>
      <c r="D32" s="4">
        <f>C32-B32</f>
        <v>581.30000000000109</v>
      </c>
      <c r="E32" s="3">
        <f>D32/B32</f>
        <v>5.3679189964124713E-2</v>
      </c>
      <c r="F32" s="4">
        <f>A32*0</f>
        <v>0</v>
      </c>
      <c r="G32" s="4">
        <f>B32+F32</f>
        <v>10829.15</v>
      </c>
      <c r="H32" s="4">
        <f>C32+F32</f>
        <v>11410.45</v>
      </c>
      <c r="I32" s="3">
        <f>(H32-G32)/G32</f>
        <v>5.3679189964124713E-2</v>
      </c>
    </row>
    <row r="33" spans="1:9" x14ac:dyDescent="0.3">
      <c r="A33" s="2"/>
    </row>
    <row r="34" spans="1:9" x14ac:dyDescent="0.3">
      <c r="A34" s="2">
        <v>15000</v>
      </c>
      <c r="B34" s="4">
        <f>429.15+(1000*1.6)+(4000*1.2)+(5000*0.8)+((A34-10000)*0.6)</f>
        <v>13829.15</v>
      </c>
      <c r="C34" s="4">
        <f>267.85+(1000*1.7143)+(4000*1.2857)+(5000*0.8571)+((A34-10000)*0.6428)</f>
        <v>14624.45</v>
      </c>
      <c r="D34" s="4">
        <f>C34-B34</f>
        <v>795.30000000000109</v>
      </c>
      <c r="E34" s="3">
        <f>D34/B34</f>
        <v>5.7508957528120033E-2</v>
      </c>
      <c r="F34" s="4">
        <f>A34*0</f>
        <v>0</v>
      </c>
      <c r="G34" s="4">
        <f>B34+F34</f>
        <v>13829.15</v>
      </c>
      <c r="H34" s="4">
        <f>C34+F34</f>
        <v>14624.45</v>
      </c>
      <c r="I34" s="3">
        <f>(H34-G34)/G34</f>
        <v>5.7508957528120033E-2</v>
      </c>
    </row>
    <row r="35" spans="1:9" x14ac:dyDescent="0.3">
      <c r="A35" s="2"/>
    </row>
    <row r="36" spans="1:9" x14ac:dyDescent="0.3">
      <c r="A36" s="2">
        <v>20000</v>
      </c>
      <c r="B36" s="4">
        <f>429.15+(1000*1.6)+(4000*1.2)+(5000*0.8)+((A36-10000)*0.6)</f>
        <v>16829.150000000001</v>
      </c>
      <c r="C36" s="4">
        <f>267.85+(1000*1.7143)+(4000*1.2857)+(5000*0.8571)+((A36-10000)*0.6428)</f>
        <v>17838.45</v>
      </c>
      <c r="D36" s="4">
        <f>C36-B36</f>
        <v>1009.2999999999993</v>
      </c>
      <c r="E36" s="3">
        <f>D36/B36</f>
        <v>5.9973320102322411E-2</v>
      </c>
      <c r="F36" s="4">
        <f>A36*0</f>
        <v>0</v>
      </c>
      <c r="G36" s="4">
        <f>B36+F36</f>
        <v>16829.150000000001</v>
      </c>
      <c r="H36" s="4">
        <f>C36+F36</f>
        <v>17838.45</v>
      </c>
      <c r="I36" s="3">
        <f>(H36-G36)/G36</f>
        <v>5.9973320102322411E-2</v>
      </c>
    </row>
    <row r="38" spans="1:9" x14ac:dyDescent="0.3">
      <c r="A38" t="s">
        <v>25</v>
      </c>
    </row>
    <row r="39" spans="1:9" x14ac:dyDescent="0.3">
      <c r="A39" s="1" t="s">
        <v>35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0BA6-2E56-4090-AE10-822EBE11F555}">
  <sheetPr>
    <pageSetUpPr fitToPage="1"/>
  </sheetPr>
  <dimension ref="A1:K39"/>
  <sheetViews>
    <sheetView tabSelected="1" workbookViewId="0">
      <selection activeCell="E9" sqref="E9"/>
    </sheetView>
  </sheetViews>
  <sheetFormatPr defaultRowHeight="18.75" x14ac:dyDescent="0.3"/>
  <cols>
    <col min="1" max="1" width="10.09765625" bestFit="1" customWidth="1"/>
    <col min="2" max="4" width="12.09765625" customWidth="1"/>
    <col min="5" max="5" width="9" customWidth="1"/>
    <col min="6" max="6" width="11.5" customWidth="1"/>
    <col min="7" max="8" width="12.09765625" customWidth="1"/>
    <col min="9" max="9" width="9" customWidth="1"/>
  </cols>
  <sheetData>
    <row r="1" spans="1:11" x14ac:dyDescent="0.3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1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11" x14ac:dyDescent="0.3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x14ac:dyDescent="0.3">
      <c r="A4" s="18" t="s">
        <v>41</v>
      </c>
      <c r="B4" s="18"/>
      <c r="C4" s="18"/>
      <c r="D4" s="18"/>
      <c r="E4" s="18"/>
      <c r="F4" s="18"/>
      <c r="G4" s="18"/>
      <c r="H4" s="18"/>
      <c r="I4" s="18"/>
    </row>
    <row r="7" spans="1:11" x14ac:dyDescent="0.3">
      <c r="A7" t="s">
        <v>28</v>
      </c>
      <c r="K7" s="10" t="s">
        <v>52</v>
      </c>
    </row>
    <row r="8" spans="1:11" x14ac:dyDescent="0.3">
      <c r="A8" t="s">
        <v>29</v>
      </c>
      <c r="K8" s="10" t="s">
        <v>39</v>
      </c>
    </row>
    <row r="9" spans="1:11" x14ac:dyDescent="0.3">
      <c r="A9" t="s">
        <v>38</v>
      </c>
      <c r="K9" s="10" t="s">
        <v>44</v>
      </c>
    </row>
    <row r="11" spans="1:11" x14ac:dyDescent="0.3">
      <c r="A11" s="9" t="s">
        <v>60</v>
      </c>
    </row>
    <row r="13" spans="1:11" x14ac:dyDescent="0.3">
      <c r="A13" s="8"/>
      <c r="B13" s="8" t="s">
        <v>1</v>
      </c>
      <c r="C13" s="8" t="s">
        <v>5</v>
      </c>
      <c r="D13" s="8" t="s">
        <v>11</v>
      </c>
      <c r="E13" s="8" t="s">
        <v>12</v>
      </c>
      <c r="F13" s="8" t="s">
        <v>17</v>
      </c>
      <c r="G13" s="8" t="s">
        <v>18</v>
      </c>
      <c r="H13" s="8" t="s">
        <v>21</v>
      </c>
      <c r="I13" s="8" t="s">
        <v>23</v>
      </c>
    </row>
    <row r="14" spans="1:11" x14ac:dyDescent="0.3">
      <c r="A14" s="8"/>
      <c r="B14" s="8" t="s">
        <v>2</v>
      </c>
      <c r="C14" s="8" t="s">
        <v>2</v>
      </c>
      <c r="D14" s="8"/>
      <c r="E14" s="8"/>
      <c r="F14" s="8" t="s">
        <v>14</v>
      </c>
      <c r="G14" s="8" t="s">
        <v>19</v>
      </c>
      <c r="H14" s="8" t="s">
        <v>19</v>
      </c>
      <c r="I14" s="8"/>
    </row>
    <row r="15" spans="1:11" x14ac:dyDescent="0.3">
      <c r="A15" s="8"/>
      <c r="B15" s="8" t="s">
        <v>3</v>
      </c>
      <c r="C15" s="8" t="s">
        <v>6</v>
      </c>
      <c r="D15" s="8"/>
      <c r="E15" s="8"/>
      <c r="F15" s="11" t="s">
        <v>15</v>
      </c>
      <c r="G15" s="12" t="s">
        <v>3</v>
      </c>
      <c r="H15" s="12" t="s">
        <v>6</v>
      </c>
      <c r="I15" s="8"/>
    </row>
    <row r="16" spans="1:11" x14ac:dyDescent="0.3">
      <c r="A16" s="8"/>
      <c r="B16" s="8" t="s">
        <v>4</v>
      </c>
      <c r="C16" s="8" t="s">
        <v>4</v>
      </c>
      <c r="D16" s="8" t="s">
        <v>7</v>
      </c>
      <c r="E16" s="8" t="s">
        <v>7</v>
      </c>
      <c r="F16" s="8" t="s">
        <v>16</v>
      </c>
      <c r="G16" s="12" t="s">
        <v>4</v>
      </c>
      <c r="H16" s="12" t="s">
        <v>4</v>
      </c>
      <c r="I16" s="12" t="s">
        <v>7</v>
      </c>
    </row>
    <row r="17" spans="1:9" x14ac:dyDescent="0.3">
      <c r="A17" s="8" t="s">
        <v>0</v>
      </c>
      <c r="B17" s="8"/>
      <c r="C17" s="8"/>
      <c r="D17" s="8" t="s">
        <v>8</v>
      </c>
      <c r="E17" s="8" t="s">
        <v>9</v>
      </c>
      <c r="F17" s="8"/>
      <c r="G17" s="12" t="s">
        <v>8</v>
      </c>
      <c r="H17" s="12" t="s">
        <v>8</v>
      </c>
      <c r="I17" s="12" t="s">
        <v>9</v>
      </c>
    </row>
    <row r="18" spans="1:9" ht="19.5" thickBot="1" x14ac:dyDescent="0.35">
      <c r="A18" s="13"/>
      <c r="B18" s="13"/>
      <c r="C18" s="13"/>
      <c r="D18" s="13" t="s">
        <v>10</v>
      </c>
      <c r="E18" s="13" t="s">
        <v>13</v>
      </c>
      <c r="F18" s="13"/>
      <c r="G18" s="14" t="s">
        <v>20</v>
      </c>
      <c r="H18" s="14" t="s">
        <v>22</v>
      </c>
      <c r="I18" s="14" t="s">
        <v>24</v>
      </c>
    </row>
    <row r="20" spans="1:9" x14ac:dyDescent="0.3">
      <c r="A20" s="2">
        <v>10000</v>
      </c>
      <c r="B20" s="4">
        <f>A20*0.2826</f>
        <v>2826</v>
      </c>
      <c r="C20" s="4">
        <f>A20*0.3259</f>
        <v>3259.0000000000005</v>
      </c>
      <c r="D20" s="4">
        <f>C20-B20</f>
        <v>433.00000000000045</v>
      </c>
      <c r="E20" s="3">
        <f>D20/B20</f>
        <v>0.15322009907997186</v>
      </c>
      <c r="F20" s="4">
        <f>A20*0</f>
        <v>0</v>
      </c>
      <c r="G20" s="4">
        <f>B20+F20</f>
        <v>2826</v>
      </c>
      <c r="H20" s="4">
        <f>C20+F20</f>
        <v>3259.0000000000005</v>
      </c>
      <c r="I20" s="3">
        <f>(H20-G20)/G20</f>
        <v>0.15322009907997186</v>
      </c>
    </row>
    <row r="21" spans="1:9" x14ac:dyDescent="0.3">
      <c r="A21" s="2"/>
    </row>
    <row r="22" spans="1:9" x14ac:dyDescent="0.3">
      <c r="A22" s="15">
        <v>25000</v>
      </c>
      <c r="B22" s="4">
        <f>A22*0.2826</f>
        <v>7065</v>
      </c>
      <c r="C22" s="4">
        <f>A22*0.3259</f>
        <v>8147.5000000000009</v>
      </c>
      <c r="D22" s="16">
        <f>C22-B22</f>
        <v>1082.5000000000009</v>
      </c>
      <c r="E22" s="17">
        <f>D22/B22</f>
        <v>0.15322009907997183</v>
      </c>
      <c r="F22" s="16">
        <f>A22*0</f>
        <v>0</v>
      </c>
      <c r="G22" s="16">
        <f>B22+F22</f>
        <v>7065</v>
      </c>
      <c r="H22" s="16">
        <f>C22+F22</f>
        <v>8147.5000000000009</v>
      </c>
      <c r="I22" s="17">
        <f>(H22-G22)/G22</f>
        <v>0.15322009907997183</v>
      </c>
    </row>
    <row r="23" spans="1:9" x14ac:dyDescent="0.3">
      <c r="A23" s="2"/>
    </row>
    <row r="24" spans="1:9" x14ac:dyDescent="0.3">
      <c r="A24" s="2">
        <v>50000</v>
      </c>
      <c r="B24" s="4">
        <f>A24*0.2826</f>
        <v>14130</v>
      </c>
      <c r="C24" s="4">
        <f>A24*0.3259</f>
        <v>16295.000000000002</v>
      </c>
      <c r="D24" s="4">
        <f>C24-B24</f>
        <v>2165.0000000000018</v>
      </c>
      <c r="E24" s="3">
        <f>D24/B24</f>
        <v>0.15322009907997183</v>
      </c>
      <c r="F24" s="4">
        <f>A24*0</f>
        <v>0</v>
      </c>
      <c r="G24" s="4">
        <f>B24+F24</f>
        <v>14130</v>
      </c>
      <c r="H24" s="4">
        <f>C24+F24</f>
        <v>16295.000000000002</v>
      </c>
      <c r="I24" s="3">
        <f>(H24-G24)/G24</f>
        <v>0.15322009907997183</v>
      </c>
    </row>
    <row r="25" spans="1:9" x14ac:dyDescent="0.3">
      <c r="A25" s="2"/>
    </row>
    <row r="26" spans="1:9" x14ac:dyDescent="0.3">
      <c r="A26" s="5">
        <v>88455.2</v>
      </c>
      <c r="B26" s="6">
        <f>A26*0.2826</f>
        <v>24997.43952</v>
      </c>
      <c r="C26" s="6">
        <f>A26*0.3259</f>
        <v>28827.54968</v>
      </c>
      <c r="D26" s="6">
        <f>C26-B26</f>
        <v>3830.1101600000002</v>
      </c>
      <c r="E26" s="7">
        <f>D26/B26</f>
        <v>0.15322009907997169</v>
      </c>
      <c r="F26" s="6">
        <f>A26*0</f>
        <v>0</v>
      </c>
      <c r="G26" s="6">
        <f>B26+F26</f>
        <v>24997.43952</v>
      </c>
      <c r="H26" s="6">
        <f>C26+F26</f>
        <v>28827.54968</v>
      </c>
      <c r="I26" s="7">
        <f>(H26-G26)/G26</f>
        <v>0.15322009907997169</v>
      </c>
    </row>
    <row r="27" spans="1:9" x14ac:dyDescent="0.3">
      <c r="A27" s="2"/>
    </row>
    <row r="28" spans="1:9" x14ac:dyDescent="0.3">
      <c r="A28" s="2">
        <v>100000</v>
      </c>
      <c r="B28" s="4">
        <f>A28*0.2826</f>
        <v>28260</v>
      </c>
      <c r="C28" s="4">
        <f>A28*0.3259</f>
        <v>32590.000000000004</v>
      </c>
      <c r="D28" s="4">
        <f>C28-B28</f>
        <v>4330.0000000000036</v>
      </c>
      <c r="E28" s="3">
        <f>D28/B28</f>
        <v>0.15322009907997183</v>
      </c>
      <c r="F28" s="4">
        <f>A28*0</f>
        <v>0</v>
      </c>
      <c r="G28" s="4">
        <f>B28+F28</f>
        <v>28260</v>
      </c>
      <c r="H28" s="4">
        <f>C28+F28</f>
        <v>32590.000000000004</v>
      </c>
      <c r="I28" s="3">
        <f>(H28-G28)/G28</f>
        <v>0.15322009907997183</v>
      </c>
    </row>
    <row r="29" spans="1:9" x14ac:dyDescent="0.3">
      <c r="A29" s="2"/>
    </row>
    <row r="30" spans="1:9" x14ac:dyDescent="0.3">
      <c r="A30" s="2">
        <v>150000</v>
      </c>
      <c r="B30" s="4">
        <f>A30*0.2826</f>
        <v>42390</v>
      </c>
      <c r="C30" s="4">
        <f>A30*0.3259</f>
        <v>48885</v>
      </c>
      <c r="D30" s="4">
        <f>C30-B30</f>
        <v>6495</v>
      </c>
      <c r="E30" s="3">
        <f>D30/B30</f>
        <v>0.15322009907997169</v>
      </c>
      <c r="F30" s="4">
        <f>A30*0</f>
        <v>0</v>
      </c>
      <c r="G30" s="4">
        <f>B30+F30</f>
        <v>42390</v>
      </c>
      <c r="H30" s="4">
        <f>C30+F30</f>
        <v>48885</v>
      </c>
      <c r="I30" s="3">
        <f>(H30-G30)/G30</f>
        <v>0.15322009907997169</v>
      </c>
    </row>
    <row r="31" spans="1:9" x14ac:dyDescent="0.3">
      <c r="A31" s="2"/>
    </row>
    <row r="32" spans="1:9" x14ac:dyDescent="0.3">
      <c r="A32" s="2">
        <v>200000</v>
      </c>
      <c r="B32" s="4">
        <f>A32*0.2826</f>
        <v>56520</v>
      </c>
      <c r="C32" s="4">
        <f>A32*0.3259</f>
        <v>65180.000000000007</v>
      </c>
      <c r="D32" s="4">
        <f>C32-B32</f>
        <v>8660.0000000000073</v>
      </c>
      <c r="E32" s="3">
        <f>D32/B32</f>
        <v>0.15322009907997183</v>
      </c>
      <c r="F32" s="4">
        <f>A32*0</f>
        <v>0</v>
      </c>
      <c r="G32" s="4">
        <f>B32+F32</f>
        <v>56520</v>
      </c>
      <c r="H32" s="4">
        <f>C32+F32</f>
        <v>65180.000000000007</v>
      </c>
      <c r="I32" s="3">
        <f>(H32-G32)/G32</f>
        <v>0.15322009907997183</v>
      </c>
    </row>
    <row r="33" spans="1:9" x14ac:dyDescent="0.3">
      <c r="A33" s="2"/>
    </row>
    <row r="34" spans="1:9" x14ac:dyDescent="0.3">
      <c r="A34" s="2">
        <v>250000</v>
      </c>
      <c r="B34" s="4">
        <f>A34*0.2826</f>
        <v>70650</v>
      </c>
      <c r="C34" s="4">
        <f>A34*0.3259</f>
        <v>81475</v>
      </c>
      <c r="D34" s="4">
        <f>C34-B34</f>
        <v>10825</v>
      </c>
      <c r="E34" s="3">
        <f>D34/B34</f>
        <v>0.15322009907997169</v>
      </c>
      <c r="F34" s="4">
        <f>A34*0</f>
        <v>0</v>
      </c>
      <c r="G34" s="4">
        <f>B34+F34</f>
        <v>70650</v>
      </c>
      <c r="H34" s="4">
        <f>C34+F34</f>
        <v>81475</v>
      </c>
      <c r="I34" s="3">
        <f>(H34-G34)/G34</f>
        <v>0.15322009907997169</v>
      </c>
    </row>
    <row r="35" spans="1:9" x14ac:dyDescent="0.3">
      <c r="A35" s="2"/>
    </row>
    <row r="36" spans="1:9" x14ac:dyDescent="0.3">
      <c r="A36" s="2">
        <v>300000</v>
      </c>
      <c r="B36" s="4">
        <f>A36*0.2826</f>
        <v>84780</v>
      </c>
      <c r="C36" s="4">
        <f>A36*0.3259</f>
        <v>97770</v>
      </c>
      <c r="D36" s="4">
        <f>C36-B36</f>
        <v>12990</v>
      </c>
      <c r="E36" s="3">
        <f>D36/B36</f>
        <v>0.15322009907997169</v>
      </c>
      <c r="F36" s="4">
        <f>A36*0</f>
        <v>0</v>
      </c>
      <c r="G36" s="4">
        <f>B36+F36</f>
        <v>84780</v>
      </c>
      <c r="H36" s="4">
        <f>C36+F36</f>
        <v>97770</v>
      </c>
      <c r="I36" s="3">
        <f>(H36-G36)/G36</f>
        <v>0.15322009907997169</v>
      </c>
    </row>
    <row r="38" spans="1:9" x14ac:dyDescent="0.3">
      <c r="A38" t="s">
        <v>25</v>
      </c>
    </row>
    <row r="39" spans="1:9" x14ac:dyDescent="0.3">
      <c r="A39" s="1" t="s">
        <v>37</v>
      </c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E30537-8488-40B7-BC1D-683F08340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829C9-4B77-42A6-9C17-9E4FD96944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A80759-85D0-4AB8-861B-92A7142456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Res (DR)</vt:lpstr>
      <vt:lpstr>Res (Transp)</vt:lpstr>
      <vt:lpstr>Farm Tap (DR)</vt:lpstr>
      <vt:lpstr>Sm Non-Res (DR)</vt:lpstr>
      <vt:lpstr>Sm Non-Res (Transp)</vt:lpstr>
      <vt:lpstr>Lg Non-Res (DR)</vt:lpstr>
      <vt:lpstr>Lg Non-Res (Transp)</vt:lpstr>
      <vt:lpstr>Interrupt (Transp)</vt:lpstr>
      <vt:lpstr>Off System</vt:lpstr>
      <vt:lpstr>'Farm Tap (DR)'!Print_Area</vt:lpstr>
      <vt:lpstr>'Interrupt (Transp)'!Print_Area</vt:lpstr>
      <vt:lpstr>'Lg Non-Res (DR)'!Print_Area</vt:lpstr>
      <vt:lpstr>'Off System'!Print_Area</vt:lpstr>
      <vt:lpstr>'Res (DR)'!Print_Area</vt:lpstr>
      <vt:lpstr>'Res (Transp)'!Print_Area</vt:lpstr>
      <vt:lpstr>'Sm Non-Res (DR)'!Print_Area</vt:lpstr>
      <vt:lpstr>'Sm Non-Res (Transp)'!Print_Area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Work</dc:creator>
  <cp:lastModifiedBy>William Seelye</cp:lastModifiedBy>
  <cp:lastPrinted>2021-05-27T21:23:57Z</cp:lastPrinted>
  <dcterms:created xsi:type="dcterms:W3CDTF">2021-05-27T00:26:10Z</dcterms:created>
  <dcterms:modified xsi:type="dcterms:W3CDTF">2021-05-27T21:24:04Z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