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7063489B-C01E-4BCD-900E-5CC6E156456D}" xr6:coauthVersionLast="47" xr6:coauthVersionMax="47" xr10:uidLastSave="{00000000-0000-0000-0000-000000000000}"/>
  <bookViews>
    <workbookView xWindow="-98" yWindow="-98" windowWidth="28996" windowHeight="15796" tabRatio="798" xr2:uid="{00000000-000D-0000-FFFF-FFFF00000000}"/>
  </bookViews>
  <sheets>
    <sheet name="Page 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1'!$A$1:$W$21</definedName>
  </definedNames>
  <calcPr calcId="191029"/>
</workbook>
</file>

<file path=xl/calcChain.xml><?xml version="1.0" encoding="utf-8"?>
<calcChain xmlns="http://schemas.openxmlformats.org/spreadsheetml/2006/main">
  <c r="S17" i="3" l="1"/>
  <c r="O17" i="3"/>
  <c r="U17" i="3" s="1"/>
  <c r="W17" i="3" s="1"/>
  <c r="M17" i="3"/>
  <c r="Q17" i="3" s="1"/>
  <c r="S16" i="3"/>
  <c r="O16" i="3"/>
  <c r="U16" i="3" s="1"/>
  <c r="W16" i="3" s="1"/>
  <c r="M16" i="3"/>
  <c r="Q16" i="3" s="1"/>
  <c r="S15" i="3"/>
  <c r="O15" i="3"/>
  <c r="U15" i="3" s="1"/>
  <c r="W15" i="3" s="1"/>
  <c r="M15" i="3"/>
  <c r="Q15" i="3"/>
  <c r="S14" i="3"/>
  <c r="O14" i="3"/>
  <c r="U14" i="3" s="1"/>
  <c r="M14" i="3"/>
  <c r="S13" i="3"/>
  <c r="O13" i="3"/>
  <c r="U13" i="3" s="1"/>
  <c r="M13" i="3"/>
  <c r="Q13" i="3" s="1"/>
  <c r="S12" i="3"/>
  <c r="W12" i="3" s="1"/>
  <c r="O12" i="3"/>
  <c r="U12" i="3"/>
  <c r="M12" i="3"/>
  <c r="Q12" i="3" s="1"/>
  <c r="S11" i="3"/>
  <c r="O11" i="3"/>
  <c r="U11" i="3"/>
  <c r="M11" i="3"/>
  <c r="Q11" i="3" s="1"/>
  <c r="S10" i="3"/>
  <c r="O10" i="3"/>
  <c r="U10" i="3"/>
  <c r="W10" i="3" s="1"/>
  <c r="M10" i="3"/>
  <c r="Q10" i="3" s="1"/>
  <c r="S9" i="3"/>
  <c r="O9" i="3"/>
  <c r="Q9" i="3" s="1"/>
  <c r="M9" i="3"/>
  <c r="S8" i="3"/>
  <c r="O8" i="3"/>
  <c r="U8" i="3"/>
  <c r="W8" i="3"/>
  <c r="M8" i="3"/>
  <c r="Q8" i="3"/>
  <c r="S7" i="3"/>
  <c r="O7" i="3"/>
  <c r="U7" i="3"/>
  <c r="W7" i="3"/>
  <c r="M7" i="3"/>
  <c r="Q7" i="3"/>
  <c r="S6" i="3"/>
  <c r="O6" i="3"/>
  <c r="U6" i="3" s="1"/>
  <c r="M6" i="3"/>
  <c r="Q6" i="3" s="1"/>
  <c r="Q14" i="3"/>
  <c r="W11" i="3"/>
  <c r="W13" i="3" l="1"/>
  <c r="W6" i="3"/>
  <c r="W14" i="3"/>
  <c r="U9" i="3"/>
  <c r="W9" i="3" s="1"/>
  <c r="S19" i="3"/>
  <c r="U19" i="3" l="1"/>
  <c r="W19" i="3"/>
</calcChain>
</file>

<file path=xl/sharedStrings.xml><?xml version="1.0" encoding="utf-8"?>
<sst xmlns="http://schemas.openxmlformats.org/spreadsheetml/2006/main" count="28" uniqueCount="20">
  <si>
    <t>Date of Offering</t>
  </si>
  <si>
    <t>Price to public</t>
  </si>
  <si>
    <t>Percent of offering price</t>
  </si>
  <si>
    <t>Company</t>
  </si>
  <si>
    <t>No. of shares offered</t>
  </si>
  <si>
    <t>Dollar amount of offering</t>
  </si>
  <si>
    <t xml:space="preserve">Underwriters' discount and commission      </t>
  </si>
  <si>
    <t>Gross Proceeds per share</t>
  </si>
  <si>
    <t xml:space="preserve">Estimated company issuance expenses   </t>
  </si>
  <si>
    <t>Net proceeds per share</t>
  </si>
  <si>
    <t>Total Issuance and selling expense</t>
  </si>
  <si>
    <t>Piedmont Natural Gas Company, Inc.</t>
  </si>
  <si>
    <t>Atmos Energy Corporation</t>
  </si>
  <si>
    <t>AGL Resources Inc.</t>
  </si>
  <si>
    <t>The Laclede Group, Inc.</t>
  </si>
  <si>
    <t>Northwest Natural Gas Company</t>
  </si>
  <si>
    <t>WGL Holdings, Inc</t>
  </si>
  <si>
    <t>Average</t>
  </si>
  <si>
    <t>Source of Information: SNL Financial and SEC filings</t>
  </si>
  <si>
    <t>Analysis of Public Offerings of Gas Distribution Company Common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</si>
</sst>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_)"/>
    <numFmt numFmtId="167" formatCode="mm/dd/yy;@"/>
    <numFmt numFmtId="168" formatCode="#,##0.000"/>
    <numFmt numFmtId="169" formatCode="&quot;$&quot;#,##0.00"/>
    <numFmt numFmtId="170" formatCode="&quot;$&quot;#,##0.000"/>
  </numFmts>
  <fonts count="4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2" quotePrefix="1" applyAlignment="1">
      <alignment horizontal="center"/>
    </xf>
    <xf numFmtId="0" fontId="2" fillId="0" borderId="0" xfId="4" applyFont="1"/>
    <xf numFmtId="0" fontId="2" fillId="0" borderId="1" xfId="4" quotePrefix="1" applyFont="1" applyBorder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2" fillId="0" borderId="0" xfId="4" applyFont="1" applyAlignment="1">
      <alignment horizontal="center"/>
    </xf>
    <xf numFmtId="0" fontId="2" fillId="0" borderId="1" xfId="4" quotePrefix="1" applyFont="1" applyBorder="1" applyAlignment="1">
      <alignment horizontal="center" wrapText="1"/>
    </xf>
    <xf numFmtId="0" fontId="2" fillId="0" borderId="0" xfId="2" applyAlignment="1">
      <alignment horizontal="center"/>
    </xf>
    <xf numFmtId="167" fontId="2" fillId="0" borderId="0" xfId="4" applyNumberFormat="1" applyFont="1" applyAlignment="1">
      <alignment horizontal="center"/>
    </xf>
    <xf numFmtId="3" fontId="2" fillId="0" borderId="0" xfId="4" applyNumberFormat="1" applyFont="1"/>
    <xf numFmtId="165" fontId="2" fillId="0" borderId="0" xfId="1" applyNumberFormat="1"/>
    <xf numFmtId="164" fontId="2" fillId="0" borderId="0" xfId="4" applyNumberFormat="1" applyFont="1" applyAlignment="1">
      <alignment horizontal="center"/>
    </xf>
    <xf numFmtId="164" fontId="2" fillId="0" borderId="0" xfId="5" applyNumberFormat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2" fillId="0" borderId="1" xfId="5" applyNumberFormat="1" applyBorder="1" applyAlignment="1">
      <alignment horizontal="center"/>
    </xf>
    <xf numFmtId="0" fontId="2" fillId="0" borderId="0" xfId="2"/>
    <xf numFmtId="0" fontId="2" fillId="0" borderId="0" xfId="4" applyFont="1" applyAlignment="1">
      <alignment horizontal="left" indent="1"/>
    </xf>
    <xf numFmtId="164" fontId="2" fillId="0" borderId="2" xfId="4" applyNumberFormat="1" applyFont="1" applyBorder="1" applyAlignment="1">
      <alignment horizontal="center"/>
    </xf>
    <xf numFmtId="0" fontId="2" fillId="0" borderId="0" xfId="4" quotePrefix="1" applyFont="1" applyAlignment="1">
      <alignment horizontal="left"/>
    </xf>
    <xf numFmtId="164" fontId="2" fillId="0" borderId="0" xfId="4" applyNumberFormat="1" applyFont="1"/>
    <xf numFmtId="166" fontId="3" fillId="0" borderId="0" xfId="2" applyNumberFormat="1" applyFont="1"/>
    <xf numFmtId="166" fontId="3" fillId="0" borderId="0" xfId="2" quotePrefix="1" applyNumberFormat="1" applyFont="1" applyAlignment="1">
      <alignment horizontal="left"/>
    </xf>
    <xf numFmtId="169" fontId="2" fillId="0" borderId="0" xfId="1" applyNumberFormat="1"/>
    <xf numFmtId="168" fontId="2" fillId="0" borderId="0" xfId="1" applyNumberFormat="1"/>
    <xf numFmtId="170" fontId="2" fillId="0" borderId="0" xfId="4" applyNumberFormat="1" applyFont="1"/>
    <xf numFmtId="170" fontId="2" fillId="0" borderId="0" xfId="3" applyNumberFormat="1" applyFont="1"/>
    <xf numFmtId="170" fontId="2" fillId="0" borderId="0" xfId="1" applyNumberFormat="1"/>
    <xf numFmtId="0" fontId="2" fillId="0" borderId="0" xfId="2" quotePrefix="1" applyAlignment="1">
      <alignment horizontal="center"/>
    </xf>
    <xf numFmtId="0" fontId="2" fillId="0" borderId="1" xfId="4" applyFont="1" applyBorder="1" applyAlignment="1">
      <alignment horizontal="center"/>
    </xf>
  </cellXfs>
  <cellStyles count="6">
    <cellStyle name="Currency 2" xfId="1" xr:uid="{00000000-0005-0000-0000-000000000000}"/>
    <cellStyle name="Normal" xfId="0" builtinId="0"/>
    <cellStyle name="Normal 2" xfId="2" xr:uid="{00000000-0005-0000-0000-000002000000}"/>
    <cellStyle name="Normal_sch9-p1" xfId="3" xr:uid="{00000000-0005-0000-0000-000003000000}"/>
    <cellStyle name="Normal_sch9-p2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="75" zoomScaleNormal="75" zoomScalePageLayoutView="85" workbookViewId="0">
      <selection sqref="A1:W1"/>
    </sheetView>
  </sheetViews>
  <sheetFormatPr defaultColWidth="7.21875" defaultRowHeight="15" x14ac:dyDescent="0.4"/>
  <cols>
    <col min="1" max="1" width="28.5546875" style="2" customWidth="1"/>
    <col min="2" max="2" width="2.71875" style="2" customWidth="1"/>
    <col min="3" max="3" width="9.88671875" style="2" bestFit="1" customWidth="1"/>
    <col min="4" max="4" width="2.21875" style="2" customWidth="1"/>
    <col min="5" max="5" width="11.44140625" style="2" customWidth="1"/>
    <col min="6" max="6" width="2.44140625" style="2" customWidth="1"/>
    <col min="7" max="7" width="14.71875" style="2" bestFit="1" customWidth="1"/>
    <col min="8" max="8" width="2.5546875" style="2" customWidth="1"/>
    <col min="9" max="9" width="8.71875" style="2" customWidth="1"/>
    <col min="10" max="10" width="2.5546875" style="2" customWidth="1"/>
    <col min="11" max="11" width="11.71875" style="2" customWidth="1"/>
    <col min="12" max="12" width="2.71875" style="2" customWidth="1"/>
    <col min="13" max="13" width="8.71875" style="2" customWidth="1"/>
    <col min="14" max="14" width="2.71875" style="2" customWidth="1"/>
    <col min="15" max="15" width="9.71875" style="2" bestFit="1" customWidth="1"/>
    <col min="16" max="16" width="2.71875" style="2" customWidth="1"/>
    <col min="17" max="17" width="9.71875" style="2" customWidth="1"/>
    <col min="18" max="18" width="2.71875" style="2" customWidth="1"/>
    <col min="19" max="19" width="11.71875" style="2" customWidth="1"/>
    <col min="20" max="20" width="2.71875" style="2" customWidth="1"/>
    <col min="21" max="21" width="9.71875" style="2" customWidth="1"/>
    <col min="22" max="22" width="2.71875" style="2" customWidth="1"/>
    <col min="23" max="23" width="10.71875" style="2" customWidth="1"/>
    <col min="24" max="24" width="2.71875" style="2" customWidth="1"/>
    <col min="25" max="16384" width="7.21875" style="2"/>
  </cols>
  <sheetData>
    <row r="1" spans="1:23" x14ac:dyDescent="0.4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4">
      <c r="S3" s="28" t="s">
        <v>2</v>
      </c>
      <c r="T3" s="28"/>
      <c r="U3" s="28"/>
      <c r="V3" s="28"/>
      <c r="W3" s="28"/>
    </row>
    <row r="4" spans="1:23" ht="60" x14ac:dyDescent="0.4">
      <c r="A4" s="3" t="s">
        <v>3</v>
      </c>
      <c r="C4" s="4" t="s">
        <v>0</v>
      </c>
      <c r="D4" s="5"/>
      <c r="E4" s="6" t="s">
        <v>4</v>
      </c>
      <c r="F4" s="5"/>
      <c r="G4" s="6" t="s">
        <v>5</v>
      </c>
      <c r="H4" s="5"/>
      <c r="I4" s="4" t="s">
        <v>1</v>
      </c>
      <c r="J4" s="5"/>
      <c r="K4" s="6" t="s">
        <v>6</v>
      </c>
      <c r="M4" s="6" t="s">
        <v>7</v>
      </c>
      <c r="O4" s="6" t="s">
        <v>8</v>
      </c>
      <c r="Q4" s="6" t="s">
        <v>9</v>
      </c>
      <c r="S4" s="6" t="s">
        <v>6</v>
      </c>
      <c r="U4" s="6" t="s">
        <v>8</v>
      </c>
      <c r="W4" s="6" t="s">
        <v>10</v>
      </c>
    </row>
    <row r="5" spans="1:23" x14ac:dyDescent="0.4">
      <c r="C5" s="7"/>
      <c r="D5" s="5"/>
      <c r="E5" s="5"/>
      <c r="F5" s="5"/>
      <c r="G5" s="7"/>
      <c r="H5" s="5"/>
      <c r="I5" s="7"/>
      <c r="K5" s="5"/>
      <c r="M5" s="5"/>
    </row>
    <row r="6" spans="1:23" x14ac:dyDescent="0.4">
      <c r="A6" s="20" t="s">
        <v>11</v>
      </c>
      <c r="C6" s="8">
        <v>41303</v>
      </c>
      <c r="E6" s="9">
        <v>4000000</v>
      </c>
      <c r="G6" s="10">
        <v>128000000</v>
      </c>
      <c r="I6" s="22">
        <v>32</v>
      </c>
      <c r="K6" s="23">
        <v>1.1200000000000001</v>
      </c>
      <c r="M6" s="24">
        <f t="shared" ref="M6:M17" si="0">I6-K6</f>
        <v>30.88</v>
      </c>
      <c r="O6" s="25">
        <f>ROUND(350000/E6,3)</f>
        <v>8.7999999999999995E-2</v>
      </c>
      <c r="Q6" s="26">
        <f t="shared" ref="Q6:Q17" si="1">M6-O6</f>
        <v>30.791999999999998</v>
      </c>
      <c r="S6" s="11">
        <f t="shared" ref="S6:S17" si="2">ROUND(K6/I6,3)</f>
        <v>3.5000000000000003E-2</v>
      </c>
      <c r="U6" s="12">
        <f t="shared" ref="U6:U17" si="3">ROUND(O6/I6,3)</f>
        <v>3.0000000000000001E-3</v>
      </c>
      <c r="W6" s="11">
        <f t="shared" ref="W6:W17" si="4">S6+U6</f>
        <v>3.8000000000000006E-2</v>
      </c>
    </row>
    <row r="7" spans="1:23" x14ac:dyDescent="0.4">
      <c r="A7" s="21" t="s">
        <v>12</v>
      </c>
      <c r="C7" s="8">
        <v>39058</v>
      </c>
      <c r="E7" s="9">
        <v>5500000</v>
      </c>
      <c r="G7" s="10">
        <v>173250000</v>
      </c>
      <c r="I7" s="22">
        <v>31.5</v>
      </c>
      <c r="K7" s="23">
        <v>1.1025</v>
      </c>
      <c r="M7" s="24">
        <f t="shared" si="0"/>
        <v>30.397500000000001</v>
      </c>
      <c r="O7" s="25">
        <f>ROUND(400000/E7,3)</f>
        <v>7.2999999999999995E-2</v>
      </c>
      <c r="Q7" s="26">
        <f t="shared" si="1"/>
        <v>30.3245</v>
      </c>
      <c r="S7" s="11">
        <f t="shared" si="2"/>
        <v>3.5000000000000003E-2</v>
      </c>
      <c r="U7" s="12">
        <f t="shared" si="3"/>
        <v>2E-3</v>
      </c>
      <c r="W7" s="11">
        <f t="shared" si="4"/>
        <v>3.7000000000000005E-2</v>
      </c>
    </row>
    <row r="8" spans="1:23" x14ac:dyDescent="0.4">
      <c r="A8" s="21" t="s">
        <v>13</v>
      </c>
      <c r="C8" s="8">
        <v>38310</v>
      </c>
      <c r="E8" s="9">
        <v>9600000</v>
      </c>
      <c r="G8" s="10">
        <v>297696000</v>
      </c>
      <c r="I8" s="22">
        <v>31.01</v>
      </c>
      <c r="K8" s="23">
        <v>0.93</v>
      </c>
      <c r="M8" s="24">
        <f t="shared" si="0"/>
        <v>30.080000000000002</v>
      </c>
      <c r="O8" s="25">
        <f>ROUND(400000/E8,3)</f>
        <v>4.2000000000000003E-2</v>
      </c>
      <c r="Q8" s="26">
        <f t="shared" si="1"/>
        <v>30.038</v>
      </c>
      <c r="S8" s="11">
        <f t="shared" si="2"/>
        <v>0.03</v>
      </c>
      <c r="U8" s="12">
        <f t="shared" si="3"/>
        <v>1E-3</v>
      </c>
      <c r="W8" s="11">
        <f t="shared" si="4"/>
        <v>3.1E-2</v>
      </c>
    </row>
    <row r="9" spans="1:23" x14ac:dyDescent="0.4">
      <c r="A9" s="21" t="s">
        <v>12</v>
      </c>
      <c r="C9" s="8">
        <v>38281</v>
      </c>
      <c r="E9" s="9">
        <v>14000000</v>
      </c>
      <c r="G9" s="10">
        <v>346500000</v>
      </c>
      <c r="I9" s="22">
        <v>24.75</v>
      </c>
      <c r="K9" s="23">
        <v>0.99</v>
      </c>
      <c r="M9" s="24">
        <f t="shared" si="0"/>
        <v>23.76</v>
      </c>
      <c r="O9" s="25">
        <f>ROUND(400000/E9,3)</f>
        <v>2.9000000000000001E-2</v>
      </c>
      <c r="Q9" s="26">
        <f t="shared" si="1"/>
        <v>23.731000000000002</v>
      </c>
      <c r="S9" s="11">
        <f t="shared" si="2"/>
        <v>0.04</v>
      </c>
      <c r="U9" s="12">
        <f t="shared" si="3"/>
        <v>1E-3</v>
      </c>
      <c r="W9" s="11">
        <f t="shared" si="4"/>
        <v>4.1000000000000002E-2</v>
      </c>
    </row>
    <row r="10" spans="1:23" x14ac:dyDescent="0.4">
      <c r="A10" s="21" t="s">
        <v>12</v>
      </c>
      <c r="C10" s="8">
        <v>38187</v>
      </c>
      <c r="E10" s="9">
        <v>8650000</v>
      </c>
      <c r="G10" s="10">
        <v>214087500</v>
      </c>
      <c r="I10" s="22">
        <v>24.75</v>
      </c>
      <c r="K10" s="23">
        <v>0.99</v>
      </c>
      <c r="M10" s="24">
        <f t="shared" si="0"/>
        <v>23.76</v>
      </c>
      <c r="O10" s="25">
        <f>ROUND(400000/E10,3)</f>
        <v>4.5999999999999999E-2</v>
      </c>
      <c r="Q10" s="26">
        <f t="shared" si="1"/>
        <v>23.714000000000002</v>
      </c>
      <c r="S10" s="11">
        <f t="shared" si="2"/>
        <v>0.04</v>
      </c>
      <c r="U10" s="12">
        <f t="shared" si="3"/>
        <v>2E-3</v>
      </c>
      <c r="W10" s="11">
        <f t="shared" si="4"/>
        <v>4.2000000000000003E-2</v>
      </c>
    </row>
    <row r="11" spans="1:23" x14ac:dyDescent="0.4">
      <c r="A11" s="20" t="s">
        <v>14</v>
      </c>
      <c r="C11" s="8">
        <v>38132</v>
      </c>
      <c r="E11" s="9">
        <v>1500000</v>
      </c>
      <c r="G11" s="10">
        <v>40200000</v>
      </c>
      <c r="I11" s="22">
        <v>26.8</v>
      </c>
      <c r="K11" s="23">
        <v>0.871</v>
      </c>
      <c r="M11" s="24">
        <f t="shared" si="0"/>
        <v>25.929000000000002</v>
      </c>
      <c r="O11" s="25">
        <f>ROUND(100000/E11,3)</f>
        <v>6.7000000000000004E-2</v>
      </c>
      <c r="Q11" s="26">
        <f t="shared" si="1"/>
        <v>25.862000000000002</v>
      </c>
      <c r="S11" s="11">
        <f t="shared" si="2"/>
        <v>3.3000000000000002E-2</v>
      </c>
      <c r="U11" s="12">
        <f t="shared" si="3"/>
        <v>3.0000000000000001E-3</v>
      </c>
      <c r="W11" s="11">
        <f t="shared" si="4"/>
        <v>3.6000000000000004E-2</v>
      </c>
    </row>
    <row r="12" spans="1:23" x14ac:dyDescent="0.4">
      <c r="A12" s="21" t="s">
        <v>15</v>
      </c>
      <c r="C12" s="8">
        <v>38076</v>
      </c>
      <c r="E12" s="9">
        <v>1200000</v>
      </c>
      <c r="G12" s="10">
        <v>37200000</v>
      </c>
      <c r="I12" s="22">
        <v>31</v>
      </c>
      <c r="K12" s="23">
        <v>1.01</v>
      </c>
      <c r="M12" s="24">
        <f t="shared" si="0"/>
        <v>29.99</v>
      </c>
      <c r="O12" s="25">
        <f>ROUND(175000/E12,3)</f>
        <v>0.14599999999999999</v>
      </c>
      <c r="Q12" s="26">
        <f t="shared" si="1"/>
        <v>29.843999999999998</v>
      </c>
      <c r="S12" s="11">
        <f t="shared" si="2"/>
        <v>3.3000000000000002E-2</v>
      </c>
      <c r="U12" s="12">
        <f t="shared" si="3"/>
        <v>5.0000000000000001E-3</v>
      </c>
      <c r="W12" s="11">
        <f t="shared" si="4"/>
        <v>3.7999999999999999E-2</v>
      </c>
    </row>
    <row r="13" spans="1:23" x14ac:dyDescent="0.4">
      <c r="A13" s="21" t="s">
        <v>11</v>
      </c>
      <c r="C13" s="8">
        <v>38009</v>
      </c>
      <c r="E13" s="9">
        <v>4250000</v>
      </c>
      <c r="G13" s="10">
        <v>180625000</v>
      </c>
      <c r="I13" s="22">
        <v>42.5</v>
      </c>
      <c r="K13" s="23">
        <v>1.49</v>
      </c>
      <c r="M13" s="24">
        <f t="shared" si="0"/>
        <v>41.01</v>
      </c>
      <c r="O13" s="25">
        <f>ROUND(350000/E13,3)</f>
        <v>8.2000000000000003E-2</v>
      </c>
      <c r="Q13" s="26">
        <f t="shared" si="1"/>
        <v>40.927999999999997</v>
      </c>
      <c r="S13" s="11">
        <f t="shared" si="2"/>
        <v>3.5000000000000003E-2</v>
      </c>
      <c r="U13" s="12">
        <f t="shared" si="3"/>
        <v>2E-3</v>
      </c>
      <c r="W13" s="11">
        <f t="shared" si="4"/>
        <v>3.7000000000000005E-2</v>
      </c>
    </row>
    <row r="14" spans="1:23" x14ac:dyDescent="0.4">
      <c r="A14" s="21" t="s">
        <v>12</v>
      </c>
      <c r="C14" s="8">
        <v>37790</v>
      </c>
      <c r="E14" s="9">
        <v>4000000</v>
      </c>
      <c r="G14" s="10">
        <v>101240000</v>
      </c>
      <c r="I14" s="22">
        <v>25.31</v>
      </c>
      <c r="K14" s="23">
        <v>1.0124</v>
      </c>
      <c r="M14" s="24">
        <f t="shared" si="0"/>
        <v>24.297599999999999</v>
      </c>
      <c r="O14" s="25">
        <f>ROUND(380000/E14,3)</f>
        <v>9.5000000000000001E-2</v>
      </c>
      <c r="Q14" s="26">
        <f t="shared" si="1"/>
        <v>24.2026</v>
      </c>
      <c r="S14" s="11">
        <f t="shared" si="2"/>
        <v>0.04</v>
      </c>
      <c r="U14" s="12">
        <f t="shared" si="3"/>
        <v>4.0000000000000001E-3</v>
      </c>
      <c r="W14" s="11">
        <f t="shared" si="4"/>
        <v>4.3999999999999997E-2</v>
      </c>
    </row>
    <row r="15" spans="1:23" x14ac:dyDescent="0.4">
      <c r="A15" s="21" t="s">
        <v>13</v>
      </c>
      <c r="C15" s="8">
        <v>37663</v>
      </c>
      <c r="E15" s="9">
        <v>5600000</v>
      </c>
      <c r="G15" s="10">
        <v>123200000</v>
      </c>
      <c r="I15" s="22">
        <v>22</v>
      </c>
      <c r="K15" s="23">
        <v>0.77</v>
      </c>
      <c r="M15" s="24">
        <f t="shared" si="0"/>
        <v>21.23</v>
      </c>
      <c r="O15" s="25">
        <f>ROUND(250000/E15,3)</f>
        <v>4.4999999999999998E-2</v>
      </c>
      <c r="Q15" s="26">
        <f t="shared" si="1"/>
        <v>21.184999999999999</v>
      </c>
      <c r="S15" s="11">
        <f t="shared" si="2"/>
        <v>3.5000000000000003E-2</v>
      </c>
      <c r="U15" s="12">
        <f t="shared" si="3"/>
        <v>2E-3</v>
      </c>
      <c r="W15" s="11">
        <f t="shared" si="4"/>
        <v>3.7000000000000005E-2</v>
      </c>
    </row>
    <row r="16" spans="1:23" x14ac:dyDescent="0.4">
      <c r="A16" s="20" t="s">
        <v>16</v>
      </c>
      <c r="C16" s="8">
        <v>37068</v>
      </c>
      <c r="E16" s="9">
        <v>1790000</v>
      </c>
      <c r="G16" s="10">
        <v>47846700</v>
      </c>
      <c r="I16" s="22">
        <v>26.73</v>
      </c>
      <c r="K16" s="23">
        <v>0.89500000000000002</v>
      </c>
      <c r="M16" s="24">
        <f t="shared" si="0"/>
        <v>25.835000000000001</v>
      </c>
      <c r="O16" s="25">
        <f>ROUND(56218/E16,3)</f>
        <v>3.1E-2</v>
      </c>
      <c r="Q16" s="26">
        <f t="shared" si="1"/>
        <v>25.804000000000002</v>
      </c>
      <c r="S16" s="11">
        <f t="shared" si="2"/>
        <v>3.3000000000000002E-2</v>
      </c>
      <c r="U16" s="12">
        <f t="shared" si="3"/>
        <v>1E-3</v>
      </c>
      <c r="W16" s="11">
        <f t="shared" si="4"/>
        <v>3.4000000000000002E-2</v>
      </c>
    </row>
    <row r="17" spans="1:23" x14ac:dyDescent="0.4">
      <c r="A17" s="21" t="s">
        <v>12</v>
      </c>
      <c r="C17" s="8">
        <v>36837</v>
      </c>
      <c r="E17" s="9">
        <v>6000000</v>
      </c>
      <c r="G17" s="10">
        <v>133500000</v>
      </c>
      <c r="I17" s="22">
        <v>22.25</v>
      </c>
      <c r="K17" s="23">
        <v>1.1100000000000001</v>
      </c>
      <c r="M17" s="24">
        <f t="shared" si="0"/>
        <v>21.14</v>
      </c>
      <c r="O17" s="25">
        <f>ROUND(350000/E17,3)</f>
        <v>5.8000000000000003E-2</v>
      </c>
      <c r="Q17" s="26">
        <f t="shared" si="1"/>
        <v>21.082000000000001</v>
      </c>
      <c r="S17" s="13">
        <f t="shared" si="2"/>
        <v>0.05</v>
      </c>
      <c r="U17" s="14">
        <f t="shared" si="3"/>
        <v>3.0000000000000001E-3</v>
      </c>
      <c r="W17" s="13">
        <f t="shared" si="4"/>
        <v>5.3000000000000005E-2</v>
      </c>
    </row>
    <row r="18" spans="1:23" x14ac:dyDescent="0.4">
      <c r="I18" s="15"/>
      <c r="J18" s="15"/>
      <c r="K18" s="15"/>
      <c r="M18" s="15"/>
    </row>
    <row r="19" spans="1:23" ht="15.4" thickBot="1" x14ac:dyDescent="0.45">
      <c r="A19" s="16" t="s">
        <v>17</v>
      </c>
      <c r="G19" s="15"/>
      <c r="I19" s="15"/>
      <c r="J19" s="15"/>
      <c r="K19" s="15"/>
      <c r="M19" s="15"/>
      <c r="S19" s="17">
        <f>AVERAGE(S6:S17)</f>
        <v>3.6583333333333336E-2</v>
      </c>
      <c r="U19" s="17">
        <f>AVERAGE(U6:U17)</f>
        <v>2.4166666666666668E-3</v>
      </c>
      <c r="W19" s="17">
        <f>AVERAGE(W6:W17)</f>
        <v>3.9E-2</v>
      </c>
    </row>
    <row r="20" spans="1:23" ht="15.4" thickTop="1" x14ac:dyDescent="0.4">
      <c r="A20" s="16"/>
    </row>
    <row r="21" spans="1:23" x14ac:dyDescent="0.4">
      <c r="A21" s="18" t="s">
        <v>18</v>
      </c>
      <c r="W21" s="19"/>
    </row>
  </sheetData>
  <mergeCells count="2">
    <mergeCell ref="A1:W1"/>
    <mergeCell ref="S3:W3"/>
  </mergeCells>
  <pageMargins left="0.75" right="0.25" top="1.5" bottom="1" header="0.5" footer="0.5"/>
  <pageSetup scale="44" orientation="portrait" r:id="rId1"/>
  <headerFooter alignWithMargins="0">
    <oddHeader xml:space="preserve">&amp;R&amp;22Attachment PRM-11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2013-11-14T14:31:12Z</cp:lastPrinted>
  <dcterms:created xsi:type="dcterms:W3CDTF">2001-03-07T16:27:51Z</dcterms:created>
  <dcterms:modified xsi:type="dcterms:W3CDTF">2021-06-10T14:19:14Z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{FB231F7B-26DB-478C-AA63-B81C8CF3E66C}</vt:lpwstr>
  </property>
</Properties>
</file>