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ul\Documents\2109\Workpapers 2109\"/>
    </mc:Choice>
  </mc:AlternateContent>
  <xr:revisionPtr revIDLastSave="0" documentId="13_ncr:1_{AA3445B8-7DA3-404A-B9E4-0DBDF1D30773}" xr6:coauthVersionLast="47" xr6:coauthVersionMax="47" xr10:uidLastSave="{00000000-0000-0000-0000-000000000000}"/>
  <bookViews>
    <workbookView xWindow="-98" yWindow="-98" windowWidth="28996" windowHeight="15796" tabRatio="952" xr2:uid="{00000000-000D-0000-FFFF-FFFF00000000}"/>
  </bookViews>
  <sheets>
    <sheet name="Page 1" sheetId="14" r:id="rId1"/>
    <sheet name="Atmos" sheetId="27" r:id="rId2"/>
    <sheet name="Chesapeake" sheetId="18" r:id="rId3"/>
    <sheet name="NJ Res" sheetId="20" r:id="rId4"/>
    <sheet name="Northwest" sheetId="24" r:id="rId5"/>
    <sheet name="One Gas" sheetId="47" r:id="rId6"/>
    <sheet name="SJI" sheetId="48" r:id="rId7"/>
    <sheet name="Southwest" sheetId="52" r:id="rId8"/>
    <sheet name="Spire" sheetId="17" r:id="rId9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'Page 1'!$A$1:$O$52</definedName>
  </definedNames>
  <calcPr calcId="191029"/>
</workbook>
</file>

<file path=xl/calcChain.xml><?xml version="1.0" encoding="utf-8"?>
<calcChain xmlns="http://schemas.openxmlformats.org/spreadsheetml/2006/main">
  <c r="D88" i="17" l="1"/>
  <c r="D68" i="17"/>
  <c r="D60" i="17"/>
  <c r="D58" i="17"/>
  <c r="F58" i="17"/>
  <c r="F60" i="17"/>
  <c r="F68" i="17"/>
  <c r="F78" i="17" s="1"/>
  <c r="D60" i="52"/>
  <c r="D58" i="52"/>
  <c r="F58" i="52"/>
  <c r="F60" i="52"/>
  <c r="F78" i="52"/>
  <c r="D88" i="48"/>
  <c r="F102" i="48"/>
  <c r="D102" i="48"/>
  <c r="D60" i="48"/>
  <c r="D58" i="48"/>
  <c r="F58" i="48" l="1"/>
  <c r="F60" i="48"/>
  <c r="F78" i="48"/>
  <c r="F88" i="48"/>
  <c r="F47" i="48" s="1"/>
  <c r="F16" i="48"/>
  <c r="L16" i="48"/>
  <c r="F30" i="48"/>
  <c r="H30" i="48"/>
  <c r="J30" i="48"/>
  <c r="L30" i="48"/>
  <c r="F32" i="48"/>
  <c r="H32" i="48"/>
  <c r="J32" i="48"/>
  <c r="L32" i="48"/>
  <c r="F35" i="48"/>
  <c r="H35" i="48"/>
  <c r="J35" i="48"/>
  <c r="L35" i="48"/>
  <c r="F36" i="48"/>
  <c r="H36" i="48"/>
  <c r="J36" i="48"/>
  <c r="L36" i="48"/>
  <c r="F37" i="48"/>
  <c r="H37" i="48"/>
  <c r="J37" i="48"/>
  <c r="L37" i="48"/>
  <c r="F40" i="48"/>
  <c r="H40" i="48"/>
  <c r="J40" i="48"/>
  <c r="L40" i="48"/>
  <c r="F41" i="48"/>
  <c r="H41" i="48"/>
  <c r="J41" i="48"/>
  <c r="L41" i="48"/>
  <c r="F42" i="48"/>
  <c r="H42" i="48"/>
  <c r="J42" i="48"/>
  <c r="L42" i="48"/>
  <c r="F45" i="48"/>
  <c r="H45" i="48"/>
  <c r="J45" i="48"/>
  <c r="L45" i="48"/>
  <c r="F46" i="48"/>
  <c r="H46" i="48"/>
  <c r="J46" i="48"/>
  <c r="L46" i="48"/>
  <c r="H47" i="48"/>
  <c r="J47" i="48"/>
  <c r="L47" i="48"/>
  <c r="F48" i="48"/>
  <c r="H48" i="48"/>
  <c r="J48" i="48"/>
  <c r="L48" i="48"/>
  <c r="H49" i="48"/>
  <c r="J49" i="48"/>
  <c r="L49" i="48"/>
  <c r="F50" i="48"/>
  <c r="H50" i="48"/>
  <c r="J50" i="48"/>
  <c r="L50" i="48"/>
  <c r="D88" i="47"/>
  <c r="D60" i="47"/>
  <c r="D58" i="47"/>
  <c r="F58" i="47"/>
  <c r="F60" i="47"/>
  <c r="F78" i="47"/>
  <c r="F88" i="47"/>
  <c r="F13" i="24"/>
  <c r="H13" i="24"/>
  <c r="L13" i="24"/>
  <c r="F14" i="24"/>
  <c r="H14" i="24"/>
  <c r="J14" i="24"/>
  <c r="L14" i="24"/>
  <c r="F15" i="24"/>
  <c r="H15" i="24"/>
  <c r="J15" i="24"/>
  <c r="L15" i="24"/>
  <c r="F16" i="24"/>
  <c r="H16" i="24"/>
  <c r="L16" i="24"/>
  <c r="F20" i="24"/>
  <c r="F23" i="24" s="1"/>
  <c r="H20" i="24"/>
  <c r="H23" i="24" s="1"/>
  <c r="J20" i="24"/>
  <c r="L20" i="24"/>
  <c r="F21" i="24"/>
  <c r="H21" i="24"/>
  <c r="J21" i="24"/>
  <c r="L21" i="24"/>
  <c r="F22" i="24"/>
  <c r="H22" i="24"/>
  <c r="J22" i="24"/>
  <c r="L22" i="24"/>
  <c r="J23" i="24"/>
  <c r="L23" i="24"/>
  <c r="F25" i="24"/>
  <c r="F28" i="24" s="1"/>
  <c r="H25" i="24"/>
  <c r="H28" i="24" s="1"/>
  <c r="J25" i="24"/>
  <c r="L25" i="24"/>
  <c r="F26" i="24"/>
  <c r="H26" i="24"/>
  <c r="J26" i="24"/>
  <c r="L26" i="24"/>
  <c r="F27" i="24"/>
  <c r="H27" i="24"/>
  <c r="J27" i="24"/>
  <c r="L27" i="24"/>
  <c r="J28" i="24"/>
  <c r="L28" i="24"/>
  <c r="F30" i="24"/>
  <c r="H30" i="24"/>
  <c r="L30" i="24"/>
  <c r="F32" i="24"/>
  <c r="H32" i="24"/>
  <c r="J32" i="24"/>
  <c r="L32" i="24"/>
  <c r="F35" i="24"/>
  <c r="H35" i="24"/>
  <c r="L35" i="24"/>
  <c r="F36" i="24"/>
  <c r="H36" i="24"/>
  <c r="L36" i="24"/>
  <c r="F37" i="24"/>
  <c r="H37" i="24"/>
  <c r="L37" i="24"/>
  <c r="F40" i="24"/>
  <c r="H40" i="24"/>
  <c r="L40" i="24"/>
  <c r="F41" i="24"/>
  <c r="H41" i="24"/>
  <c r="L41" i="24"/>
  <c r="F42" i="24"/>
  <c r="H42" i="24"/>
  <c r="L42" i="24"/>
  <c r="F45" i="24"/>
  <c r="H45" i="24"/>
  <c r="J45" i="24"/>
  <c r="L45" i="24"/>
  <c r="F46" i="24"/>
  <c r="H46" i="24"/>
  <c r="J46" i="24"/>
  <c r="L46" i="24"/>
  <c r="F47" i="24"/>
  <c r="H47" i="24"/>
  <c r="J47" i="24"/>
  <c r="L47" i="24"/>
  <c r="F48" i="24"/>
  <c r="H48" i="24"/>
  <c r="J48" i="24"/>
  <c r="L48" i="24"/>
  <c r="F49" i="24"/>
  <c r="H49" i="24"/>
  <c r="J49" i="24"/>
  <c r="L49" i="24"/>
  <c r="F50" i="24"/>
  <c r="H50" i="24"/>
  <c r="J50" i="24"/>
  <c r="L50" i="24"/>
  <c r="D88" i="24"/>
  <c r="D60" i="24"/>
  <c r="F60" i="24"/>
  <c r="D58" i="24"/>
  <c r="F49" i="48" l="1"/>
  <c r="F58" i="24"/>
  <c r="F78" i="24"/>
  <c r="F88" i="24"/>
  <c r="D102" i="20" l="1"/>
  <c r="D62" i="20"/>
  <c r="D89" i="20"/>
  <c r="D88" i="20"/>
  <c r="D60" i="20"/>
  <c r="D58" i="20"/>
  <c r="F58" i="20"/>
  <c r="F60" i="20"/>
  <c r="F78" i="20"/>
  <c r="F88" i="20"/>
  <c r="F89" i="20"/>
  <c r="D88" i="18"/>
  <c r="D83" i="18"/>
  <c r="D60" i="18"/>
  <c r="D58" i="18"/>
  <c r="F58" i="18"/>
  <c r="F60" i="18"/>
  <c r="F78" i="18"/>
  <c r="F83" i="18"/>
  <c r="F88" i="18"/>
  <c r="D88" i="27" l="1"/>
  <c r="D60" i="27" l="1"/>
  <c r="D58" i="27"/>
  <c r="F58" i="27"/>
  <c r="F60" i="27"/>
  <c r="F78" i="27"/>
  <c r="F88" i="27"/>
  <c r="D78" i="17"/>
  <c r="D8" i="17" s="1"/>
  <c r="D49" i="52"/>
  <c r="D78" i="52"/>
  <c r="D8" i="52" s="1"/>
  <c r="D50" i="48"/>
  <c r="N50" i="48" s="1"/>
  <c r="D78" i="48"/>
  <c r="D50" i="47"/>
  <c r="D78" i="47"/>
  <c r="D8" i="47" s="1"/>
  <c r="D48" i="24"/>
  <c r="N48" i="24" s="1"/>
  <c r="D78" i="24"/>
  <c r="D49" i="20"/>
  <c r="D111" i="20"/>
  <c r="D112" i="20" s="1"/>
  <c r="D78" i="20"/>
  <c r="D8" i="20" s="1"/>
  <c r="D49" i="18"/>
  <c r="D50" i="18"/>
  <c r="N50" i="18" s="1"/>
  <c r="D78" i="18"/>
  <c r="D8" i="18" s="1"/>
  <c r="D49" i="27"/>
  <c r="D78" i="27"/>
  <c r="D32" i="27"/>
  <c r="D16" i="48"/>
  <c r="N16" i="48" s="1"/>
  <c r="L30" i="47"/>
  <c r="L16" i="47"/>
  <c r="D45" i="24"/>
  <c r="D42" i="24"/>
  <c r="N42" i="24" s="1"/>
  <c r="D41" i="24"/>
  <c r="D40" i="24"/>
  <c r="N40" i="24" s="1"/>
  <c r="D37" i="24"/>
  <c r="D36" i="24"/>
  <c r="D35" i="24"/>
  <c r="D30" i="24"/>
  <c r="D16" i="24"/>
  <c r="D35" i="48"/>
  <c r="D36" i="48"/>
  <c r="N36" i="48"/>
  <c r="D37" i="48"/>
  <c r="N37" i="48" s="1"/>
  <c r="J30" i="47"/>
  <c r="J16" i="47"/>
  <c r="J32" i="47"/>
  <c r="J35" i="47"/>
  <c r="J36" i="47"/>
  <c r="J37" i="47"/>
  <c r="J40" i="47"/>
  <c r="J41" i="47"/>
  <c r="J42" i="47"/>
  <c r="J45" i="47"/>
  <c r="J46" i="47"/>
  <c r="J47" i="47"/>
  <c r="J48" i="47"/>
  <c r="J49" i="47"/>
  <c r="J50" i="47"/>
  <c r="N111" i="52"/>
  <c r="N112" i="52"/>
  <c r="L111" i="52"/>
  <c r="L112" i="52" s="1"/>
  <c r="J111" i="52"/>
  <c r="J112" i="52"/>
  <c r="H111" i="52"/>
  <c r="H112" i="52"/>
  <c r="F111" i="52"/>
  <c r="F112" i="52"/>
  <c r="D111" i="52"/>
  <c r="D112" i="52" s="1"/>
  <c r="D14" i="52" s="1"/>
  <c r="N110" i="52"/>
  <c r="L110" i="52"/>
  <c r="J110" i="52"/>
  <c r="H110" i="52"/>
  <c r="F110" i="52"/>
  <c r="D110" i="52"/>
  <c r="N109" i="52"/>
  <c r="L109" i="52"/>
  <c r="J109" i="52"/>
  <c r="H109" i="52"/>
  <c r="F109" i="52"/>
  <c r="D109" i="52"/>
  <c r="N108" i="52"/>
  <c r="L108" i="52"/>
  <c r="J108" i="52"/>
  <c r="J13" i="52" s="1"/>
  <c r="H108" i="52"/>
  <c r="F108" i="52"/>
  <c r="F13" i="52"/>
  <c r="D108" i="52"/>
  <c r="N107" i="52"/>
  <c r="L107" i="52"/>
  <c r="J107" i="52"/>
  <c r="H107" i="52"/>
  <c r="F107" i="52"/>
  <c r="D107" i="52"/>
  <c r="N106" i="52"/>
  <c r="L106" i="52"/>
  <c r="J106" i="52"/>
  <c r="J15" i="52" s="1"/>
  <c r="H106" i="52"/>
  <c r="H15" i="52"/>
  <c r="F106" i="52"/>
  <c r="F15" i="52" s="1"/>
  <c r="D106" i="52"/>
  <c r="N105" i="52"/>
  <c r="L105" i="52"/>
  <c r="J105" i="52"/>
  <c r="H105" i="52"/>
  <c r="F105" i="52"/>
  <c r="D105" i="52"/>
  <c r="L50" i="52"/>
  <c r="J50" i="52"/>
  <c r="H50" i="52"/>
  <c r="F50" i="52"/>
  <c r="D50" i="52"/>
  <c r="L49" i="52"/>
  <c r="J49" i="52"/>
  <c r="H49" i="52"/>
  <c r="F49" i="52"/>
  <c r="L48" i="52"/>
  <c r="J48" i="52"/>
  <c r="H48" i="52"/>
  <c r="F48" i="52"/>
  <c r="D48" i="52"/>
  <c r="N48" i="52" s="1"/>
  <c r="L47" i="52"/>
  <c r="J47" i="52"/>
  <c r="H47" i="52"/>
  <c r="F47" i="52"/>
  <c r="D47" i="52"/>
  <c r="L46" i="52"/>
  <c r="J46" i="52"/>
  <c r="H46" i="52"/>
  <c r="F46" i="52"/>
  <c r="D46" i="52"/>
  <c r="L45" i="52"/>
  <c r="J45" i="52"/>
  <c r="H45" i="52"/>
  <c r="F45" i="52"/>
  <c r="D45" i="52"/>
  <c r="N45" i="52" s="1"/>
  <c r="L42" i="52"/>
  <c r="J42" i="52"/>
  <c r="H42" i="52"/>
  <c r="F42" i="52"/>
  <c r="D42" i="52"/>
  <c r="N42" i="52" s="1"/>
  <c r="L41" i="52"/>
  <c r="J41" i="52"/>
  <c r="H41" i="52"/>
  <c r="F41" i="52"/>
  <c r="D41" i="52"/>
  <c r="L40" i="52"/>
  <c r="J40" i="52"/>
  <c r="H40" i="52"/>
  <c r="F40" i="52"/>
  <c r="D40" i="52"/>
  <c r="L37" i="52"/>
  <c r="J37" i="52"/>
  <c r="H37" i="52"/>
  <c r="F37" i="52"/>
  <c r="D37" i="52"/>
  <c r="N37" i="52" s="1"/>
  <c r="L36" i="52"/>
  <c r="J36" i="52"/>
  <c r="H36" i="52"/>
  <c r="F36" i="52"/>
  <c r="D36" i="52"/>
  <c r="L35" i="52"/>
  <c r="J35" i="52"/>
  <c r="H35" i="52"/>
  <c r="F35" i="52"/>
  <c r="D35" i="52"/>
  <c r="L32" i="52"/>
  <c r="J32" i="52"/>
  <c r="H32" i="52"/>
  <c r="F32" i="52"/>
  <c r="D32" i="52"/>
  <c r="L30" i="52"/>
  <c r="J30" i="52"/>
  <c r="H30" i="52"/>
  <c r="F30" i="52"/>
  <c r="D30" i="52"/>
  <c r="N30" i="52" s="1"/>
  <c r="L16" i="52"/>
  <c r="J16" i="52"/>
  <c r="H16" i="52"/>
  <c r="F16" i="52"/>
  <c r="D16" i="52"/>
  <c r="N16" i="52" s="1"/>
  <c r="L9" i="52"/>
  <c r="L10" i="52"/>
  <c r="L27" i="52" s="1"/>
  <c r="J9" i="52"/>
  <c r="H9" i="52"/>
  <c r="F9" i="52"/>
  <c r="D9" i="52"/>
  <c r="L8" i="52"/>
  <c r="L22" i="52" s="1"/>
  <c r="L20" i="52"/>
  <c r="J8" i="52"/>
  <c r="J10" i="52" s="1"/>
  <c r="J21" i="52"/>
  <c r="H8" i="52"/>
  <c r="H10" i="52" s="1"/>
  <c r="H22" i="52"/>
  <c r="F8" i="52"/>
  <c r="F22" i="52"/>
  <c r="L5" i="52"/>
  <c r="J5" i="52"/>
  <c r="H5" i="52"/>
  <c r="F5" i="52"/>
  <c r="D5" i="52"/>
  <c r="A3" i="52"/>
  <c r="A1" i="52"/>
  <c r="N111" i="48"/>
  <c r="N112" i="48"/>
  <c r="L111" i="48"/>
  <c r="L112" i="48"/>
  <c r="J111" i="48"/>
  <c r="J112" i="48" s="1"/>
  <c r="H111" i="48"/>
  <c r="H112" i="48" s="1"/>
  <c r="F111" i="48"/>
  <c r="F112" i="48"/>
  <c r="D111" i="48"/>
  <c r="D112" i="48" s="1"/>
  <c r="N110" i="48"/>
  <c r="L110" i="48"/>
  <c r="J110" i="48"/>
  <c r="H110" i="48"/>
  <c r="F110" i="48"/>
  <c r="D110" i="48"/>
  <c r="N109" i="48"/>
  <c r="L109" i="48"/>
  <c r="J109" i="48"/>
  <c r="H109" i="48"/>
  <c r="F109" i="48"/>
  <c r="D109" i="48"/>
  <c r="N108" i="48"/>
  <c r="L108" i="48"/>
  <c r="J108" i="48"/>
  <c r="H108" i="48"/>
  <c r="F108" i="48"/>
  <c r="D108" i="48"/>
  <c r="N107" i="48"/>
  <c r="L107" i="48"/>
  <c r="J107" i="48"/>
  <c r="H107" i="48"/>
  <c r="F107" i="48"/>
  <c r="D107" i="48"/>
  <c r="N106" i="48"/>
  <c r="L106" i="48"/>
  <c r="J106" i="48"/>
  <c r="H106" i="48"/>
  <c r="F106" i="48"/>
  <c r="D106" i="48"/>
  <c r="N105" i="48"/>
  <c r="L105" i="48"/>
  <c r="J105" i="48"/>
  <c r="H105" i="48"/>
  <c r="F105" i="48"/>
  <c r="D105" i="48"/>
  <c r="D49" i="48"/>
  <c r="N49" i="48" s="1"/>
  <c r="D48" i="48"/>
  <c r="N48" i="48" s="1"/>
  <c r="D47" i="48"/>
  <c r="N47" i="48" s="1"/>
  <c r="D46" i="48"/>
  <c r="N46" i="48" s="1"/>
  <c r="D45" i="48"/>
  <c r="N45" i="48" s="1"/>
  <c r="D42" i="48"/>
  <c r="N42" i="48" s="1"/>
  <c r="D41" i="48"/>
  <c r="N41" i="48" s="1"/>
  <c r="D40" i="48"/>
  <c r="N40" i="48" s="1"/>
  <c r="D32" i="48"/>
  <c r="N32" i="48" s="1"/>
  <c r="D30" i="48"/>
  <c r="N30" i="48" s="1"/>
  <c r="L9" i="48"/>
  <c r="J9" i="48"/>
  <c r="J10" i="48" s="1"/>
  <c r="H9" i="48"/>
  <c r="H10" i="48" s="1"/>
  <c r="F9" i="48"/>
  <c r="D9" i="48"/>
  <c r="L8" i="48"/>
  <c r="J8" i="48"/>
  <c r="H8" i="48"/>
  <c r="F8" i="48"/>
  <c r="D8" i="48"/>
  <c r="D10" i="48" s="1"/>
  <c r="L5" i="48"/>
  <c r="J5" i="48"/>
  <c r="H5" i="48"/>
  <c r="F5" i="48"/>
  <c r="D5" i="48"/>
  <c r="A3" i="48"/>
  <c r="A1" i="48"/>
  <c r="N111" i="27"/>
  <c r="N112" i="27" s="1"/>
  <c r="L111" i="27"/>
  <c r="L112" i="27" s="1"/>
  <c r="J111" i="27"/>
  <c r="J112" i="27" s="1"/>
  <c r="J14" i="27" s="1"/>
  <c r="H111" i="27"/>
  <c r="H112" i="27"/>
  <c r="F111" i="27"/>
  <c r="F112" i="27" s="1"/>
  <c r="D111" i="27"/>
  <c r="D112" i="27"/>
  <c r="N110" i="27"/>
  <c r="L110" i="27"/>
  <c r="J110" i="27"/>
  <c r="H110" i="27"/>
  <c r="F110" i="27"/>
  <c r="D110" i="27"/>
  <c r="N109" i="27"/>
  <c r="L109" i="27"/>
  <c r="J109" i="27"/>
  <c r="J15" i="27" s="1"/>
  <c r="H109" i="27"/>
  <c r="F109" i="27"/>
  <c r="F15" i="27" s="1"/>
  <c r="D109" i="27"/>
  <c r="N108" i="27"/>
  <c r="L108" i="27"/>
  <c r="L14" i="27" s="1"/>
  <c r="J108" i="27"/>
  <c r="H108" i="27"/>
  <c r="F108" i="27"/>
  <c r="D108" i="27"/>
  <c r="N107" i="27"/>
  <c r="L107" i="27"/>
  <c r="J107" i="27"/>
  <c r="H107" i="27"/>
  <c r="F107" i="27"/>
  <c r="D107" i="27"/>
  <c r="N106" i="27"/>
  <c r="L106" i="27"/>
  <c r="L15" i="27" s="1"/>
  <c r="J106" i="27"/>
  <c r="H106" i="27"/>
  <c r="H15" i="27" s="1"/>
  <c r="F106" i="27"/>
  <c r="D106" i="27"/>
  <c r="N105" i="27"/>
  <c r="L105" i="27"/>
  <c r="L13" i="27" s="1"/>
  <c r="J105" i="27"/>
  <c r="J13" i="27" s="1"/>
  <c r="H105" i="27"/>
  <c r="H13" i="27" s="1"/>
  <c r="F105" i="27"/>
  <c r="F13" i="27" s="1"/>
  <c r="D105" i="27"/>
  <c r="L30" i="27"/>
  <c r="J30" i="27"/>
  <c r="H30" i="27"/>
  <c r="F30" i="27"/>
  <c r="D30" i="27"/>
  <c r="L8" i="27"/>
  <c r="L22" i="27" s="1"/>
  <c r="L9" i="27"/>
  <c r="J8" i="27"/>
  <c r="J21" i="27" s="1"/>
  <c r="J9" i="27"/>
  <c r="H8" i="27"/>
  <c r="H20" i="27"/>
  <c r="H9" i="27"/>
  <c r="H10" i="27" s="1"/>
  <c r="F8" i="27"/>
  <c r="F22" i="27" s="1"/>
  <c r="F9" i="27"/>
  <c r="D8" i="27"/>
  <c r="D20" i="27" s="1"/>
  <c r="D9" i="27"/>
  <c r="F50" i="27"/>
  <c r="F16" i="27"/>
  <c r="H16" i="27"/>
  <c r="H50" i="27"/>
  <c r="D16" i="27"/>
  <c r="J50" i="27"/>
  <c r="L50" i="27"/>
  <c r="F49" i="27"/>
  <c r="H49" i="27"/>
  <c r="J49" i="27"/>
  <c r="L49" i="27"/>
  <c r="D48" i="27"/>
  <c r="D47" i="27"/>
  <c r="D46" i="27"/>
  <c r="D45" i="27"/>
  <c r="D42" i="27"/>
  <c r="D41" i="27"/>
  <c r="D40" i="27"/>
  <c r="D37" i="27"/>
  <c r="D36" i="27"/>
  <c r="N36" i="27" s="1"/>
  <c r="D35" i="27"/>
  <c r="F32" i="27"/>
  <c r="H32" i="27"/>
  <c r="A3" i="27"/>
  <c r="F46" i="27"/>
  <c r="H46" i="27"/>
  <c r="J46" i="27"/>
  <c r="L46" i="27"/>
  <c r="L42" i="27"/>
  <c r="L41" i="27"/>
  <c r="L40" i="27"/>
  <c r="L37" i="27"/>
  <c r="L36" i="27"/>
  <c r="L35" i="27"/>
  <c r="J42" i="27"/>
  <c r="J41" i="27"/>
  <c r="J40" i="27"/>
  <c r="J37" i="27"/>
  <c r="J36" i="27"/>
  <c r="J35" i="27"/>
  <c r="H42" i="27"/>
  <c r="H41" i="27"/>
  <c r="H40" i="27"/>
  <c r="H37" i="27"/>
  <c r="H36" i="27"/>
  <c r="H35" i="27"/>
  <c r="F42" i="27"/>
  <c r="F41" i="27"/>
  <c r="F40" i="27"/>
  <c r="F37" i="27"/>
  <c r="F36" i="27"/>
  <c r="F35" i="27"/>
  <c r="N35" i="27" s="1"/>
  <c r="L48" i="27"/>
  <c r="J48" i="27"/>
  <c r="F48" i="27"/>
  <c r="H48" i="27"/>
  <c r="L47" i="27"/>
  <c r="F47" i="27"/>
  <c r="H47" i="27"/>
  <c r="J47" i="27"/>
  <c r="F45" i="27"/>
  <c r="H45" i="27"/>
  <c r="J45" i="27"/>
  <c r="L45" i="27"/>
  <c r="J32" i="27"/>
  <c r="L32" i="27"/>
  <c r="J16" i="27"/>
  <c r="L16" i="27"/>
  <c r="L5" i="27"/>
  <c r="J5" i="27"/>
  <c r="H5" i="27"/>
  <c r="F5" i="27"/>
  <c r="D5" i="27"/>
  <c r="A1" i="27"/>
  <c r="L30" i="18"/>
  <c r="J30" i="18"/>
  <c r="H30" i="18"/>
  <c r="F30" i="18"/>
  <c r="D30" i="18"/>
  <c r="L8" i="18"/>
  <c r="L21" i="18" s="1"/>
  <c r="L9" i="18"/>
  <c r="J8" i="18"/>
  <c r="J10" i="18" s="1"/>
  <c r="J9" i="18"/>
  <c r="H8" i="18"/>
  <c r="H10" i="18" s="1"/>
  <c r="H9" i="18"/>
  <c r="F8" i="18"/>
  <c r="F21" i="18"/>
  <c r="F23" i="18" s="1"/>
  <c r="F9" i="18"/>
  <c r="F10" i="18" s="1"/>
  <c r="D9" i="18"/>
  <c r="J16" i="18"/>
  <c r="J108" i="18"/>
  <c r="J109" i="18"/>
  <c r="J14" i="18" s="1"/>
  <c r="J105" i="18"/>
  <c r="J13" i="18"/>
  <c r="L108" i="18"/>
  <c r="L109" i="18"/>
  <c r="L105" i="18"/>
  <c r="L13" i="18" s="1"/>
  <c r="H108" i="18"/>
  <c r="H109" i="18"/>
  <c r="H105" i="18"/>
  <c r="H13" i="18"/>
  <c r="F108" i="18"/>
  <c r="F14" i="18" s="1"/>
  <c r="F109" i="18"/>
  <c r="F105" i="18"/>
  <c r="F13" i="18" s="1"/>
  <c r="D108" i="18"/>
  <c r="D109" i="18"/>
  <c r="D105" i="18"/>
  <c r="F50" i="18"/>
  <c r="H50" i="18"/>
  <c r="J50" i="18"/>
  <c r="L50" i="18"/>
  <c r="F49" i="18"/>
  <c r="H49" i="18"/>
  <c r="J49" i="18"/>
  <c r="L49" i="18"/>
  <c r="N111" i="18"/>
  <c r="N112" i="18"/>
  <c r="L111" i="18"/>
  <c r="L112" i="18" s="1"/>
  <c r="L14" i="18" s="1"/>
  <c r="J111" i="18"/>
  <c r="J112" i="18" s="1"/>
  <c r="H111" i="18"/>
  <c r="H112" i="18"/>
  <c r="F111" i="18"/>
  <c r="F112" i="18"/>
  <c r="D111" i="18"/>
  <c r="D112" i="18" s="1"/>
  <c r="N110" i="18"/>
  <c r="L110" i="18"/>
  <c r="J110" i="18"/>
  <c r="H110" i="18"/>
  <c r="F110" i="18"/>
  <c r="D110" i="18"/>
  <c r="N109" i="18"/>
  <c r="N108" i="18"/>
  <c r="N107" i="18"/>
  <c r="L107" i="18"/>
  <c r="J107" i="18"/>
  <c r="H107" i="18"/>
  <c r="F107" i="18"/>
  <c r="D107" i="18"/>
  <c r="N106" i="18"/>
  <c r="L106" i="18"/>
  <c r="L15" i="18"/>
  <c r="J106" i="18"/>
  <c r="J15" i="18"/>
  <c r="H106" i="18"/>
  <c r="H15" i="18" s="1"/>
  <c r="F106" i="18"/>
  <c r="F15" i="18" s="1"/>
  <c r="D106" i="18"/>
  <c r="N105" i="18"/>
  <c r="A3" i="18"/>
  <c r="D46" i="18"/>
  <c r="N46" i="18" s="1"/>
  <c r="F46" i="18"/>
  <c r="H46" i="18"/>
  <c r="J46" i="18"/>
  <c r="L46" i="18"/>
  <c r="L42" i="18"/>
  <c r="J42" i="18"/>
  <c r="H42" i="18"/>
  <c r="F42" i="18"/>
  <c r="D42" i="18"/>
  <c r="L41" i="18"/>
  <c r="J41" i="18"/>
  <c r="H41" i="18"/>
  <c r="F41" i="18"/>
  <c r="D41" i="18"/>
  <c r="N41" i="18" s="1"/>
  <c r="L40" i="18"/>
  <c r="J40" i="18"/>
  <c r="H40" i="18"/>
  <c r="F40" i="18"/>
  <c r="D40" i="18"/>
  <c r="L37" i="18"/>
  <c r="J37" i="18"/>
  <c r="H37" i="18"/>
  <c r="F37" i="18"/>
  <c r="N37" i="18" s="1"/>
  <c r="D37" i="18"/>
  <c r="L36" i="18"/>
  <c r="J36" i="18"/>
  <c r="H36" i="18"/>
  <c r="F36" i="18"/>
  <c r="D36" i="18"/>
  <c r="L35" i="18"/>
  <c r="J35" i="18"/>
  <c r="H35" i="18"/>
  <c r="F35" i="18"/>
  <c r="D35" i="18"/>
  <c r="N35" i="18" s="1"/>
  <c r="L48" i="18"/>
  <c r="J48" i="18"/>
  <c r="F48" i="18"/>
  <c r="H48" i="18"/>
  <c r="L47" i="18"/>
  <c r="F47" i="18"/>
  <c r="H47" i="18"/>
  <c r="J47" i="18"/>
  <c r="D45" i="18"/>
  <c r="F45" i="18"/>
  <c r="H45" i="18"/>
  <c r="J45" i="18"/>
  <c r="L45" i="18"/>
  <c r="D32" i="18"/>
  <c r="F32" i="18"/>
  <c r="H32" i="18"/>
  <c r="J32" i="18"/>
  <c r="L32" i="18"/>
  <c r="L20" i="18"/>
  <c r="L23" i="18" s="1"/>
  <c r="F20" i="18"/>
  <c r="H20" i="18"/>
  <c r="H23" i="18"/>
  <c r="H21" i="18"/>
  <c r="D16" i="18"/>
  <c r="F16" i="18"/>
  <c r="H16" i="18"/>
  <c r="L16" i="18"/>
  <c r="L5" i="18"/>
  <c r="J5" i="18"/>
  <c r="H5" i="18"/>
  <c r="F5" i="18"/>
  <c r="D5" i="18"/>
  <c r="A1" i="18"/>
  <c r="N111" i="20"/>
  <c r="N112" i="20" s="1"/>
  <c r="L111" i="20"/>
  <c r="L112" i="20" s="1"/>
  <c r="J111" i="20"/>
  <c r="J112" i="20"/>
  <c r="H111" i="20"/>
  <c r="H112" i="20" s="1"/>
  <c r="F111" i="20"/>
  <c r="F112" i="20" s="1"/>
  <c r="N110" i="20"/>
  <c r="L110" i="20"/>
  <c r="J110" i="20"/>
  <c r="H110" i="20"/>
  <c r="F110" i="20"/>
  <c r="D110" i="20"/>
  <c r="N109" i="20"/>
  <c r="L109" i="20"/>
  <c r="J109" i="20"/>
  <c r="H109" i="20"/>
  <c r="F109" i="20"/>
  <c r="D109" i="20"/>
  <c r="D15" i="20" s="1"/>
  <c r="N108" i="20"/>
  <c r="L108" i="20"/>
  <c r="L13" i="20" s="1"/>
  <c r="J108" i="20"/>
  <c r="J14" i="20" s="1"/>
  <c r="H108" i="20"/>
  <c r="F108" i="20"/>
  <c r="D108" i="20"/>
  <c r="N107" i="20"/>
  <c r="L107" i="20"/>
  <c r="J107" i="20"/>
  <c r="H107" i="20"/>
  <c r="F107" i="20"/>
  <c r="D107" i="20"/>
  <c r="N106" i="20"/>
  <c r="L106" i="20"/>
  <c r="J106" i="20"/>
  <c r="H106" i="20"/>
  <c r="H15" i="20" s="1"/>
  <c r="F106" i="20"/>
  <c r="F15" i="20" s="1"/>
  <c r="D106" i="20"/>
  <c r="N105" i="20"/>
  <c r="L105" i="20"/>
  <c r="J105" i="20"/>
  <c r="J13" i="20" s="1"/>
  <c r="H105" i="20"/>
  <c r="F105" i="20"/>
  <c r="D105" i="20"/>
  <c r="L30" i="20"/>
  <c r="J30" i="20"/>
  <c r="H30" i="20"/>
  <c r="F30" i="20"/>
  <c r="D30" i="20"/>
  <c r="N30" i="20" s="1"/>
  <c r="L8" i="20"/>
  <c r="L22" i="20"/>
  <c r="L9" i="20"/>
  <c r="J8" i="20"/>
  <c r="J22" i="20"/>
  <c r="J9" i="20"/>
  <c r="H8" i="20"/>
  <c r="H21" i="20"/>
  <c r="H9" i="20"/>
  <c r="F8" i="20"/>
  <c r="F20" i="20" s="1"/>
  <c r="F9" i="20"/>
  <c r="F10" i="20"/>
  <c r="D9" i="20"/>
  <c r="J16" i="20"/>
  <c r="D50" i="20"/>
  <c r="F50" i="20"/>
  <c r="H50" i="20"/>
  <c r="J50" i="20"/>
  <c r="L50" i="20"/>
  <c r="F49" i="20"/>
  <c r="N49" i="20" s="1"/>
  <c r="H49" i="20"/>
  <c r="J49" i="20"/>
  <c r="L49" i="20"/>
  <c r="A3" i="20"/>
  <c r="D46" i="20"/>
  <c r="F46" i="20"/>
  <c r="H46" i="20"/>
  <c r="J46" i="20"/>
  <c r="L46" i="20"/>
  <c r="L42" i="20"/>
  <c r="J42" i="20"/>
  <c r="H42" i="20"/>
  <c r="F42" i="20"/>
  <c r="D42" i="20"/>
  <c r="N42" i="20" s="1"/>
  <c r="L41" i="20"/>
  <c r="J41" i="20"/>
  <c r="H41" i="20"/>
  <c r="F41" i="20"/>
  <c r="D41" i="20"/>
  <c r="N41" i="20" s="1"/>
  <c r="L40" i="20"/>
  <c r="J40" i="20"/>
  <c r="H40" i="20"/>
  <c r="F40" i="20"/>
  <c r="D40" i="20"/>
  <c r="L37" i="20"/>
  <c r="J37" i="20"/>
  <c r="H37" i="20"/>
  <c r="F37" i="20"/>
  <c r="D37" i="20"/>
  <c r="N37" i="20" s="1"/>
  <c r="L36" i="20"/>
  <c r="J36" i="20"/>
  <c r="H36" i="20"/>
  <c r="F36" i="20"/>
  <c r="D36" i="20"/>
  <c r="L35" i="20"/>
  <c r="J35" i="20"/>
  <c r="H35" i="20"/>
  <c r="F35" i="20"/>
  <c r="D35" i="20"/>
  <c r="L48" i="20"/>
  <c r="J48" i="20"/>
  <c r="D48" i="20"/>
  <c r="N48" i="20" s="1"/>
  <c r="F48" i="20"/>
  <c r="H48" i="20"/>
  <c r="L47" i="20"/>
  <c r="F47" i="20"/>
  <c r="H47" i="20"/>
  <c r="J47" i="20"/>
  <c r="D45" i="20"/>
  <c r="F45" i="20"/>
  <c r="H45" i="20"/>
  <c r="J45" i="20"/>
  <c r="L45" i="20"/>
  <c r="D32" i="20"/>
  <c r="F32" i="20"/>
  <c r="H32" i="20"/>
  <c r="J32" i="20"/>
  <c r="L32" i="20"/>
  <c r="L21" i="20"/>
  <c r="L20" i="20"/>
  <c r="L23" i="20" s="1"/>
  <c r="H20" i="20"/>
  <c r="D16" i="20"/>
  <c r="F16" i="20"/>
  <c r="H16" i="20"/>
  <c r="L16" i="20"/>
  <c r="L5" i="20"/>
  <c r="J5" i="20"/>
  <c r="H5" i="20"/>
  <c r="F5" i="20"/>
  <c r="D5" i="20"/>
  <c r="A1" i="20"/>
  <c r="L8" i="24"/>
  <c r="L9" i="24"/>
  <c r="J8" i="24"/>
  <c r="J10" i="24" s="1"/>
  <c r="J9" i="24"/>
  <c r="H8" i="24"/>
  <c r="H10" i="24"/>
  <c r="H9" i="24"/>
  <c r="F8" i="24"/>
  <c r="F9" i="24"/>
  <c r="D8" i="24"/>
  <c r="D22" i="24" s="1"/>
  <c r="D9" i="24"/>
  <c r="L108" i="24"/>
  <c r="L109" i="24"/>
  <c r="L105" i="24"/>
  <c r="J108" i="24"/>
  <c r="J109" i="24"/>
  <c r="J105" i="24"/>
  <c r="H108" i="24"/>
  <c r="H109" i="24"/>
  <c r="H105" i="24"/>
  <c r="F108" i="24"/>
  <c r="F109" i="24"/>
  <c r="F105" i="24"/>
  <c r="D108" i="24"/>
  <c r="D109" i="24"/>
  <c r="D105" i="24"/>
  <c r="D50" i="24"/>
  <c r="N105" i="24"/>
  <c r="F106" i="24"/>
  <c r="H106" i="24"/>
  <c r="J106" i="24"/>
  <c r="L106" i="24"/>
  <c r="N106" i="24"/>
  <c r="F107" i="24"/>
  <c r="H107" i="24"/>
  <c r="J107" i="24"/>
  <c r="L107" i="24"/>
  <c r="N107" i="24"/>
  <c r="N108" i="24"/>
  <c r="N109" i="24"/>
  <c r="F110" i="24"/>
  <c r="H110" i="24"/>
  <c r="J110" i="24"/>
  <c r="L110" i="24"/>
  <c r="N110" i="24"/>
  <c r="F111" i="24"/>
  <c r="F112" i="24" s="1"/>
  <c r="H111" i="24"/>
  <c r="H112" i="24"/>
  <c r="J111" i="24"/>
  <c r="J112" i="24" s="1"/>
  <c r="L111" i="24"/>
  <c r="L112" i="24" s="1"/>
  <c r="N111" i="24"/>
  <c r="N112" i="24" s="1"/>
  <c r="A3" i="24"/>
  <c r="D46" i="24"/>
  <c r="D111" i="24"/>
  <c r="D112" i="24" s="1"/>
  <c r="D110" i="24"/>
  <c r="D107" i="24"/>
  <c r="D106" i="24"/>
  <c r="D47" i="24"/>
  <c r="N45" i="24"/>
  <c r="D32" i="24"/>
  <c r="L5" i="24"/>
  <c r="J5" i="24"/>
  <c r="H5" i="24"/>
  <c r="F5" i="24"/>
  <c r="D5" i="24"/>
  <c r="A1" i="24"/>
  <c r="D30" i="47"/>
  <c r="N30" i="47" s="1"/>
  <c r="D30" i="17"/>
  <c r="F30" i="47"/>
  <c r="F30" i="17"/>
  <c r="H30" i="47"/>
  <c r="H30" i="17"/>
  <c r="J30" i="17"/>
  <c r="L30" i="17"/>
  <c r="L108" i="47"/>
  <c r="L109" i="47"/>
  <c r="L105" i="47"/>
  <c r="L13" i="47" s="1"/>
  <c r="L108" i="17"/>
  <c r="L109" i="17"/>
  <c r="L105" i="17"/>
  <c r="L13" i="17" s="1"/>
  <c r="J108" i="47"/>
  <c r="J14" i="47"/>
  <c r="J109" i="47"/>
  <c r="J105" i="47"/>
  <c r="J108" i="17"/>
  <c r="J14" i="17" s="1"/>
  <c r="J109" i="17"/>
  <c r="J105" i="17"/>
  <c r="J13" i="17" s="1"/>
  <c r="H108" i="47"/>
  <c r="H15" i="47" s="1"/>
  <c r="H109" i="47"/>
  <c r="H105" i="47"/>
  <c r="H13" i="47" s="1"/>
  <c r="H108" i="17"/>
  <c r="H14" i="17" s="1"/>
  <c r="H109" i="17"/>
  <c r="H105" i="17"/>
  <c r="F108" i="47"/>
  <c r="F109" i="47"/>
  <c r="F13" i="47"/>
  <c r="F105" i="47"/>
  <c r="F108" i="17"/>
  <c r="F109" i="17"/>
  <c r="F105" i="17"/>
  <c r="F13" i="17" s="1"/>
  <c r="D108" i="47"/>
  <c r="D109" i="47"/>
  <c r="D105" i="47"/>
  <c r="D108" i="17"/>
  <c r="D109" i="17"/>
  <c r="D105" i="17"/>
  <c r="D5" i="17"/>
  <c r="D5" i="14"/>
  <c r="F5" i="17"/>
  <c r="F5" i="14" s="1"/>
  <c r="H5" i="17"/>
  <c r="H5" i="14" s="1"/>
  <c r="J5" i="17"/>
  <c r="J5" i="14" s="1"/>
  <c r="L5" i="17"/>
  <c r="L5" i="14" s="1"/>
  <c r="D16" i="47"/>
  <c r="D16" i="17"/>
  <c r="F16" i="47"/>
  <c r="F16" i="17"/>
  <c r="H16" i="47"/>
  <c r="H16" i="17"/>
  <c r="L16" i="17"/>
  <c r="D111" i="47"/>
  <c r="D112" i="47" s="1"/>
  <c r="F111" i="47"/>
  <c r="F112" i="47" s="1"/>
  <c r="D111" i="17"/>
  <c r="D112" i="17" s="1"/>
  <c r="F111" i="17"/>
  <c r="F112" i="17" s="1"/>
  <c r="H111" i="47"/>
  <c r="H112" i="47" s="1"/>
  <c r="H14" i="47" s="1"/>
  <c r="H111" i="17"/>
  <c r="H112" i="17"/>
  <c r="J111" i="47"/>
  <c r="J112" i="47"/>
  <c r="J111" i="17"/>
  <c r="J112" i="17"/>
  <c r="L111" i="47"/>
  <c r="L112" i="47"/>
  <c r="L111" i="17"/>
  <c r="L112" i="17" s="1"/>
  <c r="L14" i="17" s="1"/>
  <c r="N111" i="47"/>
  <c r="N112" i="47" s="1"/>
  <c r="L14" i="47" s="1"/>
  <c r="N111" i="17"/>
  <c r="N112" i="17"/>
  <c r="D32" i="17"/>
  <c r="F32" i="47"/>
  <c r="F32" i="17"/>
  <c r="N32" i="17" s="1"/>
  <c r="H32" i="47"/>
  <c r="H32" i="17"/>
  <c r="J32" i="17"/>
  <c r="L32" i="47"/>
  <c r="L32" i="17"/>
  <c r="D106" i="47"/>
  <c r="D106" i="17"/>
  <c r="F106" i="47"/>
  <c r="F15" i="47"/>
  <c r="F106" i="17"/>
  <c r="F15" i="17" s="1"/>
  <c r="H106" i="47"/>
  <c r="H106" i="17"/>
  <c r="H15" i="17" s="1"/>
  <c r="J106" i="47"/>
  <c r="J15" i="47" s="1"/>
  <c r="J106" i="17"/>
  <c r="J15" i="17"/>
  <c r="L106" i="47"/>
  <c r="L15" i="47"/>
  <c r="L106" i="17"/>
  <c r="L15" i="17"/>
  <c r="D37" i="47"/>
  <c r="D37" i="17"/>
  <c r="F37" i="47"/>
  <c r="F37" i="17"/>
  <c r="H37" i="47"/>
  <c r="H37" i="17"/>
  <c r="J37" i="17"/>
  <c r="L37" i="47"/>
  <c r="L37" i="17"/>
  <c r="D36" i="47"/>
  <c r="D36" i="17"/>
  <c r="F36" i="47"/>
  <c r="F36" i="17"/>
  <c r="H36" i="47"/>
  <c r="H36" i="17"/>
  <c r="J36" i="17"/>
  <c r="N36" i="17" s="1"/>
  <c r="L36" i="47"/>
  <c r="L36" i="17"/>
  <c r="D46" i="47"/>
  <c r="N46" i="47" s="1"/>
  <c r="D46" i="17"/>
  <c r="F46" i="47"/>
  <c r="F46" i="17"/>
  <c r="H46" i="47"/>
  <c r="H46" i="17"/>
  <c r="J46" i="17"/>
  <c r="L46" i="47"/>
  <c r="L46" i="17"/>
  <c r="D35" i="47"/>
  <c r="N35" i="47" s="1"/>
  <c r="D35" i="17"/>
  <c r="F35" i="47"/>
  <c r="F35" i="17"/>
  <c r="H35" i="47"/>
  <c r="H35" i="14" s="1"/>
  <c r="H35" i="17"/>
  <c r="J35" i="17"/>
  <c r="L35" i="47"/>
  <c r="L35" i="17"/>
  <c r="L8" i="47"/>
  <c r="L20" i="47"/>
  <c r="L23" i="47"/>
  <c r="L8" i="17"/>
  <c r="L10" i="17" s="1"/>
  <c r="L22" i="17"/>
  <c r="L9" i="47"/>
  <c r="L9" i="17"/>
  <c r="J8" i="47"/>
  <c r="J22" i="47" s="1"/>
  <c r="J8" i="17"/>
  <c r="J22" i="17" s="1"/>
  <c r="J10" i="17"/>
  <c r="J27" i="17" s="1"/>
  <c r="J9" i="47"/>
  <c r="J9" i="17"/>
  <c r="H8" i="47"/>
  <c r="H8" i="17"/>
  <c r="H22" i="17" s="1"/>
  <c r="H9" i="47"/>
  <c r="H9" i="17"/>
  <c r="F8" i="47"/>
  <c r="F21" i="47" s="1"/>
  <c r="F8" i="17"/>
  <c r="F22" i="17" s="1"/>
  <c r="F21" i="17"/>
  <c r="F9" i="47"/>
  <c r="F9" i="17"/>
  <c r="D9" i="47"/>
  <c r="D9" i="17"/>
  <c r="D40" i="47"/>
  <c r="D40" i="17"/>
  <c r="D41" i="47"/>
  <c r="D41" i="17"/>
  <c r="N41" i="17" s="1"/>
  <c r="D42" i="47"/>
  <c r="N42" i="47" s="1"/>
  <c r="D42" i="17"/>
  <c r="D45" i="47"/>
  <c r="D45" i="17"/>
  <c r="F45" i="47"/>
  <c r="N45" i="47" s="1"/>
  <c r="F45" i="17"/>
  <c r="F42" i="47"/>
  <c r="F42" i="17"/>
  <c r="F41" i="47"/>
  <c r="F41" i="17"/>
  <c r="F40" i="47"/>
  <c r="F40" i="17"/>
  <c r="H40" i="47"/>
  <c r="H40" i="17"/>
  <c r="H41" i="47"/>
  <c r="H41" i="17"/>
  <c r="H42" i="47"/>
  <c r="H42" i="17"/>
  <c r="H45" i="47"/>
  <c r="H45" i="17"/>
  <c r="J45" i="17"/>
  <c r="J42" i="17"/>
  <c r="J41" i="17"/>
  <c r="J40" i="17"/>
  <c r="L40" i="47"/>
  <c r="L40" i="17"/>
  <c r="L41" i="47"/>
  <c r="L41" i="17"/>
  <c r="L42" i="47"/>
  <c r="L42" i="17"/>
  <c r="L45" i="47"/>
  <c r="L45" i="17"/>
  <c r="D50" i="17"/>
  <c r="D47" i="47"/>
  <c r="D47" i="17"/>
  <c r="D48" i="47"/>
  <c r="D48" i="17"/>
  <c r="D49" i="17"/>
  <c r="F49" i="47"/>
  <c r="F49" i="17"/>
  <c r="F48" i="47"/>
  <c r="F48" i="17"/>
  <c r="F47" i="47"/>
  <c r="F47" i="17"/>
  <c r="F50" i="47"/>
  <c r="F50" i="17"/>
  <c r="H50" i="47"/>
  <c r="H50" i="17"/>
  <c r="H50" i="14" s="1"/>
  <c r="H47" i="47"/>
  <c r="H47" i="17"/>
  <c r="H47" i="14" s="1"/>
  <c r="H48" i="47"/>
  <c r="H48" i="17"/>
  <c r="H49" i="47"/>
  <c r="H49" i="17"/>
  <c r="J49" i="17"/>
  <c r="J48" i="17"/>
  <c r="J47" i="17"/>
  <c r="J50" i="17"/>
  <c r="L50" i="47"/>
  <c r="L50" i="17"/>
  <c r="L47" i="47"/>
  <c r="L47" i="17"/>
  <c r="L48" i="47"/>
  <c r="L48" i="17"/>
  <c r="L49" i="47"/>
  <c r="L49" i="17"/>
  <c r="J16" i="17"/>
  <c r="N110" i="47"/>
  <c r="L110" i="47"/>
  <c r="J110" i="47"/>
  <c r="H110" i="47"/>
  <c r="F110" i="47"/>
  <c r="D110" i="47"/>
  <c r="N109" i="47"/>
  <c r="N108" i="47"/>
  <c r="N107" i="47"/>
  <c r="L107" i="47"/>
  <c r="J107" i="47"/>
  <c r="H107" i="47"/>
  <c r="F107" i="47"/>
  <c r="D107" i="47"/>
  <c r="N106" i="47"/>
  <c r="N105" i="47"/>
  <c r="A3" i="47"/>
  <c r="L5" i="47"/>
  <c r="J5" i="47"/>
  <c r="H5" i="47"/>
  <c r="F5" i="47"/>
  <c r="D5" i="47"/>
  <c r="A1" i="47"/>
  <c r="N110" i="17"/>
  <c r="L110" i="17"/>
  <c r="J110" i="17"/>
  <c r="H110" i="17"/>
  <c r="F110" i="17"/>
  <c r="D110" i="17"/>
  <c r="N109" i="17"/>
  <c r="N108" i="17"/>
  <c r="N107" i="17"/>
  <c r="L107" i="17"/>
  <c r="J107" i="17"/>
  <c r="H107" i="17"/>
  <c r="F107" i="17"/>
  <c r="D107" i="17"/>
  <c r="N106" i="17"/>
  <c r="N105" i="17"/>
  <c r="A3" i="17"/>
  <c r="A1" i="17"/>
  <c r="H22" i="18"/>
  <c r="J21" i="17"/>
  <c r="J22" i="18"/>
  <c r="L10" i="20"/>
  <c r="L25" i="20"/>
  <c r="L28" i="20" s="1"/>
  <c r="L10" i="18"/>
  <c r="L25" i="18" s="1"/>
  <c r="J20" i="17"/>
  <c r="H10" i="47"/>
  <c r="H26" i="47" s="1"/>
  <c r="H25" i="47"/>
  <c r="F10" i="48"/>
  <c r="L10" i="48"/>
  <c r="F22" i="18"/>
  <c r="J20" i="18"/>
  <c r="F21" i="52"/>
  <c r="F20" i="52"/>
  <c r="L21" i="52"/>
  <c r="H22" i="47"/>
  <c r="H23" i="47" s="1"/>
  <c r="H20" i="47"/>
  <c r="H21" i="47"/>
  <c r="L22" i="18"/>
  <c r="F21" i="27"/>
  <c r="F21" i="20"/>
  <c r="L21" i="27"/>
  <c r="L21" i="17"/>
  <c r="F20" i="17"/>
  <c r="F23" i="17" s="1"/>
  <c r="H13" i="52"/>
  <c r="H21" i="52"/>
  <c r="J22" i="52"/>
  <c r="J20" i="52"/>
  <c r="J23" i="52" s="1"/>
  <c r="N35" i="48"/>
  <c r="L21" i="47"/>
  <c r="L22" i="47"/>
  <c r="L10" i="47"/>
  <c r="L25" i="47" s="1"/>
  <c r="L28" i="47" s="1"/>
  <c r="L26" i="47"/>
  <c r="J10" i="20"/>
  <c r="J26" i="20" s="1"/>
  <c r="J25" i="20"/>
  <c r="J28" i="20" s="1"/>
  <c r="J16" i="14"/>
  <c r="J22" i="27"/>
  <c r="J20" i="27"/>
  <c r="L37" i="14"/>
  <c r="L26" i="18"/>
  <c r="L26" i="20"/>
  <c r="H20" i="52"/>
  <c r="L27" i="20"/>
  <c r="F13" i="20"/>
  <c r="F22" i="20"/>
  <c r="H13" i="20"/>
  <c r="H20" i="17"/>
  <c r="L20" i="17"/>
  <c r="L23" i="17" s="1"/>
  <c r="L13" i="52"/>
  <c r="L15" i="52"/>
  <c r="L50" i="14"/>
  <c r="F14" i="52"/>
  <c r="H14" i="52"/>
  <c r="J9" i="14"/>
  <c r="F10" i="52"/>
  <c r="H23" i="52"/>
  <c r="H36" i="14"/>
  <c r="L27" i="47"/>
  <c r="F20" i="47"/>
  <c r="L9" i="14"/>
  <c r="J13" i="47"/>
  <c r="F22" i="47"/>
  <c r="J20" i="47"/>
  <c r="L10" i="24"/>
  <c r="J36" i="14"/>
  <c r="J45" i="14"/>
  <c r="F47" i="14"/>
  <c r="F26" i="20"/>
  <c r="F27" i="20"/>
  <c r="F25" i="20"/>
  <c r="J20" i="20"/>
  <c r="J23" i="20" s="1"/>
  <c r="L15" i="20"/>
  <c r="H10" i="20"/>
  <c r="H25" i="20" s="1"/>
  <c r="J27" i="20"/>
  <c r="H22" i="20"/>
  <c r="J21" i="20"/>
  <c r="L42" i="14"/>
  <c r="H48" i="14"/>
  <c r="J21" i="18"/>
  <c r="J23" i="18" s="1"/>
  <c r="J10" i="27"/>
  <c r="J27" i="27" s="1"/>
  <c r="H22" i="27"/>
  <c r="H23" i="27"/>
  <c r="H8" i="14"/>
  <c r="H21" i="27"/>
  <c r="F27" i="52"/>
  <c r="F25" i="52"/>
  <c r="F28" i="52" s="1"/>
  <c r="F26" i="52"/>
  <c r="F28" i="20"/>
  <c r="H27" i="20"/>
  <c r="H23" i="20"/>
  <c r="D50" i="27"/>
  <c r="N30" i="27"/>
  <c r="N49" i="27"/>
  <c r="D15" i="52"/>
  <c r="D13" i="52"/>
  <c r="D22" i="48"/>
  <c r="D21" i="48"/>
  <c r="D15" i="48"/>
  <c r="D13" i="48"/>
  <c r="D13" i="47"/>
  <c r="D15" i="47"/>
  <c r="D49" i="47"/>
  <c r="N35" i="24"/>
  <c r="N36" i="24"/>
  <c r="N37" i="24"/>
  <c r="D49" i="24"/>
  <c r="D47" i="20"/>
  <c r="N47" i="20" s="1"/>
  <c r="D47" i="18"/>
  <c r="N47" i="18" s="1"/>
  <c r="D48" i="18"/>
  <c r="N48" i="18" s="1"/>
  <c r="N50" i="17" l="1"/>
  <c r="N47" i="17"/>
  <c r="N16" i="17"/>
  <c r="D10" i="17"/>
  <c r="D22" i="17"/>
  <c r="D20" i="17"/>
  <c r="D21" i="17"/>
  <c r="N48" i="17"/>
  <c r="D27" i="17"/>
  <c r="D25" i="17"/>
  <c r="D26" i="17"/>
  <c r="N30" i="17"/>
  <c r="N45" i="17"/>
  <c r="N42" i="17"/>
  <c r="N37" i="17"/>
  <c r="N49" i="17"/>
  <c r="N35" i="17"/>
  <c r="N46" i="17"/>
  <c r="N40" i="17"/>
  <c r="D15" i="17"/>
  <c r="N15" i="17" s="1"/>
  <c r="D13" i="17"/>
  <c r="N13" i="17" s="1"/>
  <c r="D14" i="17"/>
  <c r="F14" i="17"/>
  <c r="L26" i="17"/>
  <c r="L25" i="17"/>
  <c r="L27" i="17"/>
  <c r="N22" i="17"/>
  <c r="J23" i="17"/>
  <c r="F10" i="17"/>
  <c r="H21" i="17"/>
  <c r="N21" i="17" s="1"/>
  <c r="L48" i="14"/>
  <c r="J41" i="14"/>
  <c r="J40" i="14"/>
  <c r="J26" i="17"/>
  <c r="J25" i="17"/>
  <c r="J28" i="17" s="1"/>
  <c r="H41" i="14"/>
  <c r="H10" i="17"/>
  <c r="F16" i="14"/>
  <c r="N20" i="17"/>
  <c r="H13" i="17"/>
  <c r="H49" i="14"/>
  <c r="N50" i="52"/>
  <c r="N47" i="52"/>
  <c r="D21" i="52"/>
  <c r="N21" i="52" s="1"/>
  <c r="D10" i="52"/>
  <c r="D22" i="52"/>
  <c r="N22" i="52" s="1"/>
  <c r="D20" i="52"/>
  <c r="N20" i="52" s="1"/>
  <c r="N49" i="52"/>
  <c r="N41" i="52"/>
  <c r="N36" i="52"/>
  <c r="N32" i="52"/>
  <c r="N35" i="52"/>
  <c r="N40" i="52"/>
  <c r="N46" i="52"/>
  <c r="N15" i="52"/>
  <c r="N13" i="52"/>
  <c r="H26" i="52"/>
  <c r="H27" i="52"/>
  <c r="H25" i="52"/>
  <c r="J26" i="52"/>
  <c r="J25" i="52"/>
  <c r="J27" i="52"/>
  <c r="L23" i="52"/>
  <c r="L14" i="52"/>
  <c r="L14" i="14" s="1"/>
  <c r="F23" i="52"/>
  <c r="L26" i="52"/>
  <c r="L25" i="52"/>
  <c r="L28" i="52" s="1"/>
  <c r="J14" i="52"/>
  <c r="N14" i="52" s="1"/>
  <c r="D14" i="48"/>
  <c r="D27" i="48"/>
  <c r="D25" i="48"/>
  <c r="D26" i="48"/>
  <c r="D20" i="48"/>
  <c r="D23" i="48" s="1"/>
  <c r="H26" i="48"/>
  <c r="H27" i="48"/>
  <c r="H25" i="48"/>
  <c r="H28" i="48" s="1"/>
  <c r="J26" i="48"/>
  <c r="J27" i="48"/>
  <c r="J25" i="48"/>
  <c r="J15" i="48"/>
  <c r="L15" i="48"/>
  <c r="L15" i="14" s="1"/>
  <c r="L26" i="48"/>
  <c r="L27" i="48"/>
  <c r="L25" i="48"/>
  <c r="F20" i="48"/>
  <c r="F21" i="48"/>
  <c r="N21" i="48" s="1"/>
  <c r="F22" i="48"/>
  <c r="H20" i="48"/>
  <c r="H23" i="48" s="1"/>
  <c r="H21" i="48"/>
  <c r="H22" i="48"/>
  <c r="F13" i="48"/>
  <c r="F14" i="48"/>
  <c r="J20" i="48"/>
  <c r="J21" i="48"/>
  <c r="J23" i="48" s="1"/>
  <c r="J22" i="48"/>
  <c r="H14" i="48"/>
  <c r="F26" i="48"/>
  <c r="F27" i="48"/>
  <c r="N27" i="48" s="1"/>
  <c r="F25" i="48"/>
  <c r="L20" i="48"/>
  <c r="L21" i="48"/>
  <c r="L22" i="48"/>
  <c r="L22" i="14" s="1"/>
  <c r="J14" i="48"/>
  <c r="L13" i="48"/>
  <c r="L13" i="14" s="1"/>
  <c r="L14" i="48"/>
  <c r="F15" i="48"/>
  <c r="H15" i="48"/>
  <c r="N50" i="47"/>
  <c r="N47" i="47"/>
  <c r="N48" i="47"/>
  <c r="D10" i="47"/>
  <c r="D21" i="47"/>
  <c r="D22" i="47"/>
  <c r="N22" i="47" s="1"/>
  <c r="D20" i="47"/>
  <c r="D23" i="47" s="1"/>
  <c r="N16" i="47"/>
  <c r="D16" i="14"/>
  <c r="N36" i="47"/>
  <c r="N49" i="47"/>
  <c r="N37" i="47"/>
  <c r="D35" i="14"/>
  <c r="D32" i="47"/>
  <c r="N32" i="47" s="1"/>
  <c r="N40" i="47"/>
  <c r="N13" i="47"/>
  <c r="N15" i="47"/>
  <c r="D14" i="47"/>
  <c r="F14" i="47"/>
  <c r="F23" i="47"/>
  <c r="H27" i="47"/>
  <c r="H28" i="47" s="1"/>
  <c r="F10" i="47"/>
  <c r="J10" i="47"/>
  <c r="H22" i="14"/>
  <c r="N41" i="47"/>
  <c r="J21" i="47"/>
  <c r="J8" i="14"/>
  <c r="J10" i="14" s="1"/>
  <c r="N47" i="24"/>
  <c r="N50" i="24"/>
  <c r="D20" i="24"/>
  <c r="D21" i="24"/>
  <c r="D10" i="24"/>
  <c r="D27" i="24" s="1"/>
  <c r="D23" i="24"/>
  <c r="N49" i="24"/>
  <c r="D42" i="14"/>
  <c r="N41" i="24"/>
  <c r="N30" i="24"/>
  <c r="F41" i="14"/>
  <c r="N46" i="24"/>
  <c r="N32" i="24"/>
  <c r="D13" i="24"/>
  <c r="N13" i="24" s="1"/>
  <c r="D15" i="24"/>
  <c r="N15" i="24" s="1"/>
  <c r="D14" i="24"/>
  <c r="N20" i="24"/>
  <c r="N16" i="24"/>
  <c r="N22" i="24"/>
  <c r="H45" i="14"/>
  <c r="F10" i="24"/>
  <c r="J47" i="14"/>
  <c r="N21" i="24"/>
  <c r="L46" i="14"/>
  <c r="F46" i="14"/>
  <c r="L40" i="14"/>
  <c r="D36" i="14"/>
  <c r="D9" i="14"/>
  <c r="N50" i="20"/>
  <c r="D20" i="20"/>
  <c r="D22" i="20"/>
  <c r="N22" i="20" s="1"/>
  <c r="D10" i="20"/>
  <c r="D21" i="20"/>
  <c r="N21" i="20" s="1"/>
  <c r="N36" i="20"/>
  <c r="N16" i="20"/>
  <c r="N40" i="20"/>
  <c r="N35" i="20"/>
  <c r="N32" i="20"/>
  <c r="D13" i="20"/>
  <c r="N13" i="20" s="1"/>
  <c r="D14" i="20"/>
  <c r="F14" i="20"/>
  <c r="L14" i="20"/>
  <c r="F23" i="20"/>
  <c r="N20" i="20"/>
  <c r="H14" i="20"/>
  <c r="F49" i="14"/>
  <c r="N45" i="20"/>
  <c r="D30" i="14"/>
  <c r="N46" i="20"/>
  <c r="J13" i="14"/>
  <c r="J15" i="20"/>
  <c r="H42" i="14"/>
  <c r="J30" i="14"/>
  <c r="H26" i="20"/>
  <c r="H37" i="14"/>
  <c r="H40" i="14"/>
  <c r="J46" i="14"/>
  <c r="L49" i="14"/>
  <c r="J37" i="14"/>
  <c r="J48" i="14"/>
  <c r="H32" i="14"/>
  <c r="F35" i="14"/>
  <c r="F32" i="14"/>
  <c r="N49" i="18"/>
  <c r="D47" i="14"/>
  <c r="D50" i="14"/>
  <c r="N30" i="18"/>
  <c r="D10" i="18"/>
  <c r="D20" i="18"/>
  <c r="D21" i="18"/>
  <c r="N21" i="18" s="1"/>
  <c r="D22" i="18"/>
  <c r="N22" i="18" s="1"/>
  <c r="D14" i="18"/>
  <c r="D13" i="18"/>
  <c r="N16" i="18"/>
  <c r="N45" i="18"/>
  <c r="D45" i="14"/>
  <c r="D41" i="14"/>
  <c r="D37" i="14"/>
  <c r="N36" i="18"/>
  <c r="N42" i="18"/>
  <c r="D49" i="14"/>
  <c r="N40" i="18"/>
  <c r="D40" i="14"/>
  <c r="D46" i="14"/>
  <c r="D32" i="14"/>
  <c r="F25" i="18"/>
  <c r="F27" i="18"/>
  <c r="F26" i="18"/>
  <c r="H26" i="18"/>
  <c r="H25" i="18"/>
  <c r="H27" i="18"/>
  <c r="H14" i="18"/>
  <c r="J27" i="18"/>
  <c r="J26" i="18"/>
  <c r="J25" i="18"/>
  <c r="J28" i="18" s="1"/>
  <c r="D48" i="14"/>
  <c r="F42" i="14"/>
  <c r="H46" i="14"/>
  <c r="J49" i="14"/>
  <c r="F36" i="14"/>
  <c r="L27" i="18"/>
  <c r="L28" i="18" s="1"/>
  <c r="L47" i="14"/>
  <c r="N32" i="18"/>
  <c r="J35" i="14"/>
  <c r="J21" i="14"/>
  <c r="H15" i="14"/>
  <c r="F48" i="14"/>
  <c r="J50" i="14"/>
  <c r="H30" i="14"/>
  <c r="L16" i="14"/>
  <c r="F30" i="14"/>
  <c r="J42" i="14"/>
  <c r="H16" i="14"/>
  <c r="L32" i="14"/>
  <c r="F37" i="14"/>
  <c r="L35" i="14"/>
  <c r="J32" i="14"/>
  <c r="L36" i="14"/>
  <c r="F50" i="14"/>
  <c r="L30" i="14"/>
  <c r="J20" i="14"/>
  <c r="N13" i="18"/>
  <c r="L45" i="14"/>
  <c r="J22" i="14"/>
  <c r="L21" i="14"/>
  <c r="L41" i="14"/>
  <c r="F9" i="14"/>
  <c r="H13" i="14"/>
  <c r="D15" i="18"/>
  <c r="N15" i="18" s="1"/>
  <c r="D13" i="27"/>
  <c r="N47" i="27"/>
  <c r="D8" i="14"/>
  <c r="D10" i="27"/>
  <c r="D25" i="27" s="1"/>
  <c r="D22" i="27"/>
  <c r="D21" i="27"/>
  <c r="D27" i="27"/>
  <c r="D26" i="27"/>
  <c r="N42" i="27"/>
  <c r="N41" i="27"/>
  <c r="N45" i="27"/>
  <c r="N46" i="27"/>
  <c r="N40" i="27"/>
  <c r="N32" i="27"/>
  <c r="D15" i="27"/>
  <c r="D14" i="27"/>
  <c r="F13" i="14"/>
  <c r="N13" i="27"/>
  <c r="F22" i="14"/>
  <c r="H26" i="27"/>
  <c r="H25" i="27"/>
  <c r="H27" i="27"/>
  <c r="N15" i="27"/>
  <c r="F15" i="14"/>
  <c r="H14" i="27"/>
  <c r="J26" i="27"/>
  <c r="H9" i="14"/>
  <c r="H10" i="14" s="1"/>
  <c r="L8" i="14"/>
  <c r="L10" i="14" s="1"/>
  <c r="J25" i="27"/>
  <c r="L20" i="27"/>
  <c r="F21" i="14"/>
  <c r="F40" i="14"/>
  <c r="F20" i="27"/>
  <c r="F10" i="27"/>
  <c r="N37" i="27"/>
  <c r="J23" i="27"/>
  <c r="F8" i="14"/>
  <c r="N48" i="27"/>
  <c r="N16" i="27"/>
  <c r="N50" i="27"/>
  <c r="L10" i="27"/>
  <c r="F14" i="27"/>
  <c r="F45" i="14"/>
  <c r="D23" i="17" l="1"/>
  <c r="D28" i="17"/>
  <c r="F25" i="17"/>
  <c r="F27" i="17"/>
  <c r="F26" i="17"/>
  <c r="H23" i="17"/>
  <c r="N23" i="17" s="1"/>
  <c r="H21" i="14"/>
  <c r="H26" i="17"/>
  <c r="H26" i="14" s="1"/>
  <c r="H25" i="17"/>
  <c r="H27" i="17"/>
  <c r="L28" i="17"/>
  <c r="H27" i="14"/>
  <c r="N14" i="17"/>
  <c r="D25" i="52"/>
  <c r="D26" i="52"/>
  <c r="N26" i="52" s="1"/>
  <c r="D27" i="52"/>
  <c r="N27" i="52" s="1"/>
  <c r="D23" i="52"/>
  <c r="N23" i="52" s="1"/>
  <c r="J28" i="52"/>
  <c r="N25" i="52"/>
  <c r="H28" i="52"/>
  <c r="J14" i="14"/>
  <c r="D28" i="48"/>
  <c r="F14" i="14"/>
  <c r="N22" i="48"/>
  <c r="F10" i="14"/>
  <c r="H20" i="14"/>
  <c r="H23" i="14" s="1"/>
  <c r="F23" i="48"/>
  <c r="N20" i="48"/>
  <c r="L23" i="48"/>
  <c r="L28" i="48"/>
  <c r="F28" i="48"/>
  <c r="N25" i="48"/>
  <c r="N26" i="48"/>
  <c r="J15" i="14"/>
  <c r="J28" i="48"/>
  <c r="N14" i="48"/>
  <c r="N13" i="48"/>
  <c r="N15" i="48"/>
  <c r="N21" i="47"/>
  <c r="D20" i="14"/>
  <c r="N20" i="47"/>
  <c r="D25" i="47"/>
  <c r="D26" i="47"/>
  <c r="D27" i="47"/>
  <c r="J26" i="47"/>
  <c r="J27" i="47"/>
  <c r="J27" i="14" s="1"/>
  <c r="J25" i="47"/>
  <c r="J28" i="47" s="1"/>
  <c r="F25" i="47"/>
  <c r="F26" i="47"/>
  <c r="N26" i="47" s="1"/>
  <c r="F27" i="47"/>
  <c r="J23" i="47"/>
  <c r="N23" i="47"/>
  <c r="N14" i="47"/>
  <c r="D25" i="24"/>
  <c r="D10" i="14"/>
  <c r="D26" i="24"/>
  <c r="D28" i="24" s="1"/>
  <c r="N14" i="24"/>
  <c r="N27" i="24"/>
  <c r="N23" i="24"/>
  <c r="N48" i="14"/>
  <c r="N16" i="14"/>
  <c r="N49" i="14"/>
  <c r="N36" i="14"/>
  <c r="D25" i="20"/>
  <c r="D27" i="20"/>
  <c r="N27" i="20" s="1"/>
  <c r="D26" i="20"/>
  <c r="N26" i="20" s="1"/>
  <c r="D23" i="20"/>
  <c r="N23" i="20" s="1"/>
  <c r="D13" i="14"/>
  <c r="N13" i="14" s="1"/>
  <c r="D14" i="14"/>
  <c r="N41" i="14"/>
  <c r="N35" i="14"/>
  <c r="N45" i="14"/>
  <c r="N15" i="20"/>
  <c r="N14" i="20"/>
  <c r="N42" i="14"/>
  <c r="N30" i="14"/>
  <c r="H28" i="20"/>
  <c r="N46" i="14"/>
  <c r="N47" i="14"/>
  <c r="N50" i="14"/>
  <c r="N14" i="18"/>
  <c r="D21" i="14"/>
  <c r="N20" i="18"/>
  <c r="D23" i="18"/>
  <c r="N23" i="18" s="1"/>
  <c r="D22" i="14"/>
  <c r="N22" i="14" s="1"/>
  <c r="D26" i="18"/>
  <c r="N26" i="18" s="1"/>
  <c r="D25" i="18"/>
  <c r="D27" i="18"/>
  <c r="N37" i="14"/>
  <c r="N40" i="14"/>
  <c r="N32" i="14"/>
  <c r="D15" i="14"/>
  <c r="H28" i="18"/>
  <c r="J26" i="14"/>
  <c r="H14" i="14"/>
  <c r="F28" i="18"/>
  <c r="J23" i="14"/>
  <c r="N22" i="27"/>
  <c r="D23" i="27"/>
  <c r="N21" i="27"/>
  <c r="D28" i="27"/>
  <c r="L25" i="27"/>
  <c r="L27" i="27"/>
  <c r="L27" i="14" s="1"/>
  <c r="L26" i="27"/>
  <c r="L26" i="14" s="1"/>
  <c r="F25" i="27"/>
  <c r="F27" i="27"/>
  <c r="F26" i="27"/>
  <c r="H25" i="14"/>
  <c r="H28" i="27"/>
  <c r="F20" i="14"/>
  <c r="F23" i="27"/>
  <c r="N20" i="27"/>
  <c r="L20" i="14"/>
  <c r="L23" i="14" s="1"/>
  <c r="L23" i="27"/>
  <c r="J28" i="27"/>
  <c r="J25" i="14"/>
  <c r="N14" i="27"/>
  <c r="N21" i="14" l="1"/>
  <c r="H28" i="14"/>
  <c r="H28" i="17"/>
  <c r="N26" i="17"/>
  <c r="N27" i="17"/>
  <c r="N25" i="17"/>
  <c r="F28" i="17"/>
  <c r="N28" i="17" s="1"/>
  <c r="D28" i="52"/>
  <c r="N28" i="52" s="1"/>
  <c r="N28" i="48"/>
  <c r="N23" i="48"/>
  <c r="N15" i="14"/>
  <c r="N27" i="47"/>
  <c r="D28" i="47"/>
  <c r="N25" i="47"/>
  <c r="F28" i="47"/>
  <c r="N28" i="47" s="1"/>
  <c r="N26" i="24"/>
  <c r="N25" i="24"/>
  <c r="N28" i="24"/>
  <c r="D27" i="14"/>
  <c r="D28" i="20"/>
  <c r="N25" i="20"/>
  <c r="N14" i="14"/>
  <c r="N28" i="20"/>
  <c r="J28" i="14"/>
  <c r="D23" i="14"/>
  <c r="D28" i="18"/>
  <c r="D25" i="14"/>
  <c r="N25" i="18"/>
  <c r="N27" i="18"/>
  <c r="D26" i="14"/>
  <c r="N28" i="18"/>
  <c r="N23" i="27"/>
  <c r="F23" i="14"/>
  <c r="N20" i="14"/>
  <c r="F26" i="14"/>
  <c r="N26" i="27"/>
  <c r="F27" i="14"/>
  <c r="N27" i="27"/>
  <c r="F28" i="27"/>
  <c r="F25" i="14"/>
  <c r="N25" i="27"/>
  <c r="L25" i="14"/>
  <c r="L28" i="14" s="1"/>
  <c r="L28" i="27"/>
  <c r="N23" i="14" l="1"/>
  <c r="N27" i="14"/>
  <c r="N26" i="14"/>
  <c r="D28" i="14"/>
  <c r="N28" i="27"/>
  <c r="N25" i="14"/>
  <c r="F28" i="14"/>
  <c r="N28" i="14" l="1"/>
</calcChain>
</file>

<file path=xl/sharedStrings.xml><?xml version="1.0" encoding="utf-8"?>
<sst xmlns="http://schemas.openxmlformats.org/spreadsheetml/2006/main" count="1303" uniqueCount="107">
  <si>
    <t>Capitalization and Financial Statistics</t>
  </si>
  <si>
    <t>Amount of Capital Employed</t>
  </si>
  <si>
    <t>Capital Structure Ratios</t>
  </si>
  <si>
    <t>x</t>
  </si>
  <si>
    <t>See Page 2 for Notes.</t>
  </si>
  <si>
    <t>Short-Term Debt</t>
  </si>
  <si>
    <t>Permanent Capital</t>
  </si>
  <si>
    <t>Total Capital</t>
  </si>
  <si>
    <t>Market-Based Financial Ratios</t>
  </si>
  <si>
    <t>Dividend Yield</t>
  </si>
  <si>
    <t>Dividend Payout Ratio</t>
  </si>
  <si>
    <t>Based on Permanent Captial:</t>
  </si>
  <si>
    <t>Based on Total Capital:</t>
  </si>
  <si>
    <t>Pre-tax: All Interest Charges</t>
  </si>
  <si>
    <t>Overall Coverage: All Int. &amp; Pfd. Div.</t>
  </si>
  <si>
    <t>Quality of Earnings &amp; Cash Flow</t>
  </si>
  <si>
    <t>AFC/Income Avail. for Common Equity</t>
  </si>
  <si>
    <t>Effective Income Tax Rate</t>
  </si>
  <si>
    <t>(Millions of Dollars)</t>
  </si>
  <si>
    <t>Average</t>
  </si>
  <si>
    <t>Market/Book Ratio</t>
  </si>
  <si>
    <t>Post-tax: All Interest Charges</t>
  </si>
  <si>
    <t>I/S - Operating Revs-Total (MM$)</t>
  </si>
  <si>
    <t>I/S - Operating Inc Taxes-Total (MM$)</t>
  </si>
  <si>
    <t>I/S - Operating Exps-Total (MM$)</t>
  </si>
  <si>
    <t>I/S - Nonoperating Inc Taxes-Net (MM$)</t>
  </si>
  <si>
    <t>I/S - Gross Inc (Inc Bef Int) (MM$)</t>
  </si>
  <si>
    <t>I/S - Interest Charges-Total (MM$)</t>
  </si>
  <si>
    <t>I/S - Allow for Funds Used During Const-Total (MM$)</t>
  </si>
  <si>
    <t>I/S - Subsidiary Preferred Dividends (MM$)</t>
  </si>
  <si>
    <t>I/S - Pref. Dividend Requirements (MM$)</t>
  </si>
  <si>
    <t>I/S - Preference Div. Requirements (MM$)</t>
  </si>
  <si>
    <t>I/S - Available for Common After Adj. for Common SE (MM$)</t>
  </si>
  <si>
    <t>I/S - Earnings/Share (Primary) Excl. Extra. Items ($&amp;¢)</t>
  </si>
  <si>
    <t>B/S - Common Equity-Total (MM$)</t>
  </si>
  <si>
    <t>B/S - Subsidiary Preferred Stock at Carrying Value (MM$)</t>
  </si>
  <si>
    <t>B/S - Premium on Subsidiary Preferred Stock (MM$)</t>
  </si>
  <si>
    <t>B/S - Preferred Stock at Carrying Value (MM$)</t>
  </si>
  <si>
    <t>B/S - Premium on Preferred Stock (MM$)</t>
  </si>
  <si>
    <t>B/S - Preference Stock at Carrying Value (MM$)</t>
  </si>
  <si>
    <t>B/S - Premium on Preference Stock (MM$)</t>
  </si>
  <si>
    <t>B/S - Minority Interest (MM$)</t>
  </si>
  <si>
    <t>B/S - Long-Term Debt (Total) (MM$)</t>
  </si>
  <si>
    <t>B/S - Treasury Stock-Dollar Amount-Preferred (MM$)</t>
  </si>
  <si>
    <t>B/S - Capitalization (MM$)</t>
  </si>
  <si>
    <t>B/S - Debt (Long-Term Due Within One Year) (MM$)</t>
  </si>
  <si>
    <t>B/S - Short-Term Debt (Total) (MM$)</t>
  </si>
  <si>
    <t>B/S - Pref/Preference Stock Sinking Fund Requirement (MM$)</t>
  </si>
  <si>
    <t>C/F - Net Inc Bef Extra Items &amp; After MI (MM$)</t>
  </si>
  <si>
    <t>C/F - Depr. and Depl. (MM$)</t>
  </si>
  <si>
    <t>C/F - Amortization (MM$)</t>
  </si>
  <si>
    <t>C/F - Def. Inc Taxes-Net (MM$)</t>
  </si>
  <si>
    <t>C/F - Invest. Tax Credit-Net (MM$)</t>
  </si>
  <si>
    <t>C/F - Allow for Funds Used During Constr. (MM$)</t>
  </si>
  <si>
    <t>C/F - Util Plant-Gross Additions (MM$)</t>
  </si>
  <si>
    <t>C/F - Cash Div on Common Stock (MM$)</t>
  </si>
  <si>
    <t>C/F - Cash Div on Pref/Preference Stock (MM$)</t>
  </si>
  <si>
    <t>C/F - Interest Paid-Net (MM$)</t>
  </si>
  <si>
    <t>C/F - Inc Taxes Paid (MM$)</t>
  </si>
  <si>
    <t>Common Dividends (MM$)</t>
  </si>
  <si>
    <t>Common Div. Paid per Share by Ex-Date ($&amp;¢)</t>
  </si>
  <si>
    <t>Common Dividends Paid/Share by Payable Date ($&amp;¢)</t>
  </si>
  <si>
    <t>Price-High ($&amp;¢)</t>
  </si>
  <si>
    <t>Price-Low ($&amp;¢)</t>
  </si>
  <si>
    <t>Price-Close ($&amp;¢)</t>
  </si>
  <si>
    <t>Common Shares Outstanding (MM)</t>
  </si>
  <si>
    <t>Book Value per Share</t>
  </si>
  <si>
    <t>Adjustment Factor (Cumulative) by Ex-Date (RATIO)</t>
  </si>
  <si>
    <t>Adjustment Factor (Cumulative)-Payable Date (Ratio)</t>
  </si>
  <si>
    <t>C/F - Other Internal Sources-Net (MM$)</t>
  </si>
  <si>
    <t>Earnings/Share (Primary) Excl. Extra. Items ($&amp;¢)</t>
  </si>
  <si>
    <t>Per Share (or Shares) Adjusted for Splits/Stock Dividends</t>
  </si>
  <si>
    <t>Based on Permanent Capital:</t>
  </si>
  <si>
    <t>Price-Earnings Multiple</t>
  </si>
  <si>
    <t>ATMOS ENERGY CORP</t>
  </si>
  <si>
    <t>NEW JERSEY RESOURCES CORP</t>
  </si>
  <si>
    <t>SOUTH JERSEY INDUSTRIES INC</t>
  </si>
  <si>
    <t>Other Comprehensive Income</t>
  </si>
  <si>
    <t>Long-Term Debt</t>
  </si>
  <si>
    <t>Preferred Stock</t>
  </si>
  <si>
    <r>
      <t xml:space="preserve">Common Equity </t>
    </r>
    <r>
      <rPr>
        <vertAlign val="superscript"/>
        <sz val="12"/>
        <rFont val="Arial"/>
        <family val="2"/>
      </rPr>
      <t>(1)</t>
    </r>
  </si>
  <si>
    <t>Total Debt incl. Short Term</t>
  </si>
  <si>
    <r>
      <t xml:space="preserve">Rate of Return on Book Common Equity </t>
    </r>
    <r>
      <rPr>
        <vertAlign val="superscript"/>
        <sz val="12"/>
        <rFont val="Arial"/>
        <family val="2"/>
      </rPr>
      <t>(1)</t>
    </r>
  </si>
  <si>
    <r>
      <t xml:space="preserve">Operating Ratio </t>
    </r>
    <r>
      <rPr>
        <vertAlign val="superscript"/>
        <sz val="12"/>
        <rFont val="Arial"/>
        <family val="2"/>
      </rPr>
      <t>(2)</t>
    </r>
  </si>
  <si>
    <r>
      <t xml:space="preserve">Coverage incl. AFUDC </t>
    </r>
    <r>
      <rPr>
        <vertAlign val="superscript"/>
        <sz val="12"/>
        <rFont val="Arial"/>
        <family val="2"/>
      </rPr>
      <t>(3)</t>
    </r>
  </si>
  <si>
    <r>
      <t xml:space="preserve">Coverage excl. AFUDC </t>
    </r>
    <r>
      <rPr>
        <vertAlign val="superscript"/>
        <sz val="12"/>
        <rFont val="Arial"/>
        <family val="2"/>
      </rPr>
      <t>(4)</t>
    </r>
  </si>
  <si>
    <r>
      <t xml:space="preserve">Internal Cash Generation/Construction </t>
    </r>
    <r>
      <rPr>
        <vertAlign val="superscript"/>
        <sz val="12"/>
        <rFont val="Arial"/>
        <family val="2"/>
      </rPr>
      <t>(5)</t>
    </r>
  </si>
  <si>
    <r>
      <t xml:space="preserve">Gross Cash Flow/ Avg. Total Debt </t>
    </r>
    <r>
      <rPr>
        <vertAlign val="superscript"/>
        <sz val="12"/>
        <rFont val="Arial"/>
        <family val="2"/>
      </rPr>
      <t>(6)</t>
    </r>
  </si>
  <si>
    <r>
      <t xml:space="preserve">Gross Cash Flow Interest Coverage </t>
    </r>
    <r>
      <rPr>
        <vertAlign val="superscript"/>
        <sz val="12"/>
        <rFont val="Arial"/>
        <family val="2"/>
      </rPr>
      <t>(7)</t>
    </r>
  </si>
  <si>
    <r>
      <t xml:space="preserve">Common Dividend Coverage </t>
    </r>
    <r>
      <rPr>
        <vertAlign val="superscript"/>
        <sz val="12"/>
        <rFont val="Arial"/>
        <family val="2"/>
      </rPr>
      <t>(8)</t>
    </r>
  </si>
  <si>
    <r>
      <t xml:space="preserve">Common Equity </t>
    </r>
    <r>
      <rPr>
        <vertAlign val="superscript"/>
        <sz val="12"/>
        <rFont val="Arial"/>
        <family val="2"/>
      </rPr>
      <t>(2)</t>
    </r>
  </si>
  <si>
    <r>
      <t xml:space="preserve">Capitalization and Financial Statistics </t>
    </r>
    <r>
      <rPr>
        <vertAlign val="superscript"/>
        <sz val="12"/>
        <rFont val="Arial"/>
        <family val="2"/>
      </rPr>
      <t>(1)</t>
    </r>
  </si>
  <si>
    <r>
      <t xml:space="preserve">Operating Ratio </t>
    </r>
    <r>
      <rPr>
        <vertAlign val="superscript"/>
        <sz val="12"/>
        <rFont val="Arial"/>
        <family val="2"/>
      </rPr>
      <t>(3)</t>
    </r>
  </si>
  <si>
    <r>
      <t xml:space="preserve">Coverage incl. AFUDC </t>
    </r>
    <r>
      <rPr>
        <vertAlign val="superscript"/>
        <sz val="12"/>
        <rFont val="Arial"/>
        <family val="2"/>
      </rPr>
      <t>(4)</t>
    </r>
  </si>
  <si>
    <r>
      <t xml:space="preserve">Rate of Return on Book Common Equity </t>
    </r>
    <r>
      <rPr>
        <vertAlign val="superscript"/>
        <sz val="12"/>
        <rFont val="Arial"/>
        <family val="2"/>
      </rPr>
      <t>(2)</t>
    </r>
  </si>
  <si>
    <r>
      <t xml:space="preserve">Coverage excl. AFUDC </t>
    </r>
    <r>
      <rPr>
        <vertAlign val="superscript"/>
        <sz val="12"/>
        <rFont val="Arial"/>
        <family val="2"/>
      </rPr>
      <t>(3)</t>
    </r>
  </si>
  <si>
    <r>
      <t xml:space="preserve">Internal Cash Generation/Construction </t>
    </r>
    <r>
      <rPr>
        <vertAlign val="superscript"/>
        <sz val="12"/>
        <rFont val="Arial"/>
        <family val="2"/>
      </rPr>
      <t>(4)</t>
    </r>
  </si>
  <si>
    <r>
      <t xml:space="preserve">Gross Cash Flow/ Avg. Total Debt </t>
    </r>
    <r>
      <rPr>
        <vertAlign val="superscript"/>
        <sz val="12"/>
        <rFont val="Arial"/>
        <family val="2"/>
      </rPr>
      <t>(5)</t>
    </r>
  </si>
  <si>
    <r>
      <t xml:space="preserve">Gross Cash Flow Interest Coverage </t>
    </r>
    <r>
      <rPr>
        <vertAlign val="superscript"/>
        <sz val="12"/>
        <rFont val="Arial"/>
        <family val="2"/>
      </rPr>
      <t>(6)</t>
    </r>
  </si>
  <si>
    <r>
      <t xml:space="preserve">Common Dividend Coverage </t>
    </r>
    <r>
      <rPr>
        <vertAlign val="superscript"/>
        <sz val="12"/>
        <rFont val="Arial"/>
        <family val="2"/>
      </rPr>
      <t>(7)</t>
    </r>
  </si>
  <si>
    <t>Gas Group</t>
  </si>
  <si>
    <t>CHESAPEAKE UTILITIES CORP</t>
  </si>
  <si>
    <t>ONE GAS INC</t>
  </si>
  <si>
    <t>SOUTHWEST GAS HOLDINGS INC</t>
  </si>
  <si>
    <t>SPIRE INC</t>
  </si>
  <si>
    <t>NORTHWEST NATURAL HLDNG CO</t>
  </si>
  <si>
    <t>2016-2020, Inclusive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</si>
</sst>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0.0%"/>
    <numFmt numFmtId="166" formatCode="0.000"/>
    <numFmt numFmtId="167" formatCode="_(* #,##0.000_);_(* \(#,##0.000\);_(* &quot;-&quot;??_);_(@_)"/>
    <numFmt numFmtId="168" formatCode="#,##0.0_);\(#,##0.0\)"/>
  </numFmts>
  <fonts count="8" x14ac:knownFonts="1">
    <font>
      <sz val="12"/>
      <name val="Arial"/>
    </font>
    <font>
      <sz val="12"/>
      <name val="Arial"/>
    </font>
    <font>
      <u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/>
    <xf numFmtId="165" fontId="0" fillId="0" borderId="1" xfId="0" applyNumberFormat="1" applyBorder="1"/>
    <xf numFmtId="165" fontId="0" fillId="0" borderId="2" xfId="0" applyNumberFormat="1" applyBorder="1"/>
    <xf numFmtId="165" fontId="0" fillId="0" borderId="0" xfId="0" applyNumberFormat="1" applyAlignment="1"/>
    <xf numFmtId="2" fontId="0" fillId="0" borderId="0" xfId="0" applyNumberFormat="1"/>
    <xf numFmtId="165" fontId="0" fillId="0" borderId="1" xfId="0" applyNumberFormat="1" applyBorder="1" applyAlignment="1"/>
    <xf numFmtId="165" fontId="0" fillId="0" borderId="2" xfId="0" applyNumberFormat="1" applyBorder="1" applyAlignment="1"/>
    <xf numFmtId="164" fontId="1" fillId="0" borderId="0" xfId="2" applyNumberFormat="1"/>
    <xf numFmtId="164" fontId="1" fillId="0" borderId="1" xfId="2" applyNumberFormat="1" applyBorder="1"/>
    <xf numFmtId="164" fontId="1" fillId="0" borderId="2" xfId="2" applyNumberFormat="1" applyBorder="1"/>
    <xf numFmtId="165" fontId="1" fillId="0" borderId="0" xfId="3" applyNumberFormat="1"/>
    <xf numFmtId="9" fontId="1" fillId="0" borderId="0" xfId="3"/>
    <xf numFmtId="44" fontId="1" fillId="0" borderId="0" xfId="2"/>
    <xf numFmtId="167" fontId="1" fillId="0" borderId="0" xfId="1" applyNumberFormat="1"/>
    <xf numFmtId="165" fontId="0" fillId="0" borderId="0" xfId="3" applyNumberFormat="1" applyFont="1"/>
    <xf numFmtId="9" fontId="0" fillId="0" borderId="0" xfId="3" applyFont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166" fontId="5" fillId="0" borderId="0" xfId="0" applyNumberFormat="1" applyFont="1" applyAlignment="1">
      <alignment horizontal="right"/>
    </xf>
    <xf numFmtId="0" fontId="5" fillId="0" borderId="0" xfId="0" quotePrefix="1" applyFont="1" applyAlignment="1"/>
    <xf numFmtId="0" fontId="0" fillId="0" borderId="0" xfId="0" applyAlignment="1">
      <alignment horizontal="left"/>
    </xf>
    <xf numFmtId="168" fontId="0" fillId="0" borderId="0" xfId="0" applyNumberFormat="1"/>
    <xf numFmtId="2" fontId="1" fillId="0" borderId="0" xfId="1" applyNumberFormat="1"/>
    <xf numFmtId="2" fontId="1" fillId="0" borderId="0" xfId="1" applyNumberFormat="1" applyAlignment="1"/>
    <xf numFmtId="4" fontId="1" fillId="0" borderId="0" xfId="1" applyNumberFormat="1"/>
    <xf numFmtId="4" fontId="1" fillId="0" borderId="0" xfId="1" applyNumberFormat="1" applyAlignment="1"/>
    <xf numFmtId="1" fontId="1" fillId="0" borderId="0" xfId="3" applyNumberFormat="1"/>
    <xf numFmtId="1" fontId="0" fillId="0" borderId="0" xfId="0" applyNumberFormat="1" applyAlignment="1"/>
    <xf numFmtId="3" fontId="0" fillId="0" borderId="0" xfId="0" applyNumberFormat="1"/>
    <xf numFmtId="3" fontId="0" fillId="0" borderId="0" xfId="0" applyNumberFormat="1" applyAlignment="1"/>
    <xf numFmtId="0" fontId="0" fillId="0" borderId="0" xfId="0" applyAlignment="1">
      <alignment horizontal="left" indent="1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/>
    </xf>
    <xf numFmtId="164" fontId="0" fillId="0" borderId="0" xfId="2" applyNumberFormat="1" applyFont="1"/>
    <xf numFmtId="166" fontId="0" fillId="0" borderId="0" xfId="0" applyNumberFormat="1"/>
    <xf numFmtId="166" fontId="5" fillId="0" borderId="0" xfId="0" applyNumberFormat="1" applyFont="1"/>
    <xf numFmtId="0" fontId="3" fillId="0" borderId="0" xfId="0" quotePrefix="1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7"/>
  <dimension ref="A1:O52"/>
  <sheetViews>
    <sheetView tabSelected="1" zoomScale="85" zoomScaleNormal="85" zoomScalePageLayoutView="75" workbookViewId="0">
      <selection sqref="A1:O1"/>
    </sheetView>
  </sheetViews>
  <sheetFormatPr defaultRowHeight="15" x14ac:dyDescent="0.4"/>
  <cols>
    <col min="1" max="1" width="2.6640625" customWidth="1"/>
    <col min="2" max="2" width="24.71875" customWidth="1"/>
    <col min="3" max="3" width="9.5546875" customWidth="1"/>
    <col min="4" max="4" width="10.21875" customWidth="1"/>
    <col min="5" max="5" width="3.71875" customWidth="1"/>
    <col min="6" max="6" width="10.21875" customWidth="1"/>
    <col min="7" max="7" width="3.71875" customWidth="1"/>
    <col min="8" max="8" width="10.21875" customWidth="1"/>
    <col min="9" max="9" width="3.71875" customWidth="1"/>
    <col min="10" max="10" width="10.21875" customWidth="1"/>
    <col min="11" max="11" width="3.71875" customWidth="1"/>
    <col min="12" max="12" width="10.21875" customWidth="1"/>
    <col min="13" max="13" width="3.71875" customWidth="1"/>
    <col min="14" max="14" width="8.71875" customWidth="1"/>
    <col min="15" max="15" width="2.71875" customWidth="1"/>
  </cols>
  <sheetData>
    <row r="1" spans="1:15" x14ac:dyDescent="0.4">
      <c r="A1" s="41" t="s">
        <v>100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7.25" x14ac:dyDescent="0.4">
      <c r="A2" s="43" t="s">
        <v>91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x14ac:dyDescent="0.4">
      <c r="A3" s="41" t="s">
        <v>106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5" spans="1:15" s="1" customFormat="1" x14ac:dyDescent="0.4">
      <c r="D5" s="2">
        <f>Spire!D5</f>
        <v>2020</v>
      </c>
      <c r="E5" s="23"/>
      <c r="F5" s="2">
        <f>Spire!F5</f>
        <v>2019</v>
      </c>
      <c r="H5" s="2">
        <f>Spire!H5</f>
        <v>2018</v>
      </c>
      <c r="J5" s="2">
        <f>Spire!J5</f>
        <v>2017</v>
      </c>
      <c r="L5" s="2">
        <f>Spire!L5</f>
        <v>2016</v>
      </c>
    </row>
    <row r="6" spans="1:15" s="1" customFormat="1" x14ac:dyDescent="0.4">
      <c r="D6" s="40" t="s">
        <v>18</v>
      </c>
      <c r="E6" s="40"/>
      <c r="F6" s="40"/>
      <c r="G6" s="40"/>
      <c r="H6" s="40"/>
      <c r="I6" s="40"/>
      <c r="J6" s="40"/>
      <c r="K6" s="40"/>
      <c r="L6" s="40"/>
    </row>
    <row r="7" spans="1:15" x14ac:dyDescent="0.4">
      <c r="A7" t="s">
        <v>1</v>
      </c>
    </row>
    <row r="8" spans="1:15" x14ac:dyDescent="0.4">
      <c r="B8" t="s">
        <v>6</v>
      </c>
      <c r="D8" s="10">
        <f>ROUND(AVERAGE(Atmos:Spire!D8),1)</f>
        <v>4726.1000000000004</v>
      </c>
      <c r="F8" s="10">
        <f>ROUND(AVERAGE(Atmos:Spire!F8),1)</f>
        <v>4072</v>
      </c>
      <c r="H8" s="10">
        <f>ROUND(AVERAGE(Atmos:Spire!H8),1)</f>
        <v>3667.8</v>
      </c>
      <c r="J8" s="10">
        <f>ROUND(AVERAGE(Atmos:Spire!J8),1)</f>
        <v>3130.5</v>
      </c>
      <c r="L8" s="10">
        <f>ROUND(AVERAGE(Atmos:Spire!L8),1)</f>
        <v>2900.4</v>
      </c>
    </row>
    <row r="9" spans="1:15" x14ac:dyDescent="0.4">
      <c r="B9" t="s">
        <v>5</v>
      </c>
      <c r="D9" s="10">
        <f>ROUND(AVERAGE(Atmos:Spire!D9),1)</f>
        <v>296.89999999999998</v>
      </c>
      <c r="F9" s="10">
        <f>ROUND(AVERAGE(Atmos:Spire!F9),1)</f>
        <v>400.8</v>
      </c>
      <c r="H9" s="10">
        <f>ROUND(AVERAGE(Atmos:Spire!H9),1)</f>
        <v>314.39999999999998</v>
      </c>
      <c r="J9" s="10">
        <f>ROUND(AVERAGE(Atmos:Spire!J9),1)</f>
        <v>301.8</v>
      </c>
      <c r="L9" s="10">
        <f>ROUND(AVERAGE(Atmos:Spire!L9),1)</f>
        <v>256.8</v>
      </c>
    </row>
    <row r="10" spans="1:15" ht="15.4" thickBot="1" x14ac:dyDescent="0.45">
      <c r="B10" t="s">
        <v>7</v>
      </c>
      <c r="D10" s="12">
        <f>D8+D9</f>
        <v>5023</v>
      </c>
      <c r="F10" s="12">
        <f>F8+F9</f>
        <v>4472.8</v>
      </c>
      <c r="H10" s="12">
        <f>H8+H9</f>
        <v>3982.2000000000003</v>
      </c>
      <c r="J10" s="12">
        <f>J8+J9</f>
        <v>3432.3</v>
      </c>
      <c r="L10" s="12">
        <f>L8+L9</f>
        <v>3157.2000000000003</v>
      </c>
    </row>
    <row r="11" spans="1:15" ht="15.4" thickTop="1" x14ac:dyDescent="0.4"/>
    <row r="12" spans="1:15" x14ac:dyDescent="0.4">
      <c r="A12" t="s">
        <v>8</v>
      </c>
      <c r="N12" s="2" t="s">
        <v>19</v>
      </c>
    </row>
    <row r="13" spans="1:15" x14ac:dyDescent="0.4">
      <c r="B13" s="24" t="s">
        <v>73</v>
      </c>
      <c r="D13" s="30">
        <f>ROUND(AVERAGE(Atmos:Spire!D13),0)</f>
        <v>23</v>
      </c>
      <c r="E13" s="25" t="s">
        <v>3</v>
      </c>
      <c r="F13" s="30">
        <f>ROUND(AVERAGE(Atmos:Spire!F13),0)</f>
        <v>26</v>
      </c>
      <c r="G13" s="25" t="s">
        <v>3</v>
      </c>
      <c r="H13" s="30">
        <f>ROUND(AVERAGE(Atmos:Spire!H13),0)</f>
        <v>20</v>
      </c>
      <c r="I13" s="25" t="s">
        <v>3</v>
      </c>
      <c r="J13" s="30">
        <f>ROUND(AVERAGE(Atmos:Spire!J13),0)</f>
        <v>22</v>
      </c>
      <c r="K13" s="25" t="s">
        <v>3</v>
      </c>
      <c r="L13" s="30">
        <f>ROUND(AVERAGE(Atmos:Spire!L13),0)</f>
        <v>22</v>
      </c>
      <c r="M13" s="25" t="s">
        <v>3</v>
      </c>
      <c r="N13" s="31">
        <f>AVERAGE(D13,F13,H13,J13,L13)</f>
        <v>22.6</v>
      </c>
      <c r="O13" s="25" t="s">
        <v>3</v>
      </c>
    </row>
    <row r="14" spans="1:15" x14ac:dyDescent="0.4">
      <c r="B14" t="s">
        <v>20</v>
      </c>
      <c r="D14" s="13">
        <f>ROUND(AVERAGE(Atmos:Spire!D14),3)</f>
        <v>1.8460000000000001</v>
      </c>
      <c r="E14" s="3"/>
      <c r="F14" s="13">
        <f>ROUND(AVERAGE(Atmos:Spire!F14),3)</f>
        <v>2.2410000000000001</v>
      </c>
      <c r="G14" s="3"/>
      <c r="H14" s="13">
        <f>ROUND(AVERAGE(Atmos:Spire!H14),3)</f>
        <v>2.2040000000000002</v>
      </c>
      <c r="I14" s="3"/>
      <c r="J14" s="13">
        <f>ROUND(AVERAGE(Atmos:Spire!J14),3)</f>
        <v>2.2789999999999999</v>
      </c>
      <c r="K14" s="3"/>
      <c r="L14" s="13">
        <f>ROUND(AVERAGE(Atmos:Spire!L14),3)</f>
        <v>2.0379999999999998</v>
      </c>
      <c r="M14" s="3"/>
      <c r="N14" s="6">
        <f>AVERAGE(D14,F14,H14,J14,L14)</f>
        <v>2.1215999999999999</v>
      </c>
    </row>
    <row r="15" spans="1:15" x14ac:dyDescent="0.4">
      <c r="B15" t="s">
        <v>9</v>
      </c>
      <c r="D15" s="13">
        <f>ROUND(AVERAGE(Atmos:Spire!D15),3)</f>
        <v>3.2000000000000001E-2</v>
      </c>
      <c r="E15" s="3"/>
      <c r="F15" s="13">
        <f>ROUND(AVERAGE(Atmos:Spire!F15),3)</f>
        <v>2.5999999999999999E-2</v>
      </c>
      <c r="G15" s="3"/>
      <c r="H15" s="13">
        <f>ROUND(AVERAGE(Atmos:Spire!H15),3)</f>
        <v>2.7E-2</v>
      </c>
      <c r="I15" s="3"/>
      <c r="J15" s="13">
        <f>ROUND(AVERAGE(Atmos:Spire!J15),3)</f>
        <v>2.5999999999999999E-2</v>
      </c>
      <c r="K15" s="3"/>
      <c r="L15" s="13">
        <f>ROUND(AVERAGE(Atmos:Spire!L15),3)</f>
        <v>2.8000000000000001E-2</v>
      </c>
      <c r="M15" s="3"/>
      <c r="N15" s="6">
        <f>AVERAGE(D15,F15,H15,J15,L15)</f>
        <v>2.7799999999999998E-2</v>
      </c>
    </row>
    <row r="16" spans="1:15" x14ac:dyDescent="0.4">
      <c r="B16" t="s">
        <v>10</v>
      </c>
      <c r="D16" s="13">
        <f>ROUND(AVERAGE(Atmos:Spire!D16),3)</f>
        <v>0.745</v>
      </c>
      <c r="E16" s="3"/>
      <c r="F16" s="13">
        <f>ROUND(AVERAGE(Atmos:Spire!F16),3)</f>
        <v>0.69599999999999995</v>
      </c>
      <c r="G16" s="3"/>
      <c r="H16" s="13">
        <f>ROUND(AVERAGE(Atmos:Spire!H16),3)</f>
        <v>0.52400000000000002</v>
      </c>
      <c r="I16" s="3"/>
      <c r="J16" s="13">
        <f>ROUND(AVERAGE(Atmos:Spire!J16),3)</f>
        <v>0.53300000000000003</v>
      </c>
      <c r="K16" s="3"/>
      <c r="L16" s="13">
        <f>ROUND(AVERAGE(Atmos:Spire!L16),3)</f>
        <v>0.60399999999999998</v>
      </c>
      <c r="M16" s="3"/>
      <c r="N16" s="6">
        <f>AVERAGE(D16,F16,H16,J16,L16)</f>
        <v>0.62039999999999995</v>
      </c>
    </row>
    <row r="18" spans="1:14" x14ac:dyDescent="0.4">
      <c r="A18" t="s">
        <v>2</v>
      </c>
    </row>
    <row r="19" spans="1:14" x14ac:dyDescent="0.4">
      <c r="B19" t="s">
        <v>72</v>
      </c>
    </row>
    <row r="20" spans="1:14" x14ac:dyDescent="0.4">
      <c r="B20" s="34" t="s">
        <v>78</v>
      </c>
      <c r="D20" s="13">
        <f>ROUND(AVERAGE(Atmos:Spire!D20),4)</f>
        <v>0.48909999999999998</v>
      </c>
      <c r="E20" s="3"/>
      <c r="F20" s="13">
        <f>ROUND(AVERAGE(Atmos:Spire!F20),4)</f>
        <v>0.47239999999999999</v>
      </c>
      <c r="G20" s="3"/>
      <c r="H20" s="13">
        <f>ROUND(AVERAGE(Atmos:Spire!H20),4)</f>
        <v>0.4703</v>
      </c>
      <c r="I20" s="3"/>
      <c r="J20" s="13">
        <f>ROUND(AVERAGE(Atmos:Spire!J20),4)</f>
        <v>0.4501</v>
      </c>
      <c r="K20" s="3"/>
      <c r="L20" s="13">
        <f>ROUND(AVERAGE(Atmos:Spire!L20),4)</f>
        <v>0.4299</v>
      </c>
      <c r="M20" s="3"/>
      <c r="N20" s="6">
        <f>AVERAGE(D20,F20,H20,J20,L20)</f>
        <v>0.46235999999999999</v>
      </c>
    </row>
    <row r="21" spans="1:14" x14ac:dyDescent="0.4">
      <c r="B21" s="34" t="s">
        <v>79</v>
      </c>
      <c r="D21" s="13">
        <f>ROUND(AVERAGE(Atmos:Spire!D21),4)</f>
        <v>9.9000000000000008E-3</v>
      </c>
      <c r="E21" s="3"/>
      <c r="F21" s="13">
        <f>ROUND(AVERAGE(Atmos:Spire!F21),4)</f>
        <v>8.6E-3</v>
      </c>
      <c r="G21" s="3"/>
      <c r="H21" s="13">
        <f>ROUND(AVERAGE(Atmos:Spire!H21),4)</f>
        <v>2.5000000000000001E-3</v>
      </c>
      <c r="I21" s="3"/>
      <c r="J21" s="13">
        <f>ROUND(AVERAGE(Atmos:Spire!J21),4)</f>
        <v>-1E-4</v>
      </c>
      <c r="K21" s="3"/>
      <c r="L21" s="13">
        <f>ROUND(AVERAGE(Atmos:Spire!L21),4)</f>
        <v>8.0000000000000004E-4</v>
      </c>
      <c r="M21" s="3"/>
      <c r="N21" s="6">
        <f>AVERAGE(D21,F21,H21,J21,L21)</f>
        <v>4.3400000000000001E-3</v>
      </c>
    </row>
    <row r="22" spans="1:14" ht="17.25" x14ac:dyDescent="0.4">
      <c r="B22" s="35" t="s">
        <v>90</v>
      </c>
      <c r="D22" s="13">
        <f>ROUND(AVERAGE(Atmos:Spire!D22),4)</f>
        <v>0.501</v>
      </c>
      <c r="E22" s="3"/>
      <c r="F22" s="13">
        <f>ROUND(AVERAGE(Atmos:Spire!F22),4)</f>
        <v>0.51900000000000002</v>
      </c>
      <c r="G22" s="3"/>
      <c r="H22" s="13">
        <f>ROUND(AVERAGE(Atmos:Spire!H22),4)</f>
        <v>0.52729999999999999</v>
      </c>
      <c r="I22" s="3"/>
      <c r="J22" s="13">
        <f>ROUND(AVERAGE(Atmos:Spire!J22),4)</f>
        <v>0.55000000000000004</v>
      </c>
      <c r="K22" s="3"/>
      <c r="L22" s="13">
        <f>ROUND(AVERAGE(Atmos:Spire!L22),4)</f>
        <v>0.56940000000000002</v>
      </c>
      <c r="M22" s="3"/>
      <c r="N22" s="8">
        <f>AVERAGE(D22,F22,H22,J22,L22)</f>
        <v>0.53333999999999993</v>
      </c>
    </row>
    <row r="23" spans="1:14" ht="15.4" thickBot="1" x14ac:dyDescent="0.45">
      <c r="D23" s="5">
        <f>SUM(D20:D22)</f>
        <v>1</v>
      </c>
      <c r="E23" s="3"/>
      <c r="F23" s="5">
        <f>SUM(F20:F22)</f>
        <v>1</v>
      </c>
      <c r="G23" s="3"/>
      <c r="H23" s="5">
        <f>SUM(H20:H22)</f>
        <v>1.0001</v>
      </c>
      <c r="I23" s="3"/>
      <c r="J23" s="5">
        <f>SUM(J20:J22)</f>
        <v>1</v>
      </c>
      <c r="K23" s="3"/>
      <c r="L23" s="5">
        <f>SUM(L20:L22)</f>
        <v>1.0001</v>
      </c>
      <c r="M23" s="3"/>
      <c r="N23" s="9">
        <f>AVERAGE(D23,F23,H23,J23,L23)</f>
        <v>1.0000399999999998</v>
      </c>
    </row>
    <row r="24" spans="1:14" ht="15.4" thickTop="1" x14ac:dyDescent="0.4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4">
      <c r="B25" s="34" t="s">
        <v>81</v>
      </c>
      <c r="D25" s="13">
        <f>ROUND(AVERAGE(Atmos:Spire!D25),4)</f>
        <v>0.52929999999999999</v>
      </c>
      <c r="E25" s="3"/>
      <c r="F25" s="13">
        <f>ROUND(AVERAGE(Atmos:Spire!F25),4)</f>
        <v>0.52439999999999998</v>
      </c>
      <c r="G25" s="3"/>
      <c r="H25" s="13">
        <f>ROUND(AVERAGE(Atmos:Spire!H25),4)</f>
        <v>0.52480000000000004</v>
      </c>
      <c r="I25" s="3"/>
      <c r="J25" s="13">
        <f>ROUND(AVERAGE(Atmos:Spire!J25),4)</f>
        <v>0.51180000000000003</v>
      </c>
      <c r="K25" s="3"/>
      <c r="L25" s="13">
        <f>ROUND(AVERAGE(Atmos:Spire!L25),4)</f>
        <v>0.4854</v>
      </c>
      <c r="M25" s="3"/>
      <c r="N25" s="6">
        <f>AVERAGE(D25,F25,H25,J25,L25)</f>
        <v>0.51513999999999993</v>
      </c>
    </row>
    <row r="26" spans="1:14" x14ac:dyDescent="0.4">
      <c r="B26" s="34" t="s">
        <v>79</v>
      </c>
      <c r="D26" s="13">
        <f>ROUND(AVERAGE(Atmos:Spire!D26),4)</f>
        <v>9.1000000000000004E-3</v>
      </c>
      <c r="E26" s="3"/>
      <c r="F26" s="13">
        <f>ROUND(AVERAGE(Atmos:Spire!F26),4)</f>
        <v>7.6E-3</v>
      </c>
      <c r="G26" s="3"/>
      <c r="H26" s="13">
        <f>ROUND(AVERAGE(Atmos:Spire!H26),4)</f>
        <v>2.3999999999999998E-3</v>
      </c>
      <c r="I26" s="3"/>
      <c r="J26" s="13">
        <f>ROUND(AVERAGE(Atmos:Spire!J26),4)</f>
        <v>-1E-4</v>
      </c>
      <c r="K26" s="3"/>
      <c r="L26" s="13">
        <f>ROUND(AVERAGE(Atmos:Spire!L26),4)</f>
        <v>8.0000000000000004E-4</v>
      </c>
      <c r="M26" s="3"/>
      <c r="N26" s="6">
        <f>AVERAGE(D26,F26,H26,J26,L26)</f>
        <v>3.96E-3</v>
      </c>
    </row>
    <row r="27" spans="1:14" ht="17.25" x14ac:dyDescent="0.4">
      <c r="B27" s="35" t="s">
        <v>90</v>
      </c>
      <c r="D27" s="13">
        <f>ROUND(AVERAGE(Atmos:Spire!D27),4)</f>
        <v>0.46150000000000002</v>
      </c>
      <c r="E27" s="3"/>
      <c r="F27" s="13">
        <f>ROUND(AVERAGE(Atmos:Spire!F27),4)</f>
        <v>0.46800000000000003</v>
      </c>
      <c r="G27" s="3"/>
      <c r="H27" s="13">
        <f>ROUND(AVERAGE(Atmos:Spire!H27),4)</f>
        <v>0.47289999999999999</v>
      </c>
      <c r="I27" s="3"/>
      <c r="J27" s="13">
        <f>ROUND(AVERAGE(Atmos:Spire!J27),4)</f>
        <v>0.4884</v>
      </c>
      <c r="K27" s="3"/>
      <c r="L27" s="13">
        <f>ROUND(AVERAGE(Atmos:Spire!L27),4)</f>
        <v>0.51390000000000002</v>
      </c>
      <c r="M27" s="3"/>
      <c r="N27" s="8">
        <f>AVERAGE(D27,F27,H27,J27,L27)</f>
        <v>0.48094000000000003</v>
      </c>
    </row>
    <row r="28" spans="1:14" ht="15.4" thickBot="1" x14ac:dyDescent="0.45">
      <c r="D28" s="5">
        <f>SUM(D25:D27)</f>
        <v>0.99990000000000001</v>
      </c>
      <c r="E28" s="3"/>
      <c r="F28" s="5">
        <f>SUM(F25:F27)</f>
        <v>1</v>
      </c>
      <c r="G28" s="3"/>
      <c r="H28" s="5">
        <f>SUM(H25:H27)</f>
        <v>1.0001</v>
      </c>
      <c r="I28" s="3"/>
      <c r="J28" s="5">
        <f>SUM(J25:J27)</f>
        <v>1.0001</v>
      </c>
      <c r="K28" s="3"/>
      <c r="L28" s="5">
        <f>SUM(L25:L27)</f>
        <v>1.0001</v>
      </c>
      <c r="M28" s="3"/>
      <c r="N28" s="9">
        <f>AVERAGE(D28,F28,H28,J28,L28)</f>
        <v>1.0000399999999998</v>
      </c>
    </row>
    <row r="29" spans="1:14" ht="15.4" thickTop="1" x14ac:dyDescent="0.4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7.25" x14ac:dyDescent="0.4">
      <c r="A30" s="36" t="s">
        <v>94</v>
      </c>
      <c r="D30" s="13">
        <f>ROUND(AVERAGE(Atmos:Spire!D30),3)</f>
        <v>8.7999999999999995E-2</v>
      </c>
      <c r="E30" s="3"/>
      <c r="F30" s="13">
        <f>ROUND(AVERAGE(Atmos:Spire!F30),3)</f>
        <v>0.09</v>
      </c>
      <c r="G30" s="3"/>
      <c r="H30" s="13">
        <f>ROUND(AVERAGE(Atmos:Spire!H30),3)</f>
        <v>0.1</v>
      </c>
      <c r="I30" s="3"/>
      <c r="J30" s="13">
        <f>ROUND(AVERAGE(Atmos:Spire!J30),3)</f>
        <v>8.6999999999999994E-2</v>
      </c>
      <c r="K30" s="3"/>
      <c r="L30" s="13">
        <f>ROUND(AVERAGE(Atmos:Spire!L30),3)</f>
        <v>9.4E-2</v>
      </c>
      <c r="M30" s="3"/>
      <c r="N30" s="6">
        <f>ROUND(AVERAGE(D30,F30,H30,J30,L30),3)</f>
        <v>9.1999999999999998E-2</v>
      </c>
    </row>
    <row r="31" spans="1:14" x14ac:dyDescent="0.4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 x14ac:dyDescent="0.4">
      <c r="A32" s="36" t="s">
        <v>92</v>
      </c>
      <c r="D32" s="13">
        <f>ROUND(AVERAGE(Atmos:Spire!D32),3)</f>
        <v>0.81899999999999995</v>
      </c>
      <c r="E32" s="3"/>
      <c r="F32" s="13">
        <f>ROUND(AVERAGE(Atmos:Spire!F32),3)</f>
        <v>0.83699999999999997</v>
      </c>
      <c r="G32" s="3"/>
      <c r="H32" s="13">
        <f>ROUND(AVERAGE(Atmos:Spire!H32),3)</f>
        <v>0.85</v>
      </c>
      <c r="I32" s="3"/>
      <c r="J32" s="13">
        <f>ROUND(AVERAGE(Atmos:Spire!J32),3)</f>
        <v>0.84499999999999997</v>
      </c>
      <c r="K32" s="3"/>
      <c r="L32" s="13">
        <f>ROUND(AVERAGE(Atmos:Spire!L32),3)</f>
        <v>0.83299999999999996</v>
      </c>
      <c r="M32" s="3"/>
      <c r="N32" s="6">
        <f>AVERAGE(D32,F32,H32,J32,L32)</f>
        <v>0.83679999999999999</v>
      </c>
    </row>
    <row r="34" spans="1:15" ht="17.25" x14ac:dyDescent="0.4">
      <c r="A34" s="36" t="s">
        <v>93</v>
      </c>
    </row>
    <row r="35" spans="1:15" x14ac:dyDescent="0.4">
      <c r="B35" t="s">
        <v>13</v>
      </c>
      <c r="D35" s="26">
        <f>ROUND(AVERAGE(Atmos:Spire!D35),2)</f>
        <v>4.38</v>
      </c>
      <c r="E35" s="7" t="s">
        <v>3</v>
      </c>
      <c r="F35" s="26">
        <f>ROUND(AVERAGE(Atmos:Spire!F35),2)</f>
        <v>3.99</v>
      </c>
      <c r="G35" s="7" t="s">
        <v>3</v>
      </c>
      <c r="H35" s="26">
        <f>ROUND(AVERAGE(Atmos:Spire!H35),2)</f>
        <v>4.0599999999999996</v>
      </c>
      <c r="I35" s="7" t="s">
        <v>3</v>
      </c>
      <c r="J35" s="26">
        <f>ROUND(AVERAGE(Atmos:Spire!J35),2)</f>
        <v>4.51</v>
      </c>
      <c r="K35" s="7" t="s">
        <v>3</v>
      </c>
      <c r="L35" s="26">
        <f>ROUND(AVERAGE(Atmos:Spire!L35),2)</f>
        <v>5.19</v>
      </c>
      <c r="M35" s="7" t="s">
        <v>3</v>
      </c>
      <c r="N35" s="27">
        <f>AVERAGE(D35,F35,H35,J35,L35)</f>
        <v>4.4260000000000002</v>
      </c>
      <c r="O35" t="s">
        <v>3</v>
      </c>
    </row>
    <row r="36" spans="1:15" x14ac:dyDescent="0.4">
      <c r="B36" t="s">
        <v>21</v>
      </c>
      <c r="D36" s="26">
        <f>ROUND(AVERAGE(Atmos:Spire!D36),2)</f>
        <v>3.78</v>
      </c>
      <c r="E36" s="7" t="s">
        <v>3</v>
      </c>
      <c r="F36" s="26">
        <f>ROUND(AVERAGE(Atmos:Spire!F36),2)</f>
        <v>3.55</v>
      </c>
      <c r="G36" s="7" t="s">
        <v>3</v>
      </c>
      <c r="H36" s="26">
        <f>ROUND(AVERAGE(Atmos:Spire!H36),2)</f>
        <v>3.8</v>
      </c>
      <c r="I36" s="7" t="s">
        <v>3</v>
      </c>
      <c r="J36" s="26">
        <f>ROUND(AVERAGE(Atmos:Spire!J36),2)</f>
        <v>3.58</v>
      </c>
      <c r="K36" s="7" t="s">
        <v>3</v>
      </c>
      <c r="L36" s="26">
        <f>ROUND(AVERAGE(Atmos:Spire!L36),2)</f>
        <v>3.79</v>
      </c>
      <c r="M36" s="7" t="s">
        <v>3</v>
      </c>
      <c r="N36" s="27">
        <f>AVERAGE(D36,F36,H36,J36,L36)</f>
        <v>3.7</v>
      </c>
      <c r="O36" t="s">
        <v>3</v>
      </c>
    </row>
    <row r="37" spans="1:15" x14ac:dyDescent="0.4">
      <c r="B37" t="s">
        <v>14</v>
      </c>
      <c r="D37" s="26">
        <f>ROUND(AVERAGE(Atmos:Spire!D37),2)</f>
        <v>3.75</v>
      </c>
      <c r="E37" s="7" t="s">
        <v>3</v>
      </c>
      <c r="F37" s="26">
        <f>ROUND(AVERAGE(Atmos:Spire!F37),2)</f>
        <v>3.53</v>
      </c>
      <c r="G37" s="7" t="s">
        <v>3</v>
      </c>
      <c r="H37" s="26">
        <f>ROUND(AVERAGE(Atmos:Spire!H37),2)</f>
        <v>3.8</v>
      </c>
      <c r="I37" s="7" t="s">
        <v>3</v>
      </c>
      <c r="J37" s="26">
        <f>ROUND(AVERAGE(Atmos:Spire!J37),2)</f>
        <v>3.58</v>
      </c>
      <c r="K37" s="7" t="s">
        <v>3</v>
      </c>
      <c r="L37" s="26">
        <f>ROUND(AVERAGE(Atmos:Spire!L37),2)</f>
        <v>3.79</v>
      </c>
      <c r="M37" s="7" t="s">
        <v>3</v>
      </c>
      <c r="N37" s="27">
        <f>AVERAGE(D37,F37,H37,J37,L37)</f>
        <v>3.69</v>
      </c>
      <c r="O37" t="s">
        <v>3</v>
      </c>
    </row>
    <row r="38" spans="1:1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7.25" x14ac:dyDescent="0.4">
      <c r="A39" s="36" t="s">
        <v>85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x14ac:dyDescent="0.4">
      <c r="B40" t="s">
        <v>13</v>
      </c>
      <c r="D40" s="26">
        <f>ROUND(AVERAGE(Atmos:Spire!D40),2)</f>
        <v>4.2699999999999996</v>
      </c>
      <c r="E40" s="7" t="s">
        <v>3</v>
      </c>
      <c r="F40" s="26">
        <f>ROUND(AVERAGE(Atmos:Spire!F40),2)</f>
        <v>3.92</v>
      </c>
      <c r="G40" s="7" t="s">
        <v>3</v>
      </c>
      <c r="H40" s="26">
        <f>ROUND(AVERAGE(Atmos:Spire!H40),2)</f>
        <v>4.01</v>
      </c>
      <c r="I40" s="7" t="s">
        <v>3</v>
      </c>
      <c r="J40" s="26">
        <f>ROUND(AVERAGE(Atmos:Spire!J40),2)</f>
        <v>4.4800000000000004</v>
      </c>
      <c r="K40" s="7" t="s">
        <v>3</v>
      </c>
      <c r="L40" s="26">
        <f>ROUND(AVERAGE(Atmos:Spire!L40),2)</f>
        <v>5.12</v>
      </c>
      <c r="M40" s="7" t="s">
        <v>3</v>
      </c>
      <c r="N40" s="27">
        <f>AVERAGE(D40,F40,H40,J40,L40)</f>
        <v>4.3600000000000003</v>
      </c>
      <c r="O40" t="s">
        <v>3</v>
      </c>
    </row>
    <row r="41" spans="1:15" x14ac:dyDescent="0.4">
      <c r="B41" t="s">
        <v>21</v>
      </c>
      <c r="D41" s="26">
        <f>ROUND(AVERAGE(Atmos:Spire!D41),2)</f>
        <v>3.67</v>
      </c>
      <c r="E41" s="7" t="s">
        <v>3</v>
      </c>
      <c r="F41" s="26">
        <f>ROUND(AVERAGE(Atmos:Spire!F41),2)</f>
        <v>3.48</v>
      </c>
      <c r="G41" s="7" t="s">
        <v>3</v>
      </c>
      <c r="H41" s="26">
        <f>ROUND(AVERAGE(Atmos:Spire!H41),2)</f>
        <v>3.75</v>
      </c>
      <c r="I41" s="7" t="s">
        <v>3</v>
      </c>
      <c r="J41" s="26">
        <f>ROUND(AVERAGE(Atmos:Spire!J41),2)</f>
        <v>3.55</v>
      </c>
      <c r="K41" s="7" t="s">
        <v>3</v>
      </c>
      <c r="L41" s="26">
        <f>ROUND(AVERAGE(Atmos:Spire!L41),2)</f>
        <v>3.72</v>
      </c>
      <c r="M41" s="7" t="s">
        <v>3</v>
      </c>
      <c r="N41" s="27">
        <f>AVERAGE(D41,F41,H41,J41,L41)</f>
        <v>3.6339999999999995</v>
      </c>
      <c r="O41" t="s">
        <v>3</v>
      </c>
    </row>
    <row r="42" spans="1:15" x14ac:dyDescent="0.4">
      <c r="B42" t="s">
        <v>14</v>
      </c>
      <c r="D42" s="26">
        <f>ROUND(AVERAGE(Atmos:Spire!D42),2)</f>
        <v>3.64</v>
      </c>
      <c r="E42" s="7" t="s">
        <v>3</v>
      </c>
      <c r="F42" s="26">
        <f>ROUND(AVERAGE(Atmos:Spire!F42),2)</f>
        <v>3.46</v>
      </c>
      <c r="G42" s="7" t="s">
        <v>3</v>
      </c>
      <c r="H42" s="26">
        <f>ROUND(AVERAGE(Atmos:Spire!H42),2)</f>
        <v>3.75</v>
      </c>
      <c r="I42" s="7" t="s">
        <v>3</v>
      </c>
      <c r="J42" s="26">
        <f>ROUND(AVERAGE(Atmos:Spire!J42),2)</f>
        <v>3.55</v>
      </c>
      <c r="K42" s="7" t="s">
        <v>3</v>
      </c>
      <c r="L42" s="26">
        <f>ROUND(AVERAGE(Atmos:Spire!L42),2)</f>
        <v>3.72</v>
      </c>
      <c r="M42" s="7" t="s">
        <v>3</v>
      </c>
      <c r="N42" s="27">
        <f>AVERAGE(D42,F42,H42,J42,L42)</f>
        <v>3.6239999999999997</v>
      </c>
      <c r="O42" t="s">
        <v>3</v>
      </c>
    </row>
    <row r="44" spans="1:15" x14ac:dyDescent="0.4">
      <c r="A44" t="s">
        <v>15</v>
      </c>
    </row>
    <row r="45" spans="1:15" x14ac:dyDescent="0.4">
      <c r="B45" t="s">
        <v>16</v>
      </c>
      <c r="D45" s="13">
        <f>ROUND(AVERAGE(Atmos:Spire!D45),3)</f>
        <v>3.3000000000000002E-2</v>
      </c>
      <c r="E45" s="13"/>
      <c r="F45" s="13">
        <f>ROUND(AVERAGE(Atmos:Spire!F45),3)</f>
        <v>2.8000000000000001E-2</v>
      </c>
      <c r="G45" s="13"/>
      <c r="H45" s="13">
        <f>ROUND(AVERAGE(Atmos:Spire!H45),3)</f>
        <v>3.2000000000000001E-2</v>
      </c>
      <c r="I45" s="13"/>
      <c r="J45" s="13">
        <f>ROUND(AVERAGE(Atmos:Spire!J45),3)</f>
        <v>-7.6999999999999999E-2</v>
      </c>
      <c r="K45" s="13"/>
      <c r="L45" s="13">
        <f>ROUND(AVERAGE(Atmos:Spire!L45),3)</f>
        <v>0.02</v>
      </c>
      <c r="M45" s="3"/>
      <c r="N45" s="6">
        <f t="shared" ref="N45:N50" si="0">AVERAGE(D45,F45,H45,J45,L45)</f>
        <v>7.2000000000000007E-3</v>
      </c>
    </row>
    <row r="46" spans="1:15" x14ac:dyDescent="0.4">
      <c r="B46" t="s">
        <v>17</v>
      </c>
      <c r="D46" s="13">
        <f>ROUND(AVERAGE(Atmos:Spire!D46),3)</f>
        <v>0.161</v>
      </c>
      <c r="E46" s="14"/>
      <c r="F46" s="13">
        <f>ROUND(AVERAGE(Atmos:Spire!F46),3)</f>
        <v>0.13800000000000001</v>
      </c>
      <c r="G46" s="14"/>
      <c r="H46" s="13">
        <f>ROUND(AVERAGE(Atmos:Spire!H46),3)</f>
        <v>7.8E-2</v>
      </c>
      <c r="I46" s="14"/>
      <c r="J46" s="13">
        <f>ROUND(AVERAGE(Atmos:Spire!J46),3)</f>
        <v>0.35799999999999998</v>
      </c>
      <c r="K46" s="14"/>
      <c r="L46" s="13">
        <f>ROUND(AVERAGE(Atmos:Spire!L46),3)</f>
        <v>0.33400000000000002</v>
      </c>
      <c r="N46" s="6">
        <f t="shared" si="0"/>
        <v>0.21380000000000005</v>
      </c>
    </row>
    <row r="47" spans="1:15" ht="17.25" x14ac:dyDescent="0.4">
      <c r="B47" s="36" t="s">
        <v>86</v>
      </c>
      <c r="D47" s="13">
        <f>ROUND(AVERAGE(Atmos:Spire!D47),3)</f>
        <v>0.53200000000000003</v>
      </c>
      <c r="E47" s="14"/>
      <c r="F47" s="13">
        <f>ROUND(AVERAGE(Atmos:Spire!F47),3)</f>
        <v>0.45700000000000002</v>
      </c>
      <c r="G47" s="14"/>
      <c r="H47" s="13">
        <f>ROUND(AVERAGE(Atmos:Spire!H47),3)</f>
        <v>0.51500000000000001</v>
      </c>
      <c r="I47" s="14"/>
      <c r="J47" s="13">
        <f>ROUND(AVERAGE(Atmos:Spire!J47),3)</f>
        <v>0.60099999999999998</v>
      </c>
      <c r="K47" s="14"/>
      <c r="L47" s="13">
        <f>ROUND(AVERAGE(Atmos:Spire!L47),3)</f>
        <v>0.73</v>
      </c>
      <c r="N47" s="6">
        <f t="shared" si="0"/>
        <v>0.56699999999999995</v>
      </c>
    </row>
    <row r="48" spans="1:15" ht="17.25" x14ac:dyDescent="0.4">
      <c r="B48" s="36" t="s">
        <v>87</v>
      </c>
      <c r="D48" s="13">
        <f>ROUND(AVERAGE(Atmos:Spire!D48),3)</f>
        <v>0.185</v>
      </c>
      <c r="E48" s="14"/>
      <c r="F48" s="13">
        <f>ROUND(AVERAGE(Atmos:Spire!F48),3)</f>
        <v>0.184</v>
      </c>
      <c r="G48" s="14"/>
      <c r="H48" s="13">
        <f>ROUND(AVERAGE(Atmos:Spire!H48),3)</f>
        <v>0.20200000000000001</v>
      </c>
      <c r="I48" s="14"/>
      <c r="J48" s="13">
        <f>ROUND(AVERAGE(Atmos:Spire!J48),3)</f>
        <v>0.224</v>
      </c>
      <c r="K48" s="14"/>
      <c r="L48" s="13">
        <f>ROUND(AVERAGE(Atmos:Spire!L48),3)</f>
        <v>0.248</v>
      </c>
      <c r="N48" s="6">
        <f t="shared" si="0"/>
        <v>0.20859999999999998</v>
      </c>
    </row>
    <row r="49" spans="1:15" ht="17.25" x14ac:dyDescent="0.4">
      <c r="B49" s="36" t="s">
        <v>88</v>
      </c>
      <c r="D49" s="28">
        <f>ROUND(AVERAGE(Atmos:Spire!D49),2)</f>
        <v>7.24</v>
      </c>
      <c r="E49" t="s">
        <v>3</v>
      </c>
      <c r="F49" s="28">
        <f>ROUND(AVERAGE(Atmos:Spire!F49),2)</f>
        <v>6.37</v>
      </c>
      <c r="G49" t="s">
        <v>3</v>
      </c>
      <c r="H49" s="28">
        <f>ROUND(AVERAGE(Atmos:Spire!H49),2)</f>
        <v>6.54</v>
      </c>
      <c r="I49" t="s">
        <v>3</v>
      </c>
      <c r="J49" s="28">
        <f>ROUND(AVERAGE(Atmos:Spire!J49),2)</f>
        <v>7.01</v>
      </c>
      <c r="K49" t="s">
        <v>3</v>
      </c>
      <c r="L49" s="28">
        <f>ROUND(AVERAGE(Atmos:Spire!L49),2)</f>
        <v>7.76</v>
      </c>
      <c r="M49" t="s">
        <v>3</v>
      </c>
      <c r="N49" s="29">
        <f t="shared" si="0"/>
        <v>6.9839999999999991</v>
      </c>
      <c r="O49" t="s">
        <v>3</v>
      </c>
    </row>
    <row r="50" spans="1:15" ht="17.25" x14ac:dyDescent="0.4">
      <c r="B50" s="36" t="s">
        <v>89</v>
      </c>
      <c r="D50" s="28">
        <f>ROUND(AVERAGE(Atmos:Spire!D50),2)</f>
        <v>3.81</v>
      </c>
      <c r="E50" t="s">
        <v>3</v>
      </c>
      <c r="F50" s="28">
        <f>ROUND(AVERAGE(Atmos:Spire!F50),2)</f>
        <v>3.67</v>
      </c>
      <c r="G50" t="s">
        <v>3</v>
      </c>
      <c r="H50" s="28">
        <f>ROUND(AVERAGE(Atmos:Spire!H50),2)</f>
        <v>3.9</v>
      </c>
      <c r="I50" t="s">
        <v>3</v>
      </c>
      <c r="J50" s="28">
        <f>ROUND(AVERAGE(Atmos:Spire!J50),2)</f>
        <v>4.1100000000000003</v>
      </c>
      <c r="K50" t="s">
        <v>3</v>
      </c>
      <c r="L50" s="28">
        <f>ROUND(AVERAGE(Atmos:Spire!L50),2)</f>
        <v>4.51</v>
      </c>
      <c r="M50" t="s">
        <v>3</v>
      </c>
      <c r="N50" s="29">
        <f t="shared" si="0"/>
        <v>4</v>
      </c>
      <c r="O50" t="s">
        <v>3</v>
      </c>
    </row>
    <row r="52" spans="1:15" x14ac:dyDescent="0.4">
      <c r="A52" t="s">
        <v>4</v>
      </c>
    </row>
  </sheetData>
  <mergeCells count="4">
    <mergeCell ref="D6:L6"/>
    <mergeCell ref="A1:O1"/>
    <mergeCell ref="A2:O2"/>
    <mergeCell ref="A3:O3"/>
  </mergeCells>
  <phoneticPr fontId="0" type="noConversion"/>
  <pageMargins left="1.22" right="0" top="1.5" bottom="1" header="0.5" footer="0.5"/>
  <pageSetup scale="62" orientation="portrait" r:id="rId1"/>
  <headerFooter alignWithMargins="0">
    <oddHeader xml:space="preserve">&amp;R&amp;16Attachment PRM-3
Page 1 of 2
</oddHeader>
  </headerFooter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112"/>
  <sheetViews>
    <sheetView zoomScale="85" zoomScaleNormal="85" workbookViewId="0">
      <selection sqref="A1:O1"/>
    </sheetView>
  </sheetViews>
  <sheetFormatPr defaultRowHeight="15" x14ac:dyDescent="0.4"/>
  <cols>
    <col min="1" max="1" width="2.6640625" customWidth="1"/>
    <col min="2" max="2" width="24.71875" customWidth="1"/>
    <col min="4" max="4" width="10.21875" customWidth="1"/>
    <col min="5" max="5" width="3.71875" customWidth="1"/>
    <col min="6" max="6" width="10.21875" customWidth="1"/>
    <col min="7" max="7" width="3.71875" customWidth="1"/>
    <col min="8" max="8" width="10.21875" customWidth="1"/>
    <col min="9" max="9" width="3.71875" customWidth="1"/>
    <col min="10" max="10" width="10.21875" customWidth="1"/>
    <col min="11" max="11" width="3.71875" customWidth="1"/>
    <col min="12" max="12" width="10.21875" customWidth="1"/>
    <col min="13" max="13" width="3.71875" customWidth="1"/>
    <col min="14" max="14" width="8.71875" customWidth="1"/>
    <col min="15" max="15" width="2.71875" customWidth="1"/>
  </cols>
  <sheetData>
    <row r="1" spans="1:15" x14ac:dyDescent="0.4">
      <c r="A1" s="46" t="str">
        <f>A54</f>
        <v>ATMOS ENERGY CORP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x14ac:dyDescent="0.4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x14ac:dyDescent="0.4">
      <c r="A3" s="42" t="str">
        <f>'Page 1'!A3:N3</f>
        <v>2016-2020, Inclusive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5" spans="1:15" s="1" customFormat="1" x14ac:dyDescent="0.4">
      <c r="D5" s="2">
        <f>D55</f>
        <v>2020</v>
      </c>
      <c r="F5" s="2">
        <f>F55</f>
        <v>2019</v>
      </c>
      <c r="H5" s="2">
        <f>H55</f>
        <v>2018</v>
      </c>
      <c r="J5" s="2">
        <f>J55</f>
        <v>2017</v>
      </c>
      <c r="L5" s="2">
        <f>L55</f>
        <v>2016</v>
      </c>
    </row>
    <row r="6" spans="1:15" s="1" customFormat="1" x14ac:dyDescent="0.4">
      <c r="D6" s="45" t="s">
        <v>18</v>
      </c>
      <c r="E6" s="45"/>
      <c r="F6" s="45"/>
      <c r="G6" s="45"/>
      <c r="H6" s="45"/>
      <c r="I6" s="45"/>
      <c r="J6" s="45"/>
      <c r="K6" s="45"/>
      <c r="L6" s="45"/>
    </row>
    <row r="7" spans="1:15" x14ac:dyDescent="0.4">
      <c r="A7" t="s">
        <v>1</v>
      </c>
    </row>
    <row r="8" spans="1:15" x14ac:dyDescent="0.4">
      <c r="B8" t="s">
        <v>6</v>
      </c>
      <c r="D8" s="37">
        <f>D78+D79+D81-D103</f>
        <v>11380.736000000001</v>
      </c>
      <c r="F8" s="37">
        <f>F78+F79+F81-F103</f>
        <v>9394.2579999999998</v>
      </c>
      <c r="H8" s="37">
        <f>H78+H79+H81-H103</f>
        <v>7922.2629999999999</v>
      </c>
      <c r="J8" s="37">
        <f>J78+J79+J81-J103</f>
        <v>7070.9650000000001</v>
      </c>
      <c r="L8" s="37">
        <f>L78+L79+L81-L103</f>
        <v>6089.86</v>
      </c>
    </row>
    <row r="9" spans="1:15" x14ac:dyDescent="0.4">
      <c r="B9" t="s">
        <v>5</v>
      </c>
      <c r="D9" s="11">
        <f>D80</f>
        <v>0</v>
      </c>
      <c r="F9" s="11">
        <f>F80</f>
        <v>464.91500000000002</v>
      </c>
      <c r="H9" s="11">
        <f>H80</f>
        <v>575.78</v>
      </c>
      <c r="J9" s="11">
        <f>J80</f>
        <v>447.745</v>
      </c>
      <c r="L9" s="11">
        <f>L80</f>
        <v>829.81100000000004</v>
      </c>
    </row>
    <row r="10" spans="1:15" ht="15.4" thickBot="1" x14ac:dyDescent="0.45">
      <c r="B10" t="s">
        <v>7</v>
      </c>
      <c r="D10" s="12">
        <f>D8+D9</f>
        <v>11380.736000000001</v>
      </c>
      <c r="F10" s="12">
        <f>F8+F9</f>
        <v>9859.1730000000007</v>
      </c>
      <c r="H10" s="12">
        <f>H8+H9</f>
        <v>8498.0429999999997</v>
      </c>
      <c r="J10" s="12">
        <f>J8+J9</f>
        <v>7518.71</v>
      </c>
      <c r="L10" s="12">
        <f>L8+L9</f>
        <v>6919.6709999999994</v>
      </c>
    </row>
    <row r="11" spans="1:15" ht="15.4" thickTop="1" x14ac:dyDescent="0.4"/>
    <row r="12" spans="1:15" x14ac:dyDescent="0.4">
      <c r="A12" t="s">
        <v>8</v>
      </c>
      <c r="N12" s="2" t="s">
        <v>19</v>
      </c>
    </row>
    <row r="13" spans="1:15" x14ac:dyDescent="0.4">
      <c r="B13" s="24" t="s">
        <v>73</v>
      </c>
      <c r="D13" s="32">
        <f>ROUND(AVERAGE(D108:D109)/D105,0)</f>
        <v>20</v>
      </c>
      <c r="E13" s="7" t="s">
        <v>3</v>
      </c>
      <c r="F13" s="32">
        <f>ROUND(AVERAGE(F108:F109)/F105,0)</f>
        <v>23</v>
      </c>
      <c r="G13" s="7" t="s">
        <v>3</v>
      </c>
      <c r="H13" s="32">
        <f>ROUND(AVERAGE(H108:H109)/H105,0)</f>
        <v>16</v>
      </c>
      <c r="I13" s="7" t="s">
        <v>3</v>
      </c>
      <c r="J13" s="32">
        <f>ROUND(AVERAGE(J108:J109)/J105,0)</f>
        <v>23</v>
      </c>
      <c r="K13" s="7" t="s">
        <v>3</v>
      </c>
      <c r="L13" s="32">
        <f>ROUND(AVERAGE(L108:L109)/L105,0)</f>
        <v>21</v>
      </c>
      <c r="M13" s="7" t="s">
        <v>3</v>
      </c>
      <c r="N13" s="33">
        <f>AVERAGE(D13,F13,H13,J13,L13)</f>
        <v>20.6</v>
      </c>
      <c r="O13" s="7" t="s">
        <v>3</v>
      </c>
    </row>
    <row r="14" spans="1:15" x14ac:dyDescent="0.4">
      <c r="B14" t="s">
        <v>20</v>
      </c>
      <c r="D14" s="3">
        <f>ROUND(AVERAGE(D108:D109)/AVERAGE(D112,F112),3)</f>
        <v>1.948</v>
      </c>
      <c r="E14" s="3"/>
      <c r="F14" s="3">
        <f>ROUND(AVERAGE(F108:F109)/AVERAGE(F112,H112),3)</f>
        <v>2.2450000000000001</v>
      </c>
      <c r="G14" s="3"/>
      <c r="H14" s="3">
        <f>ROUND(AVERAGE(H108:H109)/AVERAGE(H112,J112),3)</f>
        <v>2.226</v>
      </c>
      <c r="I14" s="3"/>
      <c r="J14" s="3">
        <f>ROUND(AVERAGE(J108:J109)/AVERAGE(J112,L112),3)</f>
        <v>2.371</v>
      </c>
      <c r="K14" s="3"/>
      <c r="L14" s="3">
        <f>ROUND(AVERAGE(L108:L109)/AVERAGE(L112,N112),3)</f>
        <v>2.1909999999999998</v>
      </c>
      <c r="M14" s="3"/>
      <c r="N14" s="6">
        <f>AVERAGE(D14,F14,H14,J14,L14)</f>
        <v>2.1961999999999997</v>
      </c>
    </row>
    <row r="15" spans="1:15" x14ac:dyDescent="0.4">
      <c r="B15" t="s">
        <v>9</v>
      </c>
      <c r="D15" s="3">
        <f>ROUND(D106/AVERAGE(D108:D109),3)</f>
        <v>2.3E-2</v>
      </c>
      <c r="E15" s="3"/>
      <c r="F15" s="3">
        <f>ROUND(F106/AVERAGE(F108:F109),3)</f>
        <v>2.1000000000000001E-2</v>
      </c>
      <c r="G15" s="3"/>
      <c r="H15" s="3">
        <f>ROUND(H106/AVERAGE(H108:H109),3)</f>
        <v>2.1999999999999999E-2</v>
      </c>
      <c r="I15" s="3"/>
      <c r="J15" s="3">
        <f>ROUND(J106/AVERAGE(J108:J109),3)</f>
        <v>2.1999999999999999E-2</v>
      </c>
      <c r="K15" s="3"/>
      <c r="L15" s="3">
        <f>ROUND(L106/AVERAGE(L108:L109),3)</f>
        <v>2.4E-2</v>
      </c>
      <c r="M15" s="3"/>
      <c r="N15" s="6">
        <f>AVERAGE(D15,F15,H15,J15,L15)</f>
        <v>2.2399999999999996E-2</v>
      </c>
    </row>
    <row r="16" spans="1:15" x14ac:dyDescent="0.4">
      <c r="B16" t="s">
        <v>10</v>
      </c>
      <c r="D16" s="3">
        <f>ROUND(D96/D66,3)</f>
        <v>0.47</v>
      </c>
      <c r="E16" s="3"/>
      <c r="F16" s="3">
        <f>ROUND(F96/F66,3)</f>
        <v>0.48</v>
      </c>
      <c r="G16" s="3"/>
      <c r="H16" s="3">
        <f>ROUND(H96/H66,3)</f>
        <v>0.35699999999999998</v>
      </c>
      <c r="I16" s="3"/>
      <c r="J16" s="3">
        <f>ROUND(J96/J66,3)</f>
        <v>0.502</v>
      </c>
      <c r="K16" s="3"/>
      <c r="L16" s="3">
        <f>ROUND(L96/L66,3)</f>
        <v>0.501</v>
      </c>
      <c r="M16" s="3"/>
      <c r="N16" s="6">
        <f>AVERAGE(D16,F16,H16,J16,L16)</f>
        <v>0.46200000000000002</v>
      </c>
    </row>
    <row r="18" spans="1:14" x14ac:dyDescent="0.4">
      <c r="A18" t="s">
        <v>2</v>
      </c>
    </row>
    <row r="19" spans="1:14" x14ac:dyDescent="0.4">
      <c r="B19" t="s">
        <v>11</v>
      </c>
    </row>
    <row r="20" spans="1:14" x14ac:dyDescent="0.4">
      <c r="B20" s="34" t="s">
        <v>78</v>
      </c>
      <c r="D20" s="3">
        <f>ROUND((+D76+D79)/D8,3)</f>
        <v>0.39800000000000002</v>
      </c>
      <c r="E20" s="3"/>
      <c r="F20" s="3">
        <f>ROUND((+F76+F79)/F8,3)</f>
        <v>0.376</v>
      </c>
      <c r="G20" s="3"/>
      <c r="H20" s="3">
        <f>ROUND((+H76+H79)/H8,3)</f>
        <v>0.38700000000000001</v>
      </c>
      <c r="I20" s="3"/>
      <c r="J20" s="3">
        <f>ROUND((+J76+J79)/J8,3)</f>
        <v>0.434</v>
      </c>
      <c r="K20" s="3"/>
      <c r="L20" s="3">
        <f>ROUND((+L76+L79)/L8,3)</f>
        <v>0.4</v>
      </c>
      <c r="M20" s="3"/>
      <c r="N20" s="6">
        <f>AVERAGE(D20,F20,H20,J20,L20)</f>
        <v>0.39900000000000002</v>
      </c>
    </row>
    <row r="21" spans="1:14" x14ac:dyDescent="0.4">
      <c r="B21" s="34" t="s">
        <v>79</v>
      </c>
      <c r="D21" s="3">
        <f>ROUND((SUM(D69:D75)+D81)/D8,3)</f>
        <v>0</v>
      </c>
      <c r="E21" s="3"/>
      <c r="F21" s="3">
        <f>ROUND((SUM(F69:F75)+F81)/F8,3)</f>
        <v>0</v>
      </c>
      <c r="G21" s="3"/>
      <c r="H21" s="3">
        <f>ROUND((SUM(H69:H75)+H81)/H8,3)</f>
        <v>0</v>
      </c>
      <c r="I21" s="3"/>
      <c r="J21" s="3">
        <f>ROUND((SUM(J69:J75)+J81)/J8,3)</f>
        <v>0</v>
      </c>
      <c r="K21" s="3"/>
      <c r="L21" s="3">
        <f>ROUND((SUM(L69:L75)+L81)/L8,3)</f>
        <v>0</v>
      </c>
      <c r="M21" s="3"/>
      <c r="N21" s="6">
        <f>AVERAGE(D21,F21,H21,J21,L21)</f>
        <v>0</v>
      </c>
    </row>
    <row r="22" spans="1:14" ht="17.25" x14ac:dyDescent="0.4">
      <c r="B22" s="35" t="s">
        <v>80</v>
      </c>
      <c r="D22" s="4">
        <f>ROUND((D68-D103)/D8,3)</f>
        <v>0.60199999999999998</v>
      </c>
      <c r="E22" s="3"/>
      <c r="F22" s="4">
        <f>ROUND((F68-F103)/F8,3)</f>
        <v>0.624</v>
      </c>
      <c r="G22" s="3"/>
      <c r="H22" s="4">
        <f>ROUND((H68-H103)/H8,3)</f>
        <v>0.61299999999999999</v>
      </c>
      <c r="I22" s="3"/>
      <c r="J22" s="4">
        <f>ROUND((J68-J103)/J8,3)</f>
        <v>0.56599999999999995</v>
      </c>
      <c r="K22" s="3"/>
      <c r="L22" s="4">
        <f>ROUND((L68-L103)/L8,3)</f>
        <v>0.6</v>
      </c>
      <c r="M22" s="3"/>
      <c r="N22" s="8">
        <f>AVERAGE(D22,F22,H22,J22,L22)</f>
        <v>0.60099999999999998</v>
      </c>
    </row>
    <row r="23" spans="1:14" ht="15.4" thickBot="1" x14ac:dyDescent="0.45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9">
        <f>AVERAGE(D23,F23,H23,J23,L23)</f>
        <v>1</v>
      </c>
    </row>
    <row r="24" spans="1:14" ht="15.4" thickTop="1" x14ac:dyDescent="0.4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4">
      <c r="B25" s="34" t="s">
        <v>81</v>
      </c>
      <c r="D25" s="3">
        <f>ROUND((+D76+D79+D80)/D10,3)</f>
        <v>0.39800000000000002</v>
      </c>
      <c r="E25" s="3"/>
      <c r="F25" s="3">
        <f>ROUND((+F76+F79+F80)/F10,3)</f>
        <v>0.40500000000000003</v>
      </c>
      <c r="G25" s="3"/>
      <c r="H25" s="3">
        <f>ROUND((+H76+H79+H80)/H10,3)</f>
        <v>0.42899999999999999</v>
      </c>
      <c r="I25" s="3"/>
      <c r="J25" s="3">
        <f>ROUND((+J76+J79+J80)/J10,3)</f>
        <v>0.46700000000000003</v>
      </c>
      <c r="K25" s="3"/>
      <c r="L25" s="3">
        <f>ROUND((+L76+L79+L80)/L10,3)</f>
        <v>0.47199999999999998</v>
      </c>
      <c r="M25" s="3"/>
      <c r="N25" s="6">
        <f>AVERAGE(D25,F25,H25,J25,L25)</f>
        <v>0.43420000000000003</v>
      </c>
    </row>
    <row r="26" spans="1:14" x14ac:dyDescent="0.4">
      <c r="B26" s="34" t="s">
        <v>79</v>
      </c>
      <c r="D26" s="3">
        <f>ROUND((SUM(D69:D75)+D81)/D10,3)</f>
        <v>0</v>
      </c>
      <c r="E26" s="3"/>
      <c r="F26" s="3">
        <f>ROUND((SUM(F69:F75)+F81)/F10,3)</f>
        <v>0</v>
      </c>
      <c r="G26" s="3"/>
      <c r="H26" s="3">
        <f>ROUND((SUM(H69:H75)+H81)/H10,3)</f>
        <v>0</v>
      </c>
      <c r="I26" s="3"/>
      <c r="J26" s="3">
        <f>ROUND((SUM(J69:J75)+J81)/J10,3)</f>
        <v>0</v>
      </c>
      <c r="K26" s="3"/>
      <c r="L26" s="3">
        <f>ROUND((SUM(L69:L75)+L81)/L10,3)</f>
        <v>0</v>
      </c>
      <c r="M26" s="3"/>
      <c r="N26" s="6">
        <f>AVERAGE(D26,F26,H26,J26,L26)</f>
        <v>0</v>
      </c>
    </row>
    <row r="27" spans="1:14" ht="17.25" x14ac:dyDescent="0.4">
      <c r="B27" s="35" t="s">
        <v>80</v>
      </c>
      <c r="D27" s="4">
        <f>ROUND((D68-D103)/D10,3)</f>
        <v>0.60199999999999998</v>
      </c>
      <c r="E27" s="3"/>
      <c r="F27" s="4">
        <f>ROUND((F68-F103)/F10,3)</f>
        <v>0.59499999999999997</v>
      </c>
      <c r="G27" s="3"/>
      <c r="H27" s="4">
        <f>ROUND((H68-H103)/H10,3)</f>
        <v>0.57099999999999995</v>
      </c>
      <c r="I27" s="3"/>
      <c r="J27" s="4">
        <f>ROUND((J68-J103)/J10,3)</f>
        <v>0.53300000000000003</v>
      </c>
      <c r="K27" s="3"/>
      <c r="L27" s="4">
        <f>ROUND((L68-L103)/L10,3)</f>
        <v>0.52800000000000002</v>
      </c>
      <c r="M27" s="3"/>
      <c r="N27" s="8">
        <f>AVERAGE(D27,F27,H27,J27,L27)</f>
        <v>0.56580000000000008</v>
      </c>
    </row>
    <row r="28" spans="1:14" ht="15.4" thickBot="1" x14ac:dyDescent="0.45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9">
        <f>AVERAGE(D28,F28,H28,J28,L28)</f>
        <v>1</v>
      </c>
    </row>
    <row r="29" spans="1:14" ht="15.4" thickTop="1" x14ac:dyDescent="0.4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7.25" x14ac:dyDescent="0.4">
      <c r="A30" s="36" t="s">
        <v>82</v>
      </c>
      <c r="D30" s="3">
        <f>ROUND(+D66/(((D68-D103)+(F68-F103))/2),3)</f>
        <v>9.5000000000000001E-2</v>
      </c>
      <c r="E30" s="3"/>
      <c r="F30" s="3">
        <f>ROUND(+F66/(((F68-F103)+(H68-H103))/2),3)</f>
        <v>9.5000000000000001E-2</v>
      </c>
      <c r="G30" s="3"/>
      <c r="H30" s="3">
        <f>ROUND(+H66/(((H68-H103)+(J68-J103))/2),3)</f>
        <v>0.13600000000000001</v>
      </c>
      <c r="I30" s="3"/>
      <c r="J30" s="3">
        <f>ROUND(+J66/(((J68-J103)+(L68-L103))/2),3)</f>
        <v>0.1</v>
      </c>
      <c r="K30" s="3"/>
      <c r="L30" s="3">
        <f>ROUND(+L66/(((L68-L103)+(N68-N103))/2),3)</f>
        <v>0.10100000000000001</v>
      </c>
      <c r="M30" s="3"/>
      <c r="N30" s="6">
        <f>AVERAGE(D30,F30,H30,J30,L30)</f>
        <v>0.10540000000000001</v>
      </c>
    </row>
    <row r="31" spans="1:14" x14ac:dyDescent="0.4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 x14ac:dyDescent="0.4">
      <c r="A32" s="36" t="s">
        <v>83</v>
      </c>
      <c r="D32" s="3">
        <f>ROUND((+D58-D57)/D56,3)</f>
        <v>0.70799999999999996</v>
      </c>
      <c r="E32" s="3"/>
      <c r="F32" s="3">
        <f>ROUND((+F58-F57)/F56,3)</f>
        <v>0.74299999999999999</v>
      </c>
      <c r="G32" s="3"/>
      <c r="H32" s="3">
        <f>ROUND((+H58-H57)/H56,3)</f>
        <v>0.76800000000000002</v>
      </c>
      <c r="I32" s="3"/>
      <c r="J32" s="3">
        <f>ROUND((+J58-J57)/J56,3)</f>
        <v>0.73599999999999999</v>
      </c>
      <c r="K32" s="3"/>
      <c r="L32" s="3">
        <f>ROUND((+L58-L57)/L56,3)</f>
        <v>0.80100000000000005</v>
      </c>
      <c r="M32" s="3"/>
      <c r="N32" s="6">
        <f>AVERAGE(D32,F32,H32,J32,L32)</f>
        <v>0.75120000000000009</v>
      </c>
    </row>
    <row r="34" spans="1:15" ht="17.25" x14ac:dyDescent="0.4">
      <c r="A34" s="36" t="s">
        <v>84</v>
      </c>
    </row>
    <row r="35" spans="1:15" x14ac:dyDescent="0.4">
      <c r="B35" t="s">
        <v>13</v>
      </c>
      <c r="D35" s="7">
        <f>ROUND(((+D66+D65+D64+D63+D61+D59+D57)/D61),2)</f>
        <v>9.84</v>
      </c>
      <c r="E35" s="7" t="s">
        <v>3</v>
      </c>
      <c r="F35" s="7">
        <f>ROUND(((+F66+F65+F64+F63+F61+F59+F57)/F61),2)</f>
        <v>7.3</v>
      </c>
      <c r="G35" s="7" t="s">
        <v>3</v>
      </c>
      <c r="H35" s="7">
        <f>ROUND(((+H66+H65+H64+H63+H61+H59+H57)/H61),2)</f>
        <v>6.38</v>
      </c>
      <c r="I35" s="7" t="s">
        <v>3</v>
      </c>
      <c r="J35" s="7">
        <f>ROUND(((+J66+J65+J64+J63+J61+J59+J57)/J61),2)</f>
        <v>5.92</v>
      </c>
      <c r="K35" s="7" t="s">
        <v>3</v>
      </c>
      <c r="L35" s="7">
        <f>ROUND(((+L66+L65+L64+L63+L61+L59+L57)/L61),2)</f>
        <v>5.63</v>
      </c>
      <c r="M35" s="7" t="s">
        <v>3</v>
      </c>
      <c r="N35" s="27">
        <f>AVERAGE(D35,F35,H35,J35,L35)</f>
        <v>7.0140000000000002</v>
      </c>
      <c r="O35" t="s">
        <v>3</v>
      </c>
    </row>
    <row r="36" spans="1:15" x14ac:dyDescent="0.4">
      <c r="B36" t="s">
        <v>21</v>
      </c>
      <c r="D36" s="7">
        <f>ROUND(((+D66+D65+D64+D63+D61)/(D61)),2)</f>
        <v>8.1199999999999992</v>
      </c>
      <c r="E36" s="7" t="s">
        <v>3</v>
      </c>
      <c r="F36" s="7">
        <f>ROUND(((+F66+F65+F64+F63+F61)/(F61)),2)</f>
        <v>5.96</v>
      </c>
      <c r="G36" s="7" t="s">
        <v>3</v>
      </c>
      <c r="H36" s="7">
        <f>ROUND(((+H66+H65+H64+H63+H61)/(H61)),2)</f>
        <v>6.31</v>
      </c>
      <c r="I36" s="7" t="s">
        <v>3</v>
      </c>
      <c r="J36" s="7">
        <f>ROUND(((+J66+J65+J64+J63+J61)/(J61)),2)</f>
        <v>4.12</v>
      </c>
      <c r="K36" s="7" t="s">
        <v>3</v>
      </c>
      <c r="L36" s="7">
        <f>ROUND(((+L66+L65+L64+L63+L61)/(L61)),2)</f>
        <v>3.94</v>
      </c>
      <c r="M36" s="7" t="s">
        <v>3</v>
      </c>
      <c r="N36" s="27">
        <f>AVERAGE(D36,F36,H36,J36,L36)</f>
        <v>5.6899999999999995</v>
      </c>
      <c r="O36" t="s">
        <v>3</v>
      </c>
    </row>
    <row r="37" spans="1:15" x14ac:dyDescent="0.4">
      <c r="B37" t="s">
        <v>14</v>
      </c>
      <c r="D37" s="7">
        <f>ROUND(((+D66+D65+D64+D63+D61)/(D61+D63+D64+D65)),2)</f>
        <v>8.1199999999999992</v>
      </c>
      <c r="E37" s="7" t="s">
        <v>3</v>
      </c>
      <c r="F37" s="7">
        <f>ROUND(((+F66+F65+F64+F63+F61)/(F61+F63+F64+F65)),2)</f>
        <v>5.96</v>
      </c>
      <c r="G37" s="7" t="s">
        <v>3</v>
      </c>
      <c r="H37" s="7">
        <f>ROUND(((+H66+H65+H64+H63+H61)/(H61+H63+H64+H65)),2)</f>
        <v>6.31</v>
      </c>
      <c r="I37" s="7" t="s">
        <v>3</v>
      </c>
      <c r="J37" s="7">
        <f>ROUND(((+J66+J65+J64+J63+J61)/(J61+J63+J64+J65)),2)</f>
        <v>4.12</v>
      </c>
      <c r="K37" s="7" t="s">
        <v>3</v>
      </c>
      <c r="L37" s="7">
        <f>ROUND(((+L66+L65+L64+L63+L61)/(L61+L63+L64+L65)),2)</f>
        <v>3.94</v>
      </c>
      <c r="M37" s="7" t="s">
        <v>3</v>
      </c>
      <c r="N37" s="27">
        <f>AVERAGE(D37,F37,H37,J37,L37)</f>
        <v>5.6899999999999995</v>
      </c>
      <c r="O37" t="s">
        <v>3</v>
      </c>
    </row>
    <row r="38" spans="1:1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7.25" x14ac:dyDescent="0.4">
      <c r="A39" s="36" t="s">
        <v>95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x14ac:dyDescent="0.4">
      <c r="B40" t="s">
        <v>13</v>
      </c>
      <c r="D40" s="7">
        <f>ROUND(((+D66+D65+D64+D63-D62+D61+D59+D57)/D61),2)</f>
        <v>9.4600000000000009</v>
      </c>
      <c r="E40" s="7" t="s">
        <v>3</v>
      </c>
      <c r="F40" s="7">
        <f>ROUND(((+F66+F65+F64+F63-F62+F61+F59+F57)/F61),2)</f>
        <v>7.12</v>
      </c>
      <c r="G40" s="7" t="s">
        <v>3</v>
      </c>
      <c r="H40" s="7">
        <f>ROUND(((+H66+H65+H64+H63-H62+H61+H59+H57)/H61),2)</f>
        <v>6.32</v>
      </c>
      <c r="I40" s="7" t="s">
        <v>3</v>
      </c>
      <c r="J40" s="7">
        <f>ROUND(((+J66+J65+J64+J63-J62+J61+J59+J57)/J61),2)</f>
        <v>5.9</v>
      </c>
      <c r="K40" s="7" t="s">
        <v>3</v>
      </c>
      <c r="L40" s="7">
        <f>ROUND(((+L66+L65+L64+L63-L62+L61+L59+L57)/L61),2)</f>
        <v>5.61</v>
      </c>
      <c r="M40" s="7" t="s">
        <v>3</v>
      </c>
      <c r="N40" s="27">
        <f>AVERAGE(D40,F40,H40,J40,L40)</f>
        <v>6.8820000000000006</v>
      </c>
      <c r="O40" t="s">
        <v>3</v>
      </c>
    </row>
    <row r="41" spans="1:15" x14ac:dyDescent="0.4">
      <c r="B41" t="s">
        <v>21</v>
      </c>
      <c r="D41" s="7">
        <f>ROUND(((+D66+D65+D64+D63-D62+D61)/D61),2)</f>
        <v>7.74</v>
      </c>
      <c r="E41" s="7" t="s">
        <v>3</v>
      </c>
      <c r="F41" s="7">
        <f>ROUND(((+F66+F65+F64+F63-F62+F61)/F61),2)</f>
        <v>5.78</v>
      </c>
      <c r="G41" s="7" t="s">
        <v>3</v>
      </c>
      <c r="H41" s="7">
        <f>ROUND(((+H66+H65+H64+H63-H62+H61)/H61),2)</f>
        <v>6.25</v>
      </c>
      <c r="I41" s="7" t="s">
        <v>3</v>
      </c>
      <c r="J41" s="7">
        <f>ROUND(((+J66+J65+J64+J63-J62+J61)/J61),2)</f>
        <v>4.0999999999999996</v>
      </c>
      <c r="K41" s="7" t="s">
        <v>3</v>
      </c>
      <c r="L41" s="7">
        <f>ROUND(((+L66+L65+L64+L63-L62+L61)/L61),2)</f>
        <v>3.92</v>
      </c>
      <c r="M41" s="7" t="s">
        <v>3</v>
      </c>
      <c r="N41" s="27">
        <f>AVERAGE(D41,F41,H41,J41,L41)</f>
        <v>5.5579999999999998</v>
      </c>
      <c r="O41" t="s">
        <v>3</v>
      </c>
    </row>
    <row r="42" spans="1:15" x14ac:dyDescent="0.4">
      <c r="B42" t="s">
        <v>14</v>
      </c>
      <c r="D42" s="7">
        <f>ROUND(((+D66+D65+D64+D63-D62+D61)/(D61+D63+D64+D65)),2)</f>
        <v>7.74</v>
      </c>
      <c r="E42" s="7" t="s">
        <v>3</v>
      </c>
      <c r="F42" s="7">
        <f>ROUND(((+F66+F65+F64+F63-F62+F61)/(F61+F63+F64+F65)),2)</f>
        <v>5.78</v>
      </c>
      <c r="G42" s="7" t="s">
        <v>3</v>
      </c>
      <c r="H42" s="7">
        <f>ROUND(((+H66+H65+H64+H63-H62+H61)/(H61+H63+H64+H65)),2)</f>
        <v>6.25</v>
      </c>
      <c r="I42" s="7" t="s">
        <v>3</v>
      </c>
      <c r="J42" s="7">
        <f>ROUND(((+J66+J65+J64+J63-J62+J61)/(J61+J63+J64+J65)),2)</f>
        <v>4.0999999999999996</v>
      </c>
      <c r="K42" s="7" t="s">
        <v>3</v>
      </c>
      <c r="L42" s="7">
        <f>ROUND(((+L66+L65+L64+L63-L62+L61)/(L61+L63+L64+L65)),2)</f>
        <v>3.92</v>
      </c>
      <c r="M42" s="7" t="s">
        <v>3</v>
      </c>
      <c r="N42" s="27">
        <f>AVERAGE(D42,F42,H42,J42,L42)</f>
        <v>5.5579999999999998</v>
      </c>
      <c r="O42" t="s">
        <v>3</v>
      </c>
    </row>
    <row r="44" spans="1:15" x14ac:dyDescent="0.4">
      <c r="A44" t="s">
        <v>15</v>
      </c>
    </row>
    <row r="45" spans="1:15" x14ac:dyDescent="0.4">
      <c r="B45" t="s">
        <v>16</v>
      </c>
      <c r="D45" s="13">
        <f>ROUND(D62/D66,3)</f>
        <v>5.2999999999999999E-2</v>
      </c>
      <c r="E45" s="13"/>
      <c r="F45" s="13">
        <f>ROUND(F62/F66,3)</f>
        <v>3.6999999999999998E-2</v>
      </c>
      <c r="G45" s="13"/>
      <c r="H45" s="13">
        <f>ROUND(H62/H66,3)</f>
        <v>1.0999999999999999E-2</v>
      </c>
      <c r="I45" s="13"/>
      <c r="J45" s="13">
        <f>ROUND(J62/J66,3)</f>
        <v>7.0000000000000001E-3</v>
      </c>
      <c r="K45" s="13"/>
      <c r="L45" s="13">
        <f>ROUND(L62/L66,3)</f>
        <v>8.0000000000000002E-3</v>
      </c>
      <c r="M45" s="3"/>
      <c r="N45" s="6">
        <f t="shared" ref="N45:N50" si="0">AVERAGE(D45,F45,H45,J45,L45)</f>
        <v>2.3199999999999998E-2</v>
      </c>
    </row>
    <row r="46" spans="1:15" x14ac:dyDescent="0.4">
      <c r="B46" t="s">
        <v>17</v>
      </c>
      <c r="D46" s="17">
        <f>ROUND((D57+D59)/(D57+D59+D66+D63+D64+D65),3)</f>
        <v>0.19500000000000001</v>
      </c>
      <c r="E46" s="18"/>
      <c r="F46" s="17">
        <f>ROUND((F57+F59)/(F57+F59+F66+F63+F64+F65),3)</f>
        <v>0.214</v>
      </c>
      <c r="G46" s="18"/>
      <c r="H46" s="17">
        <f>ROUND((H57+H59)/(H57+H59+H66+H63+H64+H65),3)</f>
        <v>1.2999999999999999E-2</v>
      </c>
      <c r="I46" s="18"/>
      <c r="J46" s="17">
        <f>ROUND((J57+J59)/(J57+J59+J66+J63+J64+J65),3)</f>
        <v>0.36699999999999999</v>
      </c>
      <c r="K46" s="18"/>
      <c r="L46" s="17">
        <f>ROUND((L57+L59)/(L57+L59+L66+L63+L64+L65),3)</f>
        <v>0.36399999999999999</v>
      </c>
      <c r="N46" s="6">
        <f t="shared" si="0"/>
        <v>0.2306</v>
      </c>
    </row>
    <row r="47" spans="1:15" ht="17.25" x14ac:dyDescent="0.4">
      <c r="B47" s="36" t="s">
        <v>96</v>
      </c>
      <c r="D47" s="13">
        <f>ROUND(((+D82+D83+D84+D85+D86-D87+D88-D90-D91)/(+D89-D87)),3)</f>
        <v>0.46500000000000002</v>
      </c>
      <c r="E47" s="14"/>
      <c r="F47" s="13">
        <f>ROUND(((+F82+F83+F84+F85+F86-F87+F88-F90-F91)/(+F89-F87)),3)</f>
        <v>0.47499999999999998</v>
      </c>
      <c r="G47" s="14"/>
      <c r="H47" s="13">
        <f>ROUND(((+H82+H83+H84+H85+H86-H87+H88-H90-H91)/(+H89-H87)),3)</f>
        <v>0.52800000000000002</v>
      </c>
      <c r="I47" s="14"/>
      <c r="J47" s="13">
        <f>ROUND(((+J82+J83+J84+J85+J86-J87+J88-J90-J91)/(+J89-J87)),3)</f>
        <v>0.66700000000000004</v>
      </c>
      <c r="K47" s="14"/>
      <c r="L47" s="13">
        <f>ROUND(((+L82+L83+L84+L85+L86-L87+L88-L90-L91)/(+L89-L87)),3)</f>
        <v>0.628</v>
      </c>
      <c r="N47" s="6">
        <f t="shared" si="0"/>
        <v>0.55259999999999998</v>
      </c>
    </row>
    <row r="48" spans="1:15" ht="17.25" x14ac:dyDescent="0.4">
      <c r="B48" s="36" t="s">
        <v>97</v>
      </c>
      <c r="D48" s="13">
        <f>ROUND(((+D82+D83+D84+D85+D86-D87+D88)/(AVERAGE(D76,F76)+AVERAGE(D79,F79)+AVERAGE(D80,F80))),3)</f>
        <v>0.27500000000000002</v>
      </c>
      <c r="E48" s="14"/>
      <c r="F48" s="13">
        <f>ROUND(((+F82+F83+F84+F85+F86-F87+F88)/(AVERAGE(F76,H76)+AVERAGE(F79,H79)+AVERAGE(F80,H80))),3)</f>
        <v>0.27400000000000002</v>
      </c>
      <c r="G48" s="14"/>
      <c r="H48" s="13">
        <f>ROUND(((+H82+H83+H84+H85+H86-H87+H88)/(AVERAGE(H76,J76)+AVERAGE(H79,J79)+AVERAGE(H80,J80))),3)</f>
        <v>0.27700000000000002</v>
      </c>
      <c r="I48" s="14"/>
      <c r="J48" s="13">
        <f>ROUND(((+J82+J83+J84+J85+J86-J87+J88)/(AVERAGE(J76,L76)+AVERAGE(J79,L79)+AVERAGE(J80,L80))),3)</f>
        <v>0.28000000000000003</v>
      </c>
      <c r="K48" s="14"/>
      <c r="L48" s="13">
        <f>ROUND(((+L82+L83+L84+L85+L86-L87+L88)/(AVERAGE(L76,N76)+AVERAGE(L79,N79)+AVERAGE(L80,N80))),3)</f>
        <v>0.27800000000000002</v>
      </c>
      <c r="N48" s="6">
        <f t="shared" si="0"/>
        <v>0.27680000000000005</v>
      </c>
    </row>
    <row r="49" spans="1:15" ht="17.25" x14ac:dyDescent="0.4">
      <c r="B49" s="36" t="s">
        <v>98</v>
      </c>
      <c r="D49" s="28">
        <f>ROUND(((+D82+D83+D84+D85+D86-D87+D88+D92)/D61),2)</f>
        <v>16.18</v>
      </c>
      <c r="E49" t="s">
        <v>3</v>
      </c>
      <c r="F49" s="28">
        <f>ROUND(((+F82+F83+F84+F85+F86-F87+F88+F92)/F61),2)</f>
        <v>11.93</v>
      </c>
      <c r="G49" t="s">
        <v>3</v>
      </c>
      <c r="H49" s="28">
        <f>ROUND(((+H82+H83+H84+H85+H86-H87+H88+H92)/H61),2)</f>
        <v>10.220000000000001</v>
      </c>
      <c r="I49" t="s">
        <v>3</v>
      </c>
      <c r="J49" s="28">
        <f>ROUND(((+J82+J83+J84+J85+J86-J87+J88+J92)/J61),2)</f>
        <v>9.02</v>
      </c>
      <c r="K49" t="s">
        <v>3</v>
      </c>
      <c r="L49" s="28">
        <f>ROUND(((+L82+L83+L84+L85+L86-L87+L88+L92)/L61),2)</f>
        <v>8.5299999999999994</v>
      </c>
      <c r="M49" t="s">
        <v>3</v>
      </c>
      <c r="N49" s="29">
        <f t="shared" si="0"/>
        <v>11.175999999999998</v>
      </c>
      <c r="O49" t="s">
        <v>3</v>
      </c>
    </row>
    <row r="50" spans="1:15" ht="17.25" x14ac:dyDescent="0.4">
      <c r="B50" s="36" t="s">
        <v>99</v>
      </c>
      <c r="D50" s="28">
        <f>ROUND(((+D82+D83+D84+D85+D86-D87+D88-D91)/+D90),2)</f>
        <v>4.1500000000000004</v>
      </c>
      <c r="E50" t="s">
        <v>3</v>
      </c>
      <c r="F50" s="28">
        <f>ROUND(((+F82+F83+F84+F85+F86-F87+F88-F91)/+F90),2)</f>
        <v>4.25</v>
      </c>
      <c r="G50" t="s">
        <v>3</v>
      </c>
      <c r="H50" s="28">
        <f>ROUND(((+H82+H83+H84+H85+H86-H87+H88-H91)/+H90),2)</f>
        <v>4.6100000000000003</v>
      </c>
      <c r="I50" t="s">
        <v>3</v>
      </c>
      <c r="J50" s="28">
        <f>ROUND(((+J82+J83+J84+J85+J86-J87+J88-J91)/+J90),2)</f>
        <v>4.95</v>
      </c>
      <c r="K50" t="s">
        <v>3</v>
      </c>
      <c r="L50" s="28">
        <f>ROUND(((+L82+L83+L84+L85+L86-L87+L88-L91)/+L90),2)</f>
        <v>4.9000000000000004</v>
      </c>
      <c r="M50" t="s">
        <v>3</v>
      </c>
      <c r="N50" s="29">
        <f t="shared" si="0"/>
        <v>4.5720000000000001</v>
      </c>
      <c r="O50" t="s">
        <v>3</v>
      </c>
    </row>
    <row r="52" spans="1:15" x14ac:dyDescent="0.4">
      <c r="A52" t="s">
        <v>4</v>
      </c>
    </row>
    <row r="53" spans="1:15" x14ac:dyDescent="0.4">
      <c r="D53" s="38"/>
    </row>
    <row r="54" spans="1:15" x14ac:dyDescent="0.4">
      <c r="A54" s="19" t="s">
        <v>74</v>
      </c>
      <c r="B54" s="19"/>
      <c r="C54" s="19"/>
      <c r="D54" s="38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5" x14ac:dyDescent="0.4">
      <c r="A55" s="20"/>
      <c r="B55" s="20"/>
      <c r="C55" s="20"/>
      <c r="D55" s="21">
        <v>2020</v>
      </c>
      <c r="E55" s="19"/>
      <c r="F55" s="21">
        <v>2019</v>
      </c>
      <c r="G55" s="19"/>
      <c r="H55" s="21">
        <v>2018</v>
      </c>
      <c r="I55" s="19"/>
      <c r="J55" s="21">
        <v>2017</v>
      </c>
      <c r="K55" s="19"/>
      <c r="L55" s="21">
        <v>2016</v>
      </c>
      <c r="M55" s="19"/>
      <c r="N55" s="21">
        <v>2015</v>
      </c>
    </row>
    <row r="56" spans="1:15" x14ac:dyDescent="0.4">
      <c r="A56" s="20" t="s">
        <v>22</v>
      </c>
      <c r="B56" s="20"/>
      <c r="C56" s="20"/>
      <c r="D56" s="22">
        <v>2821.1370000000002</v>
      </c>
      <c r="E56" s="22"/>
      <c r="F56" s="22">
        <v>2901.848</v>
      </c>
      <c r="G56" s="22"/>
      <c r="H56" s="22">
        <v>3115.5459999999998</v>
      </c>
      <c r="I56" s="22"/>
      <c r="J56" s="22">
        <v>2759.7350000000001</v>
      </c>
      <c r="K56" s="22"/>
      <c r="L56" s="22">
        <v>3349.9490000000001</v>
      </c>
      <c r="M56" s="22"/>
      <c r="N56" s="22">
        <v>4142.1360000000004</v>
      </c>
    </row>
    <row r="57" spans="1:15" x14ac:dyDescent="0.4">
      <c r="A57" s="20" t="s">
        <v>23</v>
      </c>
      <c r="B57" s="20"/>
      <c r="C57" s="20"/>
      <c r="D57" s="22">
        <v>145.35300000000001</v>
      </c>
      <c r="E57" s="22"/>
      <c r="F57" s="22">
        <v>138.90299999999999</v>
      </c>
      <c r="G57" s="22"/>
      <c r="H57" s="22">
        <v>8.08</v>
      </c>
      <c r="I57" s="22"/>
      <c r="J57" s="22">
        <v>221.38300000000001</v>
      </c>
      <c r="K57" s="22"/>
      <c r="L57" s="22">
        <v>200.37299999999999</v>
      </c>
      <c r="M57" s="22"/>
      <c r="N57" s="22">
        <v>195.69</v>
      </c>
    </row>
    <row r="58" spans="1:15" x14ac:dyDescent="0.4">
      <c r="A58" s="20" t="s">
        <v>24</v>
      </c>
      <c r="B58" s="20"/>
      <c r="C58" s="20"/>
      <c r="D58" s="22">
        <f>658.854+629.601+429.828+278.755+D57</f>
        <v>2142.3910000000001</v>
      </c>
      <c r="E58" s="22"/>
      <c r="F58" s="22">
        <f>858.837+630.308+391.456+275.189+F57</f>
        <v>2294.6929999999998</v>
      </c>
      <c r="G58" s="22"/>
      <c r="H58" s="22">
        <v>2400.4920000000002</v>
      </c>
      <c r="I58" s="22"/>
      <c r="J58" s="22">
        <v>2253.5720000000001</v>
      </c>
      <c r="K58" s="22"/>
      <c r="L58" s="22">
        <v>2882.3040000000001</v>
      </c>
      <c r="M58" s="22"/>
      <c r="N58" s="22">
        <v>3706.431</v>
      </c>
    </row>
    <row r="59" spans="1:15" x14ac:dyDescent="0.4">
      <c r="A59" s="20" t="s">
        <v>25</v>
      </c>
      <c r="B59" s="20"/>
      <c r="C59" s="20"/>
      <c r="D59" s="22">
        <v>0</v>
      </c>
      <c r="E59" s="22"/>
      <c r="F59" s="22">
        <v>0</v>
      </c>
      <c r="G59" s="22"/>
      <c r="H59" s="22">
        <v>0</v>
      </c>
      <c r="I59" s="22"/>
      <c r="J59" s="22">
        <v>0</v>
      </c>
      <c r="K59" s="22"/>
      <c r="L59" s="22">
        <v>0</v>
      </c>
      <c r="M59" s="22"/>
      <c r="N59" s="22">
        <v>0</v>
      </c>
    </row>
    <row r="60" spans="1:15" x14ac:dyDescent="0.4">
      <c r="A60" s="20" t="s">
        <v>26</v>
      </c>
      <c r="B60" s="20"/>
      <c r="C60" s="20"/>
      <c r="D60" s="22">
        <f>824.099-D57+7.171</f>
        <v>685.91700000000014</v>
      </c>
      <c r="E60" s="22"/>
      <c r="F60" s="22">
        <f>746.058-F57+7.404</f>
        <v>614.55899999999997</v>
      </c>
      <c r="G60" s="22"/>
      <c r="H60" s="22">
        <v>709.71</v>
      </c>
      <c r="I60" s="22"/>
      <c r="J60" s="22">
        <v>502.89299999999997</v>
      </c>
      <c r="K60" s="22"/>
      <c r="L60" s="22">
        <v>466.05200000000002</v>
      </c>
      <c r="M60" s="22"/>
      <c r="N60" s="22">
        <v>431.31599999999997</v>
      </c>
    </row>
    <row r="61" spans="1:15" x14ac:dyDescent="0.4">
      <c r="A61" s="20" t="s">
        <v>27</v>
      </c>
      <c r="B61" s="20"/>
      <c r="C61" s="20"/>
      <c r="D61" s="22">
        <v>84.474000000000004</v>
      </c>
      <c r="E61" s="22"/>
      <c r="F61" s="22">
        <v>103.15300000000001</v>
      </c>
      <c r="G61" s="22"/>
      <c r="H61" s="22">
        <v>113.446</v>
      </c>
      <c r="I61" s="22"/>
      <c r="J61" s="22">
        <v>122.682</v>
      </c>
      <c r="K61" s="22"/>
      <c r="L61" s="22">
        <v>118.748</v>
      </c>
      <c r="M61" s="22"/>
      <c r="N61" s="22">
        <v>118.541</v>
      </c>
    </row>
    <row r="62" spans="1:15" x14ac:dyDescent="0.4">
      <c r="A62" s="20" t="s">
        <v>28</v>
      </c>
      <c r="B62" s="20"/>
      <c r="C62" s="20"/>
      <c r="D62" s="22">
        <v>31.928999999999998</v>
      </c>
      <c r="E62" s="22"/>
      <c r="F62" s="22">
        <v>18.808</v>
      </c>
      <c r="G62" s="22"/>
      <c r="H62" s="22">
        <v>6.8</v>
      </c>
      <c r="I62" s="22"/>
      <c r="J62" s="22">
        <v>2.5</v>
      </c>
      <c r="K62" s="22"/>
      <c r="L62" s="22">
        <v>2.8</v>
      </c>
      <c r="M62" s="22"/>
      <c r="N62" s="22">
        <v>2.2999999999999998</v>
      </c>
    </row>
    <row r="63" spans="1:15" x14ac:dyDescent="0.4">
      <c r="A63" s="20" t="s">
        <v>29</v>
      </c>
      <c r="B63" s="20"/>
      <c r="C63" s="20"/>
      <c r="D63" s="22">
        <v>0</v>
      </c>
      <c r="E63" s="22"/>
      <c r="F63" s="22">
        <v>0</v>
      </c>
      <c r="G63" s="22"/>
      <c r="H63" s="22">
        <v>0</v>
      </c>
      <c r="I63" s="22"/>
      <c r="J63" s="22">
        <v>0</v>
      </c>
      <c r="K63" s="22"/>
      <c r="L63" s="22">
        <v>0</v>
      </c>
      <c r="M63" s="22"/>
      <c r="N63" s="22">
        <v>0</v>
      </c>
    </row>
    <row r="64" spans="1:15" x14ac:dyDescent="0.4">
      <c r="A64" s="20" t="s">
        <v>30</v>
      </c>
      <c r="B64" s="20"/>
      <c r="C64" s="20"/>
      <c r="D64" s="22">
        <v>0</v>
      </c>
      <c r="E64" s="22"/>
      <c r="F64" s="22">
        <v>0</v>
      </c>
      <c r="G64" s="22"/>
      <c r="H64" s="22">
        <v>0</v>
      </c>
      <c r="I64" s="22"/>
      <c r="J64" s="22">
        <v>0</v>
      </c>
      <c r="K64" s="22"/>
      <c r="L64" s="22">
        <v>0</v>
      </c>
      <c r="M64" s="22"/>
      <c r="N64" s="22">
        <v>0</v>
      </c>
    </row>
    <row r="65" spans="1:14" x14ac:dyDescent="0.4">
      <c r="A65" s="20" t="s">
        <v>31</v>
      </c>
      <c r="B65" s="20"/>
      <c r="C65" s="20"/>
      <c r="D65" s="22">
        <v>0</v>
      </c>
      <c r="E65" s="22"/>
      <c r="F65" s="22">
        <v>0</v>
      </c>
      <c r="G65" s="22"/>
      <c r="H65" s="22">
        <v>0</v>
      </c>
      <c r="I65" s="22"/>
      <c r="J65" s="22">
        <v>0</v>
      </c>
      <c r="K65" s="22"/>
      <c r="L65" s="22">
        <v>0</v>
      </c>
      <c r="M65" s="22"/>
      <c r="N65" s="22">
        <v>0</v>
      </c>
    </row>
    <row r="66" spans="1:14" x14ac:dyDescent="0.4">
      <c r="A66" s="20" t="s">
        <v>32</v>
      </c>
      <c r="B66" s="20"/>
      <c r="C66" s="20"/>
      <c r="D66" s="22">
        <v>601.44299999999998</v>
      </c>
      <c r="E66" s="22"/>
      <c r="F66" s="22">
        <v>511.40600000000001</v>
      </c>
      <c r="G66" s="22"/>
      <c r="H66" s="22">
        <v>602.48400000000004</v>
      </c>
      <c r="I66" s="22"/>
      <c r="J66" s="22">
        <v>382.23599999999999</v>
      </c>
      <c r="K66" s="22"/>
      <c r="L66" s="22">
        <v>349.55799999999999</v>
      </c>
      <c r="M66" s="22"/>
      <c r="N66" s="22">
        <v>314.44900000000001</v>
      </c>
    </row>
    <row r="67" spans="1:14" x14ac:dyDescent="0.4">
      <c r="A67" s="20" t="s">
        <v>33</v>
      </c>
      <c r="B67" s="20"/>
      <c r="C67" s="20"/>
      <c r="D67" s="22">
        <v>4.8899999999999997</v>
      </c>
      <c r="E67" s="22"/>
      <c r="F67" s="22">
        <v>4.3600000000000003</v>
      </c>
      <c r="G67" s="22"/>
      <c r="H67" s="22">
        <v>5.43</v>
      </c>
      <c r="I67" s="22"/>
      <c r="J67" s="22">
        <v>3.6</v>
      </c>
      <c r="K67" s="22"/>
      <c r="L67" s="22">
        <v>3.38</v>
      </c>
      <c r="M67" s="22"/>
      <c r="N67" s="22">
        <v>3.09</v>
      </c>
    </row>
    <row r="68" spans="1:14" x14ac:dyDescent="0.4">
      <c r="A68" s="20" t="s">
        <v>34</v>
      </c>
      <c r="B68" s="20"/>
      <c r="C68" s="20"/>
      <c r="D68" s="22">
        <v>6791.2030000000004</v>
      </c>
      <c r="E68" s="22"/>
      <c r="F68" s="22">
        <v>5750.223</v>
      </c>
      <c r="G68" s="22"/>
      <c r="H68" s="22">
        <v>4769.951</v>
      </c>
      <c r="I68" s="22"/>
      <c r="J68" s="22">
        <v>3898.6660000000002</v>
      </c>
      <c r="K68" s="22"/>
      <c r="L68" s="22">
        <v>3463.0590000000002</v>
      </c>
      <c r="M68" s="22"/>
      <c r="N68" s="22">
        <v>3194.797</v>
      </c>
    </row>
    <row r="69" spans="1:14" x14ac:dyDescent="0.4">
      <c r="A69" s="20" t="s">
        <v>35</v>
      </c>
      <c r="B69" s="20"/>
      <c r="C69" s="20"/>
      <c r="D69" s="22">
        <v>0</v>
      </c>
      <c r="E69" s="22"/>
      <c r="F69" s="22">
        <v>0</v>
      </c>
      <c r="G69" s="22"/>
      <c r="H69" s="22">
        <v>0</v>
      </c>
      <c r="I69" s="22"/>
      <c r="J69" s="22">
        <v>0</v>
      </c>
      <c r="K69" s="22"/>
      <c r="L69" s="22">
        <v>0</v>
      </c>
      <c r="M69" s="22"/>
      <c r="N69" s="22">
        <v>0</v>
      </c>
    </row>
    <row r="70" spans="1:14" x14ac:dyDescent="0.4">
      <c r="A70" s="20" t="s">
        <v>36</v>
      </c>
      <c r="B70" s="20"/>
      <c r="C70" s="20"/>
      <c r="D70" s="22">
        <v>0</v>
      </c>
      <c r="E70" s="22"/>
      <c r="F70" s="22">
        <v>0</v>
      </c>
      <c r="G70" s="22"/>
      <c r="H70" s="22">
        <v>0</v>
      </c>
      <c r="I70" s="22"/>
      <c r="J70" s="22">
        <v>0</v>
      </c>
      <c r="K70" s="22"/>
      <c r="L70" s="22">
        <v>0</v>
      </c>
      <c r="M70" s="22"/>
      <c r="N70" s="22">
        <v>0</v>
      </c>
    </row>
    <row r="71" spans="1:14" x14ac:dyDescent="0.4">
      <c r="A71" s="20" t="s">
        <v>37</v>
      </c>
      <c r="B71" s="20"/>
      <c r="C71" s="20"/>
      <c r="D71" s="22">
        <v>0</v>
      </c>
      <c r="E71" s="22"/>
      <c r="F71" s="22">
        <v>0</v>
      </c>
      <c r="G71" s="22"/>
      <c r="H71" s="22">
        <v>0</v>
      </c>
      <c r="I71" s="22"/>
      <c r="J71" s="22">
        <v>0</v>
      </c>
      <c r="K71" s="22"/>
      <c r="L71" s="22">
        <v>0</v>
      </c>
      <c r="M71" s="22"/>
      <c r="N71" s="22">
        <v>0</v>
      </c>
    </row>
    <row r="72" spans="1:14" x14ac:dyDescent="0.4">
      <c r="A72" s="20" t="s">
        <v>38</v>
      </c>
      <c r="B72" s="20"/>
      <c r="C72" s="20"/>
      <c r="D72" s="22">
        <v>0</v>
      </c>
      <c r="E72" s="22"/>
      <c r="F72" s="22">
        <v>0</v>
      </c>
      <c r="G72" s="22"/>
      <c r="H72" s="22">
        <v>0</v>
      </c>
      <c r="I72" s="22"/>
      <c r="J72" s="22">
        <v>0</v>
      </c>
      <c r="K72" s="22"/>
      <c r="L72" s="22">
        <v>0</v>
      </c>
      <c r="M72" s="22"/>
      <c r="N72" s="22">
        <v>0</v>
      </c>
    </row>
    <row r="73" spans="1:14" x14ac:dyDescent="0.4">
      <c r="A73" s="20" t="s">
        <v>39</v>
      </c>
      <c r="B73" s="20"/>
      <c r="C73" s="20"/>
      <c r="D73" s="22">
        <v>0</v>
      </c>
      <c r="E73" s="22"/>
      <c r="F73" s="22">
        <v>0</v>
      </c>
      <c r="G73" s="22"/>
      <c r="H73" s="22">
        <v>0</v>
      </c>
      <c r="I73" s="22"/>
      <c r="J73" s="22">
        <v>0</v>
      </c>
      <c r="K73" s="22"/>
      <c r="L73" s="22">
        <v>0</v>
      </c>
      <c r="M73" s="22"/>
      <c r="N73" s="22">
        <v>0</v>
      </c>
    </row>
    <row r="74" spans="1:14" x14ac:dyDescent="0.4">
      <c r="A74" s="20" t="s">
        <v>40</v>
      </c>
      <c r="B74" s="20"/>
      <c r="C74" s="20"/>
      <c r="D74" s="22">
        <v>0</v>
      </c>
      <c r="E74" s="22"/>
      <c r="F74" s="22">
        <v>0</v>
      </c>
      <c r="G74" s="22"/>
      <c r="H74" s="22">
        <v>0</v>
      </c>
      <c r="I74" s="22"/>
      <c r="J74" s="22">
        <v>0</v>
      </c>
      <c r="K74" s="22"/>
      <c r="L74" s="22">
        <v>0</v>
      </c>
      <c r="M74" s="22"/>
      <c r="N74" s="22">
        <v>0</v>
      </c>
    </row>
    <row r="75" spans="1:14" x14ac:dyDescent="0.4">
      <c r="A75" s="20" t="s">
        <v>41</v>
      </c>
      <c r="B75" s="20"/>
      <c r="C75" s="20"/>
      <c r="D75" s="22">
        <v>0</v>
      </c>
      <c r="E75" s="22"/>
      <c r="F75" s="22">
        <v>0</v>
      </c>
      <c r="G75" s="22"/>
      <c r="H75" s="22">
        <v>0</v>
      </c>
      <c r="I75" s="22"/>
      <c r="J75" s="22">
        <v>0</v>
      </c>
      <c r="K75" s="22"/>
      <c r="L75" s="22">
        <v>0</v>
      </c>
      <c r="M75" s="22"/>
      <c r="N75" s="22">
        <v>0</v>
      </c>
    </row>
    <row r="76" spans="1:14" x14ac:dyDescent="0.4">
      <c r="A76" s="20" t="s">
        <v>42</v>
      </c>
      <c r="B76" s="20"/>
      <c r="C76" s="20"/>
      <c r="D76" s="22">
        <v>4531.7790000000005</v>
      </c>
      <c r="E76" s="22"/>
      <c r="F76" s="22">
        <v>3529.4520000000002</v>
      </c>
      <c r="G76" s="22"/>
      <c r="H76" s="22">
        <v>2493.665</v>
      </c>
      <c r="I76" s="22"/>
      <c r="J76" s="22">
        <v>3067.0450000000001</v>
      </c>
      <c r="K76" s="22"/>
      <c r="L76" s="22">
        <v>2188.779</v>
      </c>
      <c r="M76" s="22"/>
      <c r="N76" s="22">
        <v>2455.3879999999999</v>
      </c>
    </row>
    <row r="77" spans="1:14" x14ac:dyDescent="0.4">
      <c r="A77" s="20" t="s">
        <v>43</v>
      </c>
      <c r="B77" s="20"/>
      <c r="C77" s="20"/>
      <c r="D77" s="22">
        <v>0</v>
      </c>
      <c r="E77" s="22"/>
      <c r="F77" s="22">
        <v>0</v>
      </c>
      <c r="G77" s="22"/>
      <c r="H77" s="22">
        <v>0</v>
      </c>
      <c r="I77" s="22"/>
      <c r="J77" s="22">
        <v>0</v>
      </c>
      <c r="K77" s="22"/>
      <c r="L77" s="22">
        <v>0</v>
      </c>
      <c r="M77" s="22"/>
      <c r="N77" s="22">
        <v>0</v>
      </c>
    </row>
    <row r="78" spans="1:14" x14ac:dyDescent="0.4">
      <c r="A78" s="20" t="s">
        <v>44</v>
      </c>
      <c r="B78" s="20"/>
      <c r="C78" s="20"/>
      <c r="D78" s="22">
        <f>SUM(D68:D77)</f>
        <v>11322.982</v>
      </c>
      <c r="E78" s="22"/>
      <c r="F78" s="22">
        <f>SUM(F68:F77)</f>
        <v>9279.6749999999993</v>
      </c>
      <c r="G78" s="22"/>
      <c r="H78" s="22">
        <v>7263.616</v>
      </c>
      <c r="I78" s="22"/>
      <c r="J78" s="22">
        <v>6965.7110000000002</v>
      </c>
      <c r="K78" s="22"/>
      <c r="L78" s="22">
        <v>5651.8379999999997</v>
      </c>
      <c r="M78" s="22"/>
      <c r="N78" s="22">
        <v>5650.1850000000004</v>
      </c>
    </row>
    <row r="79" spans="1:14" x14ac:dyDescent="0.4">
      <c r="A79" s="20" t="s">
        <v>45</v>
      </c>
      <c r="B79" s="20"/>
      <c r="C79" s="20"/>
      <c r="D79" s="22">
        <v>0.16500000000000001</v>
      </c>
      <c r="E79" s="22"/>
      <c r="F79" s="22">
        <v>0</v>
      </c>
      <c r="G79" s="22"/>
      <c r="H79" s="22">
        <v>575</v>
      </c>
      <c r="I79" s="22"/>
      <c r="J79" s="22">
        <v>0</v>
      </c>
      <c r="K79" s="22"/>
      <c r="L79" s="22">
        <v>250</v>
      </c>
      <c r="M79" s="22"/>
      <c r="N79" s="22">
        <v>0</v>
      </c>
    </row>
    <row r="80" spans="1:14" x14ac:dyDescent="0.4">
      <c r="A80" s="20" t="s">
        <v>46</v>
      </c>
      <c r="B80" s="20"/>
      <c r="C80" s="20"/>
      <c r="D80" s="22">
        <v>0</v>
      </c>
      <c r="E80" s="22"/>
      <c r="F80" s="22">
        <v>464.91500000000002</v>
      </c>
      <c r="G80" s="22"/>
      <c r="H80" s="22">
        <v>575.78</v>
      </c>
      <c r="I80" s="22"/>
      <c r="J80" s="22">
        <v>447.745</v>
      </c>
      <c r="K80" s="22"/>
      <c r="L80" s="22">
        <v>829.81100000000004</v>
      </c>
      <c r="M80" s="22"/>
      <c r="N80" s="22">
        <v>457.92700000000002</v>
      </c>
    </row>
    <row r="81" spans="1:14" x14ac:dyDescent="0.4">
      <c r="A81" s="20" t="s">
        <v>47</v>
      </c>
      <c r="B81" s="20"/>
      <c r="C81" s="20"/>
      <c r="D81" s="22">
        <v>0</v>
      </c>
      <c r="E81" s="22"/>
      <c r="F81" s="22">
        <v>0</v>
      </c>
      <c r="G81" s="22"/>
      <c r="H81" s="22">
        <v>0</v>
      </c>
      <c r="I81" s="22"/>
      <c r="J81" s="22">
        <v>0</v>
      </c>
      <c r="K81" s="22"/>
      <c r="L81" s="22">
        <v>0</v>
      </c>
      <c r="M81" s="22"/>
      <c r="N81" s="22">
        <v>0</v>
      </c>
    </row>
    <row r="82" spans="1:14" x14ac:dyDescent="0.4">
      <c r="A82" s="20" t="s">
        <v>48</v>
      </c>
      <c r="B82" s="20"/>
      <c r="C82" s="20"/>
      <c r="D82" s="22">
        <v>601.44299999999998</v>
      </c>
      <c r="E82" s="22"/>
      <c r="F82" s="22">
        <v>511.40600000000001</v>
      </c>
      <c r="G82" s="22"/>
      <c r="H82" s="22">
        <v>603.06399999999996</v>
      </c>
      <c r="I82" s="22"/>
      <c r="J82" s="22">
        <v>382.71100000000001</v>
      </c>
      <c r="K82" s="22"/>
      <c r="L82" s="22">
        <v>350.10399999999998</v>
      </c>
      <c r="M82" s="22"/>
      <c r="N82" s="22">
        <v>315.07499999999999</v>
      </c>
    </row>
    <row r="83" spans="1:14" x14ac:dyDescent="0.4">
      <c r="A83" s="20" t="s">
        <v>49</v>
      </c>
      <c r="B83" s="20"/>
      <c r="C83" s="20"/>
      <c r="D83" s="22">
        <v>429.82799999999997</v>
      </c>
      <c r="E83" s="22"/>
      <c r="F83" s="22">
        <v>391.45600000000002</v>
      </c>
      <c r="G83" s="22"/>
      <c r="H83" s="22">
        <v>361.08300000000003</v>
      </c>
      <c r="I83" s="22"/>
      <c r="J83" s="22">
        <v>319.63299999999998</v>
      </c>
      <c r="K83" s="22"/>
      <c r="L83" s="22">
        <v>293.096</v>
      </c>
      <c r="M83" s="22"/>
      <c r="N83" s="22">
        <v>276.005</v>
      </c>
    </row>
    <row r="84" spans="1:14" x14ac:dyDescent="0.4">
      <c r="A84" s="20" t="s">
        <v>50</v>
      </c>
      <c r="B84" s="20"/>
      <c r="C84" s="20"/>
      <c r="D84" s="22">
        <v>11.542999999999999</v>
      </c>
      <c r="E84" s="22"/>
      <c r="F84" s="22">
        <v>9.4640000000000004</v>
      </c>
      <c r="G84" s="22"/>
      <c r="H84" s="22"/>
      <c r="I84" s="22"/>
      <c r="J84" s="22"/>
      <c r="K84" s="22"/>
      <c r="L84" s="22"/>
      <c r="M84" s="22"/>
      <c r="N84" s="22"/>
    </row>
    <row r="85" spans="1:14" x14ac:dyDescent="0.4">
      <c r="A85" s="20" t="s">
        <v>51</v>
      </c>
      <c r="B85" s="20"/>
      <c r="C85" s="20"/>
      <c r="D85" s="22">
        <v>155.322</v>
      </c>
      <c r="E85" s="22"/>
      <c r="F85" s="22">
        <v>132.00399999999999</v>
      </c>
      <c r="G85" s="22"/>
      <c r="H85" s="22">
        <v>158.27099999999999</v>
      </c>
      <c r="I85" s="22"/>
      <c r="J85" s="22">
        <v>227.18299999999999</v>
      </c>
      <c r="K85" s="22"/>
      <c r="L85" s="22">
        <v>193.55600000000001</v>
      </c>
      <c r="M85" s="22"/>
      <c r="N85" s="22">
        <v>192.886</v>
      </c>
    </row>
    <row r="86" spans="1:14" x14ac:dyDescent="0.4">
      <c r="A86" s="20" t="s">
        <v>52</v>
      </c>
      <c r="B86" s="20"/>
      <c r="C86" s="20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 x14ac:dyDescent="0.4">
      <c r="A87" s="20" t="s">
        <v>53</v>
      </c>
      <c r="B87" s="20"/>
      <c r="C87" s="20"/>
      <c r="D87" s="22">
        <v>23.492999999999999</v>
      </c>
      <c r="E87" s="22"/>
      <c r="F87" s="22">
        <v>11.164999999999999</v>
      </c>
      <c r="G87" s="22"/>
      <c r="H87" s="22"/>
      <c r="I87" s="22"/>
      <c r="J87" s="22"/>
      <c r="K87" s="22"/>
      <c r="L87" s="22"/>
      <c r="M87" s="22"/>
      <c r="N87" s="22"/>
    </row>
    <row r="88" spans="1:14" x14ac:dyDescent="0.4">
      <c r="A88" s="20" t="s">
        <v>69</v>
      </c>
      <c r="B88" s="20"/>
      <c r="C88" s="20"/>
      <c r="D88" s="22">
        <f>-20.962+9.583+8.411</f>
        <v>-2.968</v>
      </c>
      <c r="E88" s="22"/>
      <c r="F88" s="22">
        <f>11.121+1.169</f>
        <v>12.290000000000001</v>
      </c>
      <c r="G88" s="22"/>
      <c r="H88" s="22">
        <v>-132.61699999999999</v>
      </c>
      <c r="I88" s="22"/>
      <c r="J88" s="22">
        <v>20.63</v>
      </c>
      <c r="K88" s="22"/>
      <c r="L88" s="22">
        <v>21.446000000000002</v>
      </c>
      <c r="M88" s="22"/>
      <c r="N88" s="22">
        <v>32.563000000000002</v>
      </c>
    </row>
    <row r="89" spans="1:14" x14ac:dyDescent="0.4">
      <c r="A89" s="20" t="s">
        <v>54</v>
      </c>
      <c r="B89" s="20"/>
      <c r="C89" s="20"/>
      <c r="D89" s="22">
        <v>1935.6759999999999</v>
      </c>
      <c r="E89" s="22"/>
      <c r="F89" s="22">
        <v>1693.4770000000001</v>
      </c>
      <c r="G89" s="22"/>
      <c r="H89" s="22">
        <v>1467.5909999999999</v>
      </c>
      <c r="I89" s="22"/>
      <c r="J89" s="22">
        <v>1137.0889999999999</v>
      </c>
      <c r="K89" s="22"/>
      <c r="L89" s="22">
        <v>1086.95</v>
      </c>
      <c r="M89" s="22"/>
      <c r="N89" s="22">
        <v>975.13199999999995</v>
      </c>
    </row>
    <row r="90" spans="1:14" x14ac:dyDescent="0.4">
      <c r="A90" s="20" t="s">
        <v>55</v>
      </c>
      <c r="B90" s="20"/>
      <c r="C90" s="20"/>
      <c r="D90" s="22">
        <v>282.44400000000002</v>
      </c>
      <c r="E90" s="22"/>
      <c r="F90" s="22">
        <v>245.71700000000001</v>
      </c>
      <c r="G90" s="22"/>
      <c r="H90" s="22">
        <v>214.90600000000001</v>
      </c>
      <c r="I90" s="22"/>
      <c r="J90" s="22">
        <v>191.93100000000001</v>
      </c>
      <c r="K90" s="22"/>
      <c r="L90" s="22">
        <v>175.126</v>
      </c>
      <c r="M90" s="22"/>
      <c r="N90" s="22">
        <v>160.018</v>
      </c>
    </row>
    <row r="91" spans="1:14" x14ac:dyDescent="0.4">
      <c r="A91" s="20" t="s">
        <v>56</v>
      </c>
      <c r="B91" s="20"/>
      <c r="C91" s="20"/>
      <c r="D91" s="22">
        <v>0</v>
      </c>
      <c r="E91" s="22"/>
      <c r="F91" s="22">
        <v>0</v>
      </c>
      <c r="G91" s="22"/>
      <c r="H91" s="22">
        <v>0</v>
      </c>
      <c r="I91" s="22"/>
      <c r="J91" s="22">
        <v>0</v>
      </c>
      <c r="K91" s="22"/>
      <c r="L91" s="22">
        <v>0</v>
      </c>
      <c r="M91" s="22"/>
      <c r="N91" s="22">
        <v>0</v>
      </c>
    </row>
    <row r="92" spans="1:14" x14ac:dyDescent="0.4">
      <c r="A92" s="20" t="s">
        <v>57</v>
      </c>
      <c r="B92" s="20"/>
      <c r="C92" s="20"/>
      <c r="D92" s="22">
        <v>194.99299999999999</v>
      </c>
      <c r="E92" s="22"/>
      <c r="F92" s="22">
        <v>184.852</v>
      </c>
      <c r="G92" s="22"/>
      <c r="H92" s="22">
        <v>169.98699999999999</v>
      </c>
      <c r="I92" s="22"/>
      <c r="J92" s="22">
        <v>156.66800000000001</v>
      </c>
      <c r="K92" s="22"/>
      <c r="L92" s="22">
        <v>154.74799999999999</v>
      </c>
      <c r="M92" s="22"/>
      <c r="N92" s="22">
        <v>151.334</v>
      </c>
    </row>
    <row r="93" spans="1:14" x14ac:dyDescent="0.4">
      <c r="A93" s="20" t="s">
        <v>58</v>
      </c>
      <c r="B93" s="20"/>
      <c r="C93" s="20"/>
      <c r="D93" s="22">
        <v>-3.0710000000000002</v>
      </c>
      <c r="E93" s="22"/>
      <c r="F93" s="22">
        <v>11.467000000000001</v>
      </c>
      <c r="G93" s="22"/>
      <c r="H93" s="22">
        <v>6.1020000000000003</v>
      </c>
      <c r="I93" s="22"/>
      <c r="J93" s="22">
        <v>5.2640000000000002</v>
      </c>
      <c r="K93" s="22"/>
      <c r="L93" s="22">
        <v>7.7939999999999996</v>
      </c>
      <c r="M93" s="22"/>
      <c r="N93" s="22">
        <v>1.802</v>
      </c>
    </row>
    <row r="94" spans="1:14" x14ac:dyDescent="0.4">
      <c r="A94" s="20" t="s">
        <v>67</v>
      </c>
      <c r="B94" s="20"/>
      <c r="C94" s="20"/>
      <c r="D94" s="22">
        <v>1</v>
      </c>
      <c r="E94" s="22"/>
      <c r="F94" s="22">
        <v>1</v>
      </c>
      <c r="G94" s="22"/>
      <c r="H94" s="22">
        <v>1</v>
      </c>
      <c r="I94" s="22"/>
      <c r="J94" s="22">
        <v>1</v>
      </c>
      <c r="K94" s="22"/>
      <c r="L94" s="22">
        <v>1</v>
      </c>
      <c r="M94" s="22"/>
      <c r="N94" s="22">
        <v>1</v>
      </c>
    </row>
    <row r="95" spans="1:14" x14ac:dyDescent="0.4">
      <c r="A95" s="20" t="s">
        <v>68</v>
      </c>
      <c r="B95" s="20"/>
      <c r="C95" s="20"/>
      <c r="D95" s="22">
        <v>1</v>
      </c>
      <c r="E95" s="22"/>
      <c r="F95" s="22">
        <v>1</v>
      </c>
      <c r="G95" s="22"/>
      <c r="H95" s="22">
        <v>1</v>
      </c>
      <c r="I95" s="22"/>
      <c r="J95" s="22">
        <v>1</v>
      </c>
      <c r="K95" s="22"/>
      <c r="L95" s="22">
        <v>1</v>
      </c>
      <c r="M95" s="22"/>
      <c r="N95" s="22">
        <v>1</v>
      </c>
    </row>
    <row r="96" spans="1:14" x14ac:dyDescent="0.4">
      <c r="A96" s="20" t="s">
        <v>59</v>
      </c>
      <c r="B96" s="20"/>
      <c r="C96" s="20"/>
      <c r="D96" s="22">
        <v>282.44400000000002</v>
      </c>
      <c r="E96" s="22"/>
      <c r="F96" s="22">
        <v>245.71700000000001</v>
      </c>
      <c r="G96" s="22"/>
      <c r="H96" s="22">
        <v>214.90600000000001</v>
      </c>
      <c r="I96" s="22"/>
      <c r="J96" s="22">
        <v>191.93100000000001</v>
      </c>
      <c r="K96" s="22"/>
      <c r="L96" s="22">
        <v>175.126</v>
      </c>
      <c r="M96" s="22"/>
      <c r="N96" s="22">
        <v>160.018</v>
      </c>
    </row>
    <row r="97" spans="1:14" x14ac:dyDescent="0.4">
      <c r="A97" s="20" t="s">
        <v>60</v>
      </c>
      <c r="B97" s="20"/>
      <c r="C97" s="20"/>
      <c r="D97" s="22">
        <v>2.2999999999999998</v>
      </c>
      <c r="E97" s="22"/>
      <c r="F97" s="22">
        <v>2.1</v>
      </c>
      <c r="G97" s="22"/>
      <c r="H97" s="22">
        <v>1.94</v>
      </c>
      <c r="I97" s="22"/>
      <c r="J97" s="22">
        <v>1.8</v>
      </c>
      <c r="K97" s="22"/>
      <c r="L97" s="22">
        <v>1.68</v>
      </c>
      <c r="M97" s="22"/>
      <c r="N97" s="22">
        <v>1.56</v>
      </c>
    </row>
    <row r="98" spans="1:14" x14ac:dyDescent="0.4">
      <c r="A98" s="20" t="s">
        <v>61</v>
      </c>
      <c r="B98" s="20"/>
      <c r="C98" s="20"/>
      <c r="D98" s="22">
        <v>2.2999999999999998</v>
      </c>
      <c r="E98" s="22"/>
      <c r="F98" s="22">
        <v>2.1</v>
      </c>
      <c r="G98" s="22"/>
      <c r="H98" s="22">
        <v>1.94</v>
      </c>
      <c r="I98" s="22"/>
      <c r="J98" s="22">
        <v>1.8</v>
      </c>
      <c r="K98" s="22"/>
      <c r="L98" s="22">
        <v>1.68</v>
      </c>
      <c r="M98" s="22"/>
      <c r="N98" s="22">
        <v>1.56</v>
      </c>
    </row>
    <row r="99" spans="1:14" x14ac:dyDescent="0.4">
      <c r="A99" s="20" t="s">
        <v>62</v>
      </c>
      <c r="B99" s="20"/>
      <c r="C99" s="20"/>
      <c r="D99" s="22">
        <v>121.08</v>
      </c>
      <c r="E99" s="22"/>
      <c r="F99" s="22">
        <v>115.19</v>
      </c>
      <c r="G99" s="22"/>
      <c r="H99" s="22">
        <v>100.76</v>
      </c>
      <c r="I99" s="22"/>
      <c r="J99" s="22">
        <v>93.555000000000007</v>
      </c>
      <c r="K99" s="22"/>
      <c r="L99" s="22">
        <v>81.97</v>
      </c>
      <c r="M99" s="22"/>
      <c r="N99" s="22">
        <v>64.790000000000006</v>
      </c>
    </row>
    <row r="100" spans="1:14" x14ac:dyDescent="0.4">
      <c r="A100" s="20" t="s">
        <v>63</v>
      </c>
      <c r="B100" s="20"/>
      <c r="C100" s="20"/>
      <c r="D100" s="22">
        <v>77.92</v>
      </c>
      <c r="E100" s="22"/>
      <c r="F100" s="22">
        <v>89.19</v>
      </c>
      <c r="G100" s="22"/>
      <c r="H100" s="22">
        <v>76.459999999999994</v>
      </c>
      <c r="I100" s="22"/>
      <c r="J100" s="22">
        <v>72.540000000000006</v>
      </c>
      <c r="K100" s="22"/>
      <c r="L100" s="22">
        <v>60</v>
      </c>
      <c r="M100" s="22"/>
      <c r="N100" s="22">
        <v>50.83</v>
      </c>
    </row>
    <row r="101" spans="1:14" x14ac:dyDescent="0.4">
      <c r="A101" s="20" t="s">
        <v>64</v>
      </c>
      <c r="B101" s="20"/>
      <c r="C101" s="20"/>
      <c r="D101" s="22">
        <v>95.43</v>
      </c>
      <c r="E101" s="22"/>
      <c r="F101" s="22">
        <v>111.86</v>
      </c>
      <c r="G101" s="22"/>
      <c r="H101" s="22">
        <v>92.72</v>
      </c>
      <c r="I101" s="22"/>
      <c r="J101" s="22">
        <v>85.89</v>
      </c>
      <c r="K101" s="22"/>
      <c r="L101" s="22">
        <v>74.150000000000006</v>
      </c>
      <c r="M101" s="22"/>
      <c r="N101" s="22">
        <v>63.04</v>
      </c>
    </row>
    <row r="102" spans="1:14" x14ac:dyDescent="0.4">
      <c r="A102" s="20" t="s">
        <v>65</v>
      </c>
      <c r="B102" s="20"/>
      <c r="C102" s="20"/>
      <c r="D102" s="22">
        <v>125.88247699999999</v>
      </c>
      <c r="E102" s="22"/>
      <c r="F102" s="22">
        <v>119.338925</v>
      </c>
      <c r="G102" s="22"/>
      <c r="H102" s="22">
        <v>111.274</v>
      </c>
      <c r="I102" s="22"/>
      <c r="J102" s="22">
        <v>106.105</v>
      </c>
      <c r="K102" s="22"/>
      <c r="L102" s="22">
        <v>103.931</v>
      </c>
      <c r="M102" s="22"/>
      <c r="N102" s="22">
        <v>101.479</v>
      </c>
    </row>
    <row r="103" spans="1:14" x14ac:dyDescent="0.4">
      <c r="A103" s="20" t="s">
        <v>77</v>
      </c>
      <c r="B103" s="20"/>
      <c r="C103" s="20"/>
      <c r="D103" s="22">
        <v>-57.588999999999999</v>
      </c>
      <c r="E103" s="22"/>
      <c r="F103" s="22">
        <v>-114.583</v>
      </c>
      <c r="G103" s="22"/>
      <c r="H103" s="22">
        <v>-83.647000000000006</v>
      </c>
      <c r="I103" s="22"/>
      <c r="J103" s="22">
        <v>-105.254</v>
      </c>
      <c r="K103" s="22"/>
      <c r="L103" s="22">
        <v>-188.02199999999999</v>
      </c>
      <c r="M103" s="22"/>
      <c r="N103" s="22">
        <v>-109.33</v>
      </c>
    </row>
    <row r="104" spans="1:14" x14ac:dyDescent="0.4">
      <c r="A104" t="s">
        <v>71</v>
      </c>
    </row>
    <row r="105" spans="1:14" x14ac:dyDescent="0.4">
      <c r="B105" t="s">
        <v>70</v>
      </c>
      <c r="D105" s="15">
        <f>D67/D94</f>
        <v>4.8899999999999997</v>
      </c>
      <c r="F105" s="15">
        <f>F67/F94</f>
        <v>4.3600000000000003</v>
      </c>
      <c r="H105" s="15">
        <f>H67/H94</f>
        <v>5.43</v>
      </c>
      <c r="J105" s="15">
        <f>J67/J94</f>
        <v>3.6</v>
      </c>
      <c r="L105" s="15">
        <f>L67/L94</f>
        <v>3.38</v>
      </c>
      <c r="N105" s="15">
        <f>N67/N94</f>
        <v>3.09</v>
      </c>
    </row>
    <row r="106" spans="1:14" x14ac:dyDescent="0.4">
      <c r="B106" t="s">
        <v>60</v>
      </c>
      <c r="D106" s="15">
        <f>D97/D94</f>
        <v>2.2999999999999998</v>
      </c>
      <c r="F106" s="15">
        <f>F97/F94</f>
        <v>2.1</v>
      </c>
      <c r="H106" s="15">
        <f>H97/H94</f>
        <v>1.94</v>
      </c>
      <c r="J106" s="15">
        <f>J97/J94</f>
        <v>1.8</v>
      </c>
      <c r="L106" s="15">
        <f>L97/L94</f>
        <v>1.68</v>
      </c>
      <c r="N106" s="15">
        <f>N97/N94</f>
        <v>1.56</v>
      </c>
    </row>
    <row r="107" spans="1:14" x14ac:dyDescent="0.4">
      <c r="B107" t="s">
        <v>61</v>
      </c>
      <c r="D107" s="15">
        <f>D98/D94</f>
        <v>2.2999999999999998</v>
      </c>
      <c r="F107" s="15">
        <f>F98/F94</f>
        <v>2.1</v>
      </c>
      <c r="H107" s="15">
        <f>H98/H94</f>
        <v>1.94</v>
      </c>
      <c r="J107" s="15">
        <f>J98/J94</f>
        <v>1.8</v>
      </c>
      <c r="L107" s="15">
        <f>L98/L94</f>
        <v>1.68</v>
      </c>
      <c r="N107" s="15">
        <f>N98/N94</f>
        <v>1.56</v>
      </c>
    </row>
    <row r="108" spans="1:14" x14ac:dyDescent="0.4">
      <c r="B108" t="s">
        <v>62</v>
      </c>
      <c r="D108" s="15">
        <f>D99/D94</f>
        <v>121.08</v>
      </c>
      <c r="F108" s="15">
        <f>F99/F94</f>
        <v>115.19</v>
      </c>
      <c r="H108" s="15">
        <f>H99/H94</f>
        <v>100.76</v>
      </c>
      <c r="J108" s="15">
        <f>J99/J94</f>
        <v>93.555000000000007</v>
      </c>
      <c r="L108" s="15">
        <f>L99/L94</f>
        <v>81.97</v>
      </c>
      <c r="N108" s="15">
        <f>N99/N94</f>
        <v>64.790000000000006</v>
      </c>
    </row>
    <row r="109" spans="1:14" x14ac:dyDescent="0.4">
      <c r="B109" t="s">
        <v>63</v>
      </c>
      <c r="D109" s="15">
        <f>D100/D94</f>
        <v>77.92</v>
      </c>
      <c r="F109" s="15">
        <f>F100/F94</f>
        <v>89.19</v>
      </c>
      <c r="H109" s="15">
        <f>H100/H94</f>
        <v>76.459999999999994</v>
      </c>
      <c r="J109" s="15">
        <f>J100/J94</f>
        <v>72.540000000000006</v>
      </c>
      <c r="L109" s="15">
        <f>L100/L94</f>
        <v>60</v>
      </c>
      <c r="N109" s="15">
        <f>N100/N94</f>
        <v>50.83</v>
      </c>
    </row>
    <row r="110" spans="1:14" x14ac:dyDescent="0.4">
      <c r="B110" t="s">
        <v>64</v>
      </c>
      <c r="D110" s="15">
        <f>D101/D94</f>
        <v>95.43</v>
      </c>
      <c r="F110" s="15">
        <f>F101/F94</f>
        <v>111.86</v>
      </c>
      <c r="H110" s="15">
        <f>H101/H94</f>
        <v>92.72</v>
      </c>
      <c r="J110" s="15">
        <f>J101/J94</f>
        <v>85.89</v>
      </c>
      <c r="L110" s="15">
        <f>L101/L94</f>
        <v>74.150000000000006</v>
      </c>
      <c r="N110" s="15">
        <f>N101/N94</f>
        <v>63.04</v>
      </c>
    </row>
    <row r="111" spans="1:14" x14ac:dyDescent="0.4">
      <c r="B111" t="s">
        <v>65</v>
      </c>
      <c r="D111" s="16">
        <f>D102*D94</f>
        <v>125.88247699999999</v>
      </c>
      <c r="E111" s="16"/>
      <c r="F111" s="16">
        <f>F102*F94</f>
        <v>119.338925</v>
      </c>
      <c r="G111" s="16"/>
      <c r="H111" s="16">
        <f>H102*H94</f>
        <v>111.274</v>
      </c>
      <c r="I111" s="16"/>
      <c r="J111" s="16">
        <f>J102*J94</f>
        <v>106.105</v>
      </c>
      <c r="K111" s="16"/>
      <c r="L111" s="16">
        <f>L102*L94</f>
        <v>103.931</v>
      </c>
      <c r="M111" s="16"/>
      <c r="N111" s="16">
        <f>N102*N94</f>
        <v>101.479</v>
      </c>
    </row>
    <row r="112" spans="1:14" x14ac:dyDescent="0.4">
      <c r="B112" t="s">
        <v>66</v>
      </c>
      <c r="D112" s="15">
        <f>ROUND(D68/D111,2)</f>
        <v>53.95</v>
      </c>
      <c r="F112" s="15">
        <f>ROUND(F68/F111,2)</f>
        <v>48.18</v>
      </c>
      <c r="H112" s="15">
        <f>ROUND(H68/H111,2)</f>
        <v>42.87</v>
      </c>
      <c r="J112" s="15">
        <f>ROUND(J68/J111,2)</f>
        <v>36.74</v>
      </c>
      <c r="L112" s="15">
        <f>ROUND(L68/L111,2)</f>
        <v>33.32</v>
      </c>
      <c r="N112" s="15">
        <f>ROUND(N68/N111,2)</f>
        <v>31.48</v>
      </c>
    </row>
  </sheetData>
  <mergeCells count="4">
    <mergeCell ref="D6:L6"/>
    <mergeCell ref="A1:O1"/>
    <mergeCell ref="A2:O2"/>
    <mergeCell ref="A3:O3"/>
  </mergeCells>
  <phoneticPr fontId="0" type="noConversion"/>
  <pageMargins left="1.25" right="0" top="1.5" bottom="1" header="0.5" footer="0.5"/>
  <pageSetup scale="62" orientation="portrait" r:id="rId1"/>
  <headerFooter alignWithMargins="0"/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O112"/>
  <sheetViews>
    <sheetView zoomScale="85" zoomScaleNormal="85" workbookViewId="0">
      <selection sqref="A1:O1"/>
    </sheetView>
  </sheetViews>
  <sheetFormatPr defaultRowHeight="15" x14ac:dyDescent="0.4"/>
  <cols>
    <col min="1" max="1" width="2.6640625" customWidth="1"/>
    <col min="2" max="2" width="24.71875" customWidth="1"/>
    <col min="4" max="4" width="10.21875" customWidth="1"/>
    <col min="5" max="5" width="3.71875" customWidth="1"/>
    <col min="6" max="6" width="10.21875" customWidth="1"/>
    <col min="7" max="7" width="3.71875" customWidth="1"/>
    <col min="8" max="8" width="10.21875" customWidth="1"/>
    <col min="9" max="9" width="3.71875" customWidth="1"/>
    <col min="10" max="10" width="10.21875" customWidth="1"/>
    <col min="11" max="11" width="3.71875" customWidth="1"/>
    <col min="12" max="12" width="10.21875" customWidth="1"/>
    <col min="13" max="13" width="3.71875" customWidth="1"/>
    <col min="14" max="14" width="8.71875" customWidth="1"/>
    <col min="15" max="15" width="2.71875" customWidth="1"/>
  </cols>
  <sheetData>
    <row r="1" spans="1:15" x14ac:dyDescent="0.4">
      <c r="A1" s="46" t="str">
        <f>A54</f>
        <v>CHESAPEAKE UTILITIES CORP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x14ac:dyDescent="0.4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x14ac:dyDescent="0.4">
      <c r="A3" s="42" t="str">
        <f>'Page 1'!A3:N3</f>
        <v>2016-2020, Inclusive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5" spans="1:15" s="1" customFormat="1" x14ac:dyDescent="0.4">
      <c r="D5" s="2">
        <f>D55</f>
        <v>2020</v>
      </c>
      <c r="F5" s="2">
        <f>F55</f>
        <v>2019</v>
      </c>
      <c r="H5" s="2">
        <f>H55</f>
        <v>2018</v>
      </c>
      <c r="J5" s="2">
        <f>J55</f>
        <v>2017</v>
      </c>
      <c r="L5" s="2">
        <f>L55</f>
        <v>2016</v>
      </c>
    </row>
    <row r="6" spans="1:15" s="1" customFormat="1" x14ac:dyDescent="0.4">
      <c r="D6" s="45" t="s">
        <v>18</v>
      </c>
      <c r="E6" s="45"/>
      <c r="F6" s="45"/>
      <c r="G6" s="45"/>
      <c r="H6" s="45"/>
      <c r="I6" s="45"/>
      <c r="J6" s="45"/>
      <c r="K6" s="45"/>
      <c r="L6" s="45"/>
    </row>
    <row r="7" spans="1:15" x14ac:dyDescent="0.4">
      <c r="A7" t="s">
        <v>1</v>
      </c>
    </row>
    <row r="8" spans="1:15" x14ac:dyDescent="0.4">
      <c r="B8" t="s">
        <v>6</v>
      </c>
      <c r="D8" s="37">
        <f>D78+D79+D81-D103</f>
        <v>1222.049</v>
      </c>
      <c r="F8" s="37">
        <f>F78+F79+F81-F103</f>
        <v>1053.6120000000001</v>
      </c>
      <c r="H8" s="37">
        <f>H78+H79+H81-H103</f>
        <v>853.10699999999986</v>
      </c>
      <c r="J8" s="37">
        <f>J78+J79+J81-J103</f>
        <v>697.38200000000006</v>
      </c>
      <c r="L8" s="37">
        <f>L78+L79+L81-L103</f>
        <v>600.01700000000005</v>
      </c>
    </row>
    <row r="9" spans="1:15" x14ac:dyDescent="0.4">
      <c r="B9" t="s">
        <v>5</v>
      </c>
      <c r="D9" s="11">
        <f>D80</f>
        <v>175.64400000000001</v>
      </c>
      <c r="F9" s="11">
        <f>F80</f>
        <v>247.37100000000001</v>
      </c>
      <c r="H9" s="11">
        <f>H80</f>
        <v>294.45800000000003</v>
      </c>
      <c r="J9" s="11">
        <f>J80</f>
        <v>250.96899999999999</v>
      </c>
      <c r="L9" s="11">
        <f>L80</f>
        <v>209.87100000000001</v>
      </c>
    </row>
    <row r="10" spans="1:15" ht="15.4" thickBot="1" x14ac:dyDescent="0.45">
      <c r="B10" t="s">
        <v>7</v>
      </c>
      <c r="D10" s="12">
        <f>D8+D9</f>
        <v>1397.693</v>
      </c>
      <c r="F10" s="12">
        <f>F8+F9</f>
        <v>1300.9830000000002</v>
      </c>
      <c r="H10" s="12">
        <f>H8+H9</f>
        <v>1147.5649999999998</v>
      </c>
      <c r="J10" s="12">
        <f>J8+J9</f>
        <v>948.35100000000011</v>
      </c>
      <c r="L10" s="12">
        <f>L8+L9</f>
        <v>809.88800000000003</v>
      </c>
    </row>
    <row r="11" spans="1:15" ht="15.4" thickTop="1" x14ac:dyDescent="0.4"/>
    <row r="12" spans="1:15" x14ac:dyDescent="0.4">
      <c r="A12" t="s">
        <v>8</v>
      </c>
      <c r="N12" s="2" t="s">
        <v>19</v>
      </c>
    </row>
    <row r="13" spans="1:15" x14ac:dyDescent="0.4">
      <c r="B13" s="24" t="s">
        <v>73</v>
      </c>
      <c r="D13" s="32">
        <f>ROUND(AVERAGE(D108:D109)/D105,0)</f>
        <v>21</v>
      </c>
      <c r="E13" s="7" t="s">
        <v>3</v>
      </c>
      <c r="F13" s="32">
        <f>ROUND(AVERAGE(F108:F109)/F105,0)</f>
        <v>24</v>
      </c>
      <c r="G13" s="7" t="s">
        <v>3</v>
      </c>
      <c r="H13" s="32">
        <f>ROUND(AVERAGE(H108:H109)/H105,0)</f>
        <v>23</v>
      </c>
      <c r="I13" s="7" t="s">
        <v>3</v>
      </c>
      <c r="J13" s="32">
        <f>ROUND(AVERAGE(J108:J109)/J105,0)</f>
        <v>21</v>
      </c>
      <c r="K13" s="7" t="s">
        <v>3</v>
      </c>
      <c r="L13" s="32">
        <f>ROUND(AVERAGE(L108:L109)/L105,0)</f>
        <v>21</v>
      </c>
      <c r="M13" s="7" t="s">
        <v>3</v>
      </c>
      <c r="N13" s="33">
        <f>AVERAGE(D13,F13,H13,J13,L13)</f>
        <v>22</v>
      </c>
      <c r="O13" s="7" t="s">
        <v>3</v>
      </c>
    </row>
    <row r="14" spans="1:15" x14ac:dyDescent="0.4">
      <c r="B14" t="s">
        <v>20</v>
      </c>
      <c r="D14" s="3">
        <f>ROUND(AVERAGE(D108:D109)/AVERAGE(D112,F112),3)</f>
        <v>2.4390000000000001</v>
      </c>
      <c r="E14" s="3"/>
      <c r="F14" s="3">
        <f>ROUND(AVERAGE(F108:F109)/AVERAGE(F112,H112),3)</f>
        <v>2.6739999999999999</v>
      </c>
      <c r="G14" s="3"/>
      <c r="H14" s="3">
        <f>ROUND(AVERAGE(H108:H109)/AVERAGE(H112,J112),3)</f>
        <v>2.6019999999999999</v>
      </c>
      <c r="I14" s="3"/>
      <c r="J14" s="3">
        <f>ROUND(AVERAGE(J108:J109)/AVERAGE(J112,L112),3)</f>
        <v>2.6150000000000002</v>
      </c>
      <c r="K14" s="3"/>
      <c r="L14" s="3">
        <f>ROUND(AVERAGE(L108:L109)/AVERAGE(L112,N112),3)</f>
        <v>2.4060000000000001</v>
      </c>
      <c r="M14" s="3"/>
      <c r="N14" s="6">
        <f>AVERAGE(D14,F14,H14,J14,L14)</f>
        <v>2.5472000000000001</v>
      </c>
    </row>
    <row r="15" spans="1:15" x14ac:dyDescent="0.4">
      <c r="B15" t="s">
        <v>9</v>
      </c>
      <c r="D15" s="3">
        <f>ROUND(D106/AVERAGE(D108:D109),3)</f>
        <v>1.9E-2</v>
      </c>
      <c r="E15" s="3"/>
      <c r="F15" s="3">
        <f>ROUND(F106/AVERAGE(F108:F109),3)</f>
        <v>1.7999999999999999E-2</v>
      </c>
      <c r="G15" s="3"/>
      <c r="H15" s="3">
        <f>ROUND(H106/AVERAGE(H108:H109),3)</f>
        <v>1.7999999999999999E-2</v>
      </c>
      <c r="I15" s="3"/>
      <c r="J15" s="3">
        <f>ROUND(J106/AVERAGE(J108:J109),3)</f>
        <v>1.7000000000000001E-2</v>
      </c>
      <c r="K15" s="3"/>
      <c r="L15" s="3">
        <f>ROUND(L106/AVERAGE(L108:L109),3)</f>
        <v>0.02</v>
      </c>
      <c r="M15" s="3"/>
      <c r="N15" s="6">
        <f>AVERAGE(D15,F15,H15,J15,L15)</f>
        <v>1.84E-2</v>
      </c>
    </row>
    <row r="16" spans="1:15" x14ac:dyDescent="0.4">
      <c r="B16" t="s">
        <v>10</v>
      </c>
      <c r="D16" s="3">
        <f>ROUND(D96/D66,3)</f>
        <v>0.41199999999999998</v>
      </c>
      <c r="E16" s="3"/>
      <c r="F16" s="3">
        <f>ROUND(F96/F66,3)</f>
        <v>0.40200000000000002</v>
      </c>
      <c r="G16" s="3"/>
      <c r="H16" s="3">
        <f>ROUND(H96/H66,3)</f>
        <v>0.41699999999999998</v>
      </c>
      <c r="I16" s="3"/>
      <c r="J16" s="3">
        <f>ROUND(J96/J66,3)</f>
        <v>0.36199999999999999</v>
      </c>
      <c r="K16" s="3"/>
      <c r="L16" s="3">
        <f>ROUND(L96/L66,3)</f>
        <v>0.42199999999999999</v>
      </c>
      <c r="M16" s="3"/>
      <c r="N16" s="6">
        <f>AVERAGE(D16,F16,H16,J16,L16)</f>
        <v>0.40300000000000002</v>
      </c>
    </row>
    <row r="18" spans="1:14" x14ac:dyDescent="0.4">
      <c r="A18" t="s">
        <v>2</v>
      </c>
    </row>
    <row r="19" spans="1:14" x14ac:dyDescent="0.4">
      <c r="B19" t="s">
        <v>11</v>
      </c>
    </row>
    <row r="20" spans="1:14" x14ac:dyDescent="0.4">
      <c r="B20" s="34" t="s">
        <v>78</v>
      </c>
      <c r="D20" s="3">
        <f>ROUND((+D76+D79)/D8,3)</f>
        <v>0.42699999999999999</v>
      </c>
      <c r="E20" s="3"/>
      <c r="F20" s="3">
        <f>ROUND((+F76+F79)/F8,3)</f>
        <v>0.46100000000000002</v>
      </c>
      <c r="G20" s="3"/>
      <c r="H20" s="3">
        <f>ROUND((+H76+H79)/H8,3)</f>
        <v>0.38400000000000001</v>
      </c>
      <c r="I20" s="3"/>
      <c r="J20" s="3">
        <f>ROUND((+J76+J79)/J8,3)</f>
        <v>0.29699999999999999</v>
      </c>
      <c r="K20" s="3"/>
      <c r="L20" s="3">
        <f>ROUND((+L76+L79)/L8,3)</f>
        <v>0.248</v>
      </c>
      <c r="M20" s="3"/>
      <c r="N20" s="6">
        <f>AVERAGE(D20,F20,H20,J20,L20)</f>
        <v>0.3634</v>
      </c>
    </row>
    <row r="21" spans="1:14" x14ac:dyDescent="0.4">
      <c r="B21" s="34" t="s">
        <v>79</v>
      </c>
      <c r="D21" s="3">
        <f>ROUND((SUM(D69:D75)+D81)/D8,3)</f>
        <v>0</v>
      </c>
      <c r="E21" s="3"/>
      <c r="F21" s="3">
        <f>ROUND((SUM(F69:F75)+F81)/F8,3)</f>
        <v>0</v>
      </c>
      <c r="G21" s="3"/>
      <c r="H21" s="3">
        <f>ROUND((SUM(H69:H75)+H81)/H8,3)</f>
        <v>0</v>
      </c>
      <c r="I21" s="3"/>
      <c r="J21" s="3">
        <f>ROUND((SUM(J69:J75)+J81)/J8,3)</f>
        <v>0</v>
      </c>
      <c r="K21" s="3"/>
      <c r="L21" s="3">
        <f>ROUND((SUM(L69:L75)+L81)/L8,3)</f>
        <v>0</v>
      </c>
      <c r="M21" s="3"/>
      <c r="N21" s="6">
        <f>AVERAGE(D21,F21,H21,J21,L21)</f>
        <v>0</v>
      </c>
    </row>
    <row r="22" spans="1:14" ht="17.25" x14ac:dyDescent="0.4">
      <c r="B22" s="35" t="s">
        <v>80</v>
      </c>
      <c r="D22" s="4">
        <f>ROUND((D68-D103)/D8,3)</f>
        <v>0.57299999999999995</v>
      </c>
      <c r="E22" s="3"/>
      <c r="F22" s="4">
        <f>ROUND((F68-F103)/F8,3)</f>
        <v>0.53900000000000003</v>
      </c>
      <c r="G22" s="3"/>
      <c r="H22" s="4">
        <f>ROUND((H68-H103)/H8,3)</f>
        <v>0.61599999999999999</v>
      </c>
      <c r="I22" s="3"/>
      <c r="J22" s="4">
        <f>ROUND((J68-J103)/J8,3)</f>
        <v>0.70299999999999996</v>
      </c>
      <c r="K22" s="3"/>
      <c r="L22" s="4">
        <f>ROUND((L68-L103)/L8,3)</f>
        <v>0.752</v>
      </c>
      <c r="M22" s="3"/>
      <c r="N22" s="8">
        <f>AVERAGE(D22,F22,H22,J22,L22)</f>
        <v>0.63659999999999994</v>
      </c>
    </row>
    <row r="23" spans="1:14" ht="15.4" thickBot="1" x14ac:dyDescent="0.45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9">
        <f>AVERAGE(D23,F23,H23,J23,L23)</f>
        <v>1</v>
      </c>
    </row>
    <row r="24" spans="1:14" ht="15.4" thickTop="1" x14ac:dyDescent="0.4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4">
      <c r="B25" s="34" t="s">
        <v>81</v>
      </c>
      <c r="D25" s="3">
        <f>ROUND((+D76+D79+D80)/D10,3)</f>
        <v>0.499</v>
      </c>
      <c r="E25" s="3"/>
      <c r="F25" s="3">
        <f>ROUND((+F76+F79+F80)/F10,3)</f>
        <v>0.56399999999999995</v>
      </c>
      <c r="G25" s="3"/>
      <c r="H25" s="3">
        <f>ROUND((+H76+H79+H80)/H10,3)</f>
        <v>0.54200000000000004</v>
      </c>
      <c r="I25" s="3"/>
      <c r="J25" s="3">
        <f>ROUND((+J76+J79+J80)/J10,3)</f>
        <v>0.48299999999999998</v>
      </c>
      <c r="K25" s="3"/>
      <c r="L25" s="3">
        <f>ROUND((+L76+L79+L80)/L10,3)</f>
        <v>0.443</v>
      </c>
      <c r="M25" s="3"/>
      <c r="N25" s="6">
        <f>AVERAGE(D25,F25,H25,J25,L25)</f>
        <v>0.50619999999999998</v>
      </c>
    </row>
    <row r="26" spans="1:14" x14ac:dyDescent="0.4">
      <c r="B26" s="34" t="s">
        <v>79</v>
      </c>
      <c r="D26" s="3">
        <f>ROUND((SUM(D69:D75)+D81)/D10,3)</f>
        <v>0</v>
      </c>
      <c r="E26" s="3"/>
      <c r="F26" s="3">
        <f>ROUND((SUM(F69:F75)+F81)/F10,3)</f>
        <v>0</v>
      </c>
      <c r="G26" s="3"/>
      <c r="H26" s="3">
        <f>ROUND((SUM(H69:H75)+H81)/H10,3)</f>
        <v>0</v>
      </c>
      <c r="I26" s="3"/>
      <c r="J26" s="3">
        <f>ROUND((SUM(J69:J75)+J81)/J10,3)</f>
        <v>0</v>
      </c>
      <c r="K26" s="3"/>
      <c r="L26" s="3">
        <f>ROUND((SUM(L69:L75)+L81)/L10,3)</f>
        <v>0</v>
      </c>
      <c r="M26" s="3"/>
      <c r="N26" s="6">
        <f>AVERAGE(D26,F26,H26,J26,L26)</f>
        <v>0</v>
      </c>
    </row>
    <row r="27" spans="1:14" ht="17.25" x14ac:dyDescent="0.4">
      <c r="B27" s="35" t="s">
        <v>80</v>
      </c>
      <c r="D27" s="4">
        <f>ROUND((D68-D103)/D10,3)</f>
        <v>0.501</v>
      </c>
      <c r="E27" s="3"/>
      <c r="F27" s="4">
        <f>ROUND((F68-F103)/F10,3)</f>
        <v>0.436</v>
      </c>
      <c r="G27" s="3"/>
      <c r="H27" s="4">
        <f>ROUND((H68-H103)/H10,3)</f>
        <v>0.45800000000000002</v>
      </c>
      <c r="I27" s="3"/>
      <c r="J27" s="4">
        <f>ROUND((J68-J103)/J10,3)</f>
        <v>0.51700000000000002</v>
      </c>
      <c r="K27" s="3"/>
      <c r="L27" s="4">
        <f>ROUND((L68-L103)/L10,3)</f>
        <v>0.55700000000000005</v>
      </c>
      <c r="M27" s="3"/>
      <c r="N27" s="8">
        <f>AVERAGE(D27,F27,H27,J27,L27)</f>
        <v>0.49379999999999996</v>
      </c>
    </row>
    <row r="28" spans="1:14" ht="15.4" thickBot="1" x14ac:dyDescent="0.45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9">
        <f>AVERAGE(D28,F28,H28,J28,L28)</f>
        <v>1</v>
      </c>
    </row>
    <row r="29" spans="1:14" ht="15.4" thickTop="1" x14ac:dyDescent="0.4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7.25" x14ac:dyDescent="0.4">
      <c r="A30" s="36" t="s">
        <v>82</v>
      </c>
      <c r="D30" s="3">
        <f>ROUND(+D66/(((D68-D103)+(F68-F103))/2),3)</f>
        <v>0.111</v>
      </c>
      <c r="E30" s="3"/>
      <c r="F30" s="3">
        <f>ROUND(+F66/(((F68-F103)+(H68-H103))/2),3)</f>
        <v>0.11899999999999999</v>
      </c>
      <c r="G30" s="3"/>
      <c r="H30" s="3">
        <f>ROUND(+H66/(((H68-H103)+(J68-J103))/2),3)</f>
        <v>0.111</v>
      </c>
      <c r="I30" s="3"/>
      <c r="J30" s="3">
        <f>ROUND(+J66/(((J68-J103)+(L68-L103))/2),3)</f>
        <v>0.123</v>
      </c>
      <c r="K30" s="3"/>
      <c r="L30" s="3">
        <f>ROUND(+L66/(((L68-L103)+(N68-N103))/2),3)</f>
        <v>0.11</v>
      </c>
      <c r="M30" s="3"/>
      <c r="N30" s="6">
        <f>AVERAGE(D30,F30,H30,J30,L30)</f>
        <v>0.11479999999999999</v>
      </c>
    </row>
    <row r="31" spans="1:14" x14ac:dyDescent="0.4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 x14ac:dyDescent="0.4">
      <c r="A32" s="36" t="s">
        <v>83</v>
      </c>
      <c r="D32" s="3">
        <f>ROUND((+D58-D57)/D56,3)</f>
        <v>0.76900000000000002</v>
      </c>
      <c r="E32" s="3"/>
      <c r="F32" s="3">
        <f>ROUND((+F58-F57)/F56,3)</f>
        <v>0.77800000000000002</v>
      </c>
      <c r="G32" s="3"/>
      <c r="H32" s="3">
        <f>ROUND((+H58-H57)/H56,3)</f>
        <v>0.85299999999999998</v>
      </c>
      <c r="I32" s="3"/>
      <c r="J32" s="3">
        <f>ROUND((+J58-J57)/J56,3)</f>
        <v>0.86099999999999999</v>
      </c>
      <c r="K32" s="3"/>
      <c r="L32" s="3">
        <f>ROUND((+L58-L57)/L56,3)</f>
        <v>0.83199999999999996</v>
      </c>
      <c r="M32" s="3"/>
      <c r="N32" s="6">
        <f>AVERAGE(D32,F32,H32,J32,L32)</f>
        <v>0.81859999999999999</v>
      </c>
    </row>
    <row r="34" spans="1:15" ht="17.25" x14ac:dyDescent="0.4">
      <c r="A34" s="36" t="s">
        <v>84</v>
      </c>
    </row>
    <row r="35" spans="1:15" x14ac:dyDescent="0.4">
      <c r="B35" t="s">
        <v>13</v>
      </c>
      <c r="D35" s="7">
        <f>ROUND(((+D66+D65+D64+D63+D61+D59+D57)/D61),2)</f>
        <v>5.33</v>
      </c>
      <c r="E35" s="7" t="s">
        <v>3</v>
      </c>
      <c r="F35" s="7">
        <f>ROUND(((+F66+F65+F64+F63+F61+F59+F57)/F61),2)</f>
        <v>4.88</v>
      </c>
      <c r="G35" s="7" t="s">
        <v>3</v>
      </c>
      <c r="H35" s="7">
        <f>ROUND(((+H66+H65+H64+H63+H61+H59+H57)/H61),2)</f>
        <v>5.23</v>
      </c>
      <c r="I35" s="7" t="s">
        <v>3</v>
      </c>
      <c r="J35" s="7">
        <f>ROUND(((+J66+J65+J64+J63+J61+J59+J57)/J61),2)</f>
        <v>6.73</v>
      </c>
      <c r="K35" s="7" t="s">
        <v>3</v>
      </c>
      <c r="L35" s="7">
        <f>ROUND(((+L66+L65+L64+L63+L61+L59+L57)/L61),2)</f>
        <v>7.86</v>
      </c>
      <c r="M35" s="7" t="s">
        <v>3</v>
      </c>
      <c r="N35" s="27">
        <f>AVERAGE(D35,F35,H35,J35,L35)</f>
        <v>6.0060000000000002</v>
      </c>
      <c r="O35" t="s">
        <v>3</v>
      </c>
    </row>
    <row r="36" spans="1:15" x14ac:dyDescent="0.4">
      <c r="B36" t="s">
        <v>21</v>
      </c>
      <c r="D36" s="7">
        <f>ROUND(((+D66+D65+D64+D63+D61)/(D61)),2)</f>
        <v>4.25</v>
      </c>
      <c r="E36" s="7" t="s">
        <v>3</v>
      </c>
      <c r="F36" s="7">
        <f>ROUND(((+F66+F65+F64+F63+F61)/(F61)),2)</f>
        <v>3.93</v>
      </c>
      <c r="G36" s="7" t="s">
        <v>3</v>
      </c>
      <c r="H36" s="7">
        <f>ROUND(((+H66+H65+H64+H63+H61)/(H61)),2)</f>
        <v>4.09</v>
      </c>
      <c r="I36" s="7" t="s">
        <v>3</v>
      </c>
      <c r="J36" s="7">
        <f>ROUND(((+J66+J65+J64+J63+J61)/(J61)),2)</f>
        <v>5.6</v>
      </c>
      <c r="K36" s="7" t="s">
        <v>3</v>
      </c>
      <c r="L36" s="7">
        <f>ROUND(((+L66+L65+L64+L63+L61)/(L61)),2)</f>
        <v>5.2</v>
      </c>
      <c r="M36" s="7" t="s">
        <v>3</v>
      </c>
      <c r="N36" s="27">
        <f>AVERAGE(D36,F36,H36,J36,L36)</f>
        <v>4.613999999999999</v>
      </c>
      <c r="O36" t="s">
        <v>3</v>
      </c>
    </row>
    <row r="37" spans="1:15" x14ac:dyDescent="0.4">
      <c r="B37" t="s">
        <v>14</v>
      </c>
      <c r="D37" s="7">
        <f>ROUND(((+D66+D65+D64+D63+D61)/(D61+D63+D64+D65)),2)</f>
        <v>4.25</v>
      </c>
      <c r="E37" s="7" t="s">
        <v>3</v>
      </c>
      <c r="F37" s="7">
        <f>ROUND(((+F66+F65+F64+F63+F61)/(F61+F63+F64+F65)),2)</f>
        <v>3.93</v>
      </c>
      <c r="G37" s="7" t="s">
        <v>3</v>
      </c>
      <c r="H37" s="7">
        <f>ROUND(((+H66+H65+H64+H63+H61)/(H61+H63+H64+H65)),2)</f>
        <v>4.09</v>
      </c>
      <c r="I37" s="7" t="s">
        <v>3</v>
      </c>
      <c r="J37" s="7">
        <f>ROUND(((+J66+J65+J64+J63+J61)/(J61+J63+J64+J65)),2)</f>
        <v>5.6</v>
      </c>
      <c r="K37" s="7" t="s">
        <v>3</v>
      </c>
      <c r="L37" s="7">
        <f>ROUND(((+L66+L65+L64+L63+L61)/(L61+L63+L64+L65)),2)</f>
        <v>5.2</v>
      </c>
      <c r="M37" s="7" t="s">
        <v>3</v>
      </c>
      <c r="N37" s="27">
        <f>AVERAGE(D37,F37,H37,J37,L37)</f>
        <v>4.613999999999999</v>
      </c>
      <c r="O37" t="s">
        <v>3</v>
      </c>
    </row>
    <row r="38" spans="1:1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7.25" x14ac:dyDescent="0.4">
      <c r="A39" s="36" t="s">
        <v>85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x14ac:dyDescent="0.4">
      <c r="B40" t="s">
        <v>13</v>
      </c>
      <c r="D40" s="7">
        <f>ROUND(((+D66+D65+D64+D63-D62+D61+D59+D57)/D61),2)</f>
        <v>5.29</v>
      </c>
      <c r="E40" s="7" t="s">
        <v>3</v>
      </c>
      <c r="F40" s="7">
        <f>ROUND(((+F66+F65+F64+F63-F62+F61+F59+F57)/F61),2)</f>
        <v>4.8499999999999996</v>
      </c>
      <c r="G40" s="7" t="s">
        <v>3</v>
      </c>
      <c r="H40" s="7">
        <f>ROUND(((+H66+H65+H64+H63-H62+H61+H59+H57)/H61),2)</f>
        <v>5.13</v>
      </c>
      <c r="I40" s="7" t="s">
        <v>3</v>
      </c>
      <c r="J40" s="7">
        <f>ROUND(((+J66+J65+J64+J63-J62+J61+J59+J57)/J61),2)</f>
        <v>6.73</v>
      </c>
      <c r="K40" s="7" t="s">
        <v>3</v>
      </c>
      <c r="L40" s="7">
        <f>ROUND(((+L66+L65+L64+L63-L62+L61+L59+L57)/L61),2)</f>
        <v>7.86</v>
      </c>
      <c r="M40" s="7" t="s">
        <v>3</v>
      </c>
      <c r="N40" s="27">
        <f>AVERAGE(D40,F40,H40,J40,L40)</f>
        <v>5.9719999999999995</v>
      </c>
      <c r="O40" t="s">
        <v>3</v>
      </c>
    </row>
    <row r="41" spans="1:15" x14ac:dyDescent="0.4">
      <c r="B41" t="s">
        <v>21</v>
      </c>
      <c r="D41" s="7">
        <f>ROUND(((+D66+D65+D64+D63-D62+D61)/D61),2)</f>
        <v>4.21</v>
      </c>
      <c r="E41" s="7" t="s">
        <v>3</v>
      </c>
      <c r="F41" s="7">
        <f>ROUND(((+F66+F65+F64+F63-F62+F61)/F61),2)</f>
        <v>3.9</v>
      </c>
      <c r="G41" s="7" t="s">
        <v>3</v>
      </c>
      <c r="H41" s="7">
        <f>ROUND(((+H66+H65+H64+H63-H62+H61)/H61),2)</f>
        <v>3.98</v>
      </c>
      <c r="I41" s="7" t="s">
        <v>3</v>
      </c>
      <c r="J41" s="7">
        <f>ROUND(((+J66+J65+J64+J63-J62+J61)/J61),2)</f>
        <v>5.6</v>
      </c>
      <c r="K41" s="7" t="s">
        <v>3</v>
      </c>
      <c r="L41" s="7">
        <f>ROUND(((+L66+L65+L64+L63-L62+L61)/L61),2)</f>
        <v>5.2</v>
      </c>
      <c r="M41" s="7" t="s">
        <v>3</v>
      </c>
      <c r="N41" s="27">
        <f>AVERAGE(D41,F41,H41,J41,L41)</f>
        <v>4.5779999999999994</v>
      </c>
      <c r="O41" t="s">
        <v>3</v>
      </c>
    </row>
    <row r="42" spans="1:15" x14ac:dyDescent="0.4">
      <c r="B42" t="s">
        <v>14</v>
      </c>
      <c r="D42" s="7">
        <f>ROUND(((+D66+D65+D64+D63-D62+D61)/(D61+D63+D64+D65)),2)</f>
        <v>4.21</v>
      </c>
      <c r="E42" s="7" t="s">
        <v>3</v>
      </c>
      <c r="F42" s="7">
        <f>ROUND(((+F66+F65+F64+F63-F62+F61)/(F61+F63+F64+F65)),2)</f>
        <v>3.9</v>
      </c>
      <c r="G42" s="7" t="s">
        <v>3</v>
      </c>
      <c r="H42" s="7">
        <f>ROUND(((+H66+H65+H64+H63-H62+H61)/(H61+H63+H64+H65)),2)</f>
        <v>3.98</v>
      </c>
      <c r="I42" s="7" t="s">
        <v>3</v>
      </c>
      <c r="J42" s="7">
        <f>ROUND(((+J66+J65+J64+J63-J62+J61)/(J61+J63+J64+J65)),2)</f>
        <v>5.6</v>
      </c>
      <c r="K42" s="7" t="s">
        <v>3</v>
      </c>
      <c r="L42" s="7">
        <f>ROUND(((+L66+L65+L64+L63-L62+L61)/(L61+L63+L64+L65)),2)</f>
        <v>5.2</v>
      </c>
      <c r="M42" s="7" t="s">
        <v>3</v>
      </c>
      <c r="N42" s="27">
        <f>AVERAGE(D42,F42,H42,J42,L42)</f>
        <v>4.5779999999999994</v>
      </c>
      <c r="O42" t="s">
        <v>3</v>
      </c>
    </row>
    <row r="44" spans="1:15" x14ac:dyDescent="0.4">
      <c r="A44" t="s">
        <v>15</v>
      </c>
    </row>
    <row r="45" spans="1:15" x14ac:dyDescent="0.4">
      <c r="B45" t="s">
        <v>16</v>
      </c>
      <c r="D45" s="13">
        <f>ROUND(D62/D66,3)</f>
        <v>0.01</v>
      </c>
      <c r="E45" s="13"/>
      <c r="F45" s="13">
        <f>ROUND(F62/F66,3)</f>
        <v>1.0999999999999999E-2</v>
      </c>
      <c r="G45" s="13"/>
      <c r="H45" s="13">
        <f>ROUND(H62/H66,3)</f>
        <v>3.4000000000000002E-2</v>
      </c>
      <c r="I45" s="13"/>
      <c r="J45" s="13">
        <f>ROUND(J62/J66,3)</f>
        <v>0</v>
      </c>
      <c r="K45" s="13"/>
      <c r="L45" s="13">
        <f>ROUND(L62/L66,3)</f>
        <v>0</v>
      </c>
      <c r="M45" s="3"/>
      <c r="N45" s="6">
        <f t="shared" ref="N45:N50" si="0">AVERAGE(D45,F45,H45,J45,L45)</f>
        <v>1.0999999999999999E-2</v>
      </c>
    </row>
    <row r="46" spans="1:15" x14ac:dyDescent="0.4">
      <c r="B46" t="s">
        <v>17</v>
      </c>
      <c r="D46" s="17">
        <f>ROUND((D57+D59)/(D57+D59+D66+D63+D64+D65),3)</f>
        <v>0.25</v>
      </c>
      <c r="E46" s="18"/>
      <c r="F46" s="17">
        <f>ROUND((F57+F59)/(F57+F59+F66+F63+F64+F65),3)</f>
        <v>0.245</v>
      </c>
      <c r="G46" s="18"/>
      <c r="H46" s="17">
        <f>ROUND((H57+H59)/(H57+H59+H66+H63+H64+H65),3)</f>
        <v>0.27100000000000002</v>
      </c>
      <c r="I46" s="18"/>
      <c r="J46" s="17">
        <f>ROUND((J57+J59)/(J57+J59+J66+J63+J64+J65),3)</f>
        <v>0.19800000000000001</v>
      </c>
      <c r="K46" s="18"/>
      <c r="L46" s="17">
        <f>ROUND((L57+L59)/(L57+L59+L66+L63+L64+L65),3)</f>
        <v>0.38800000000000001</v>
      </c>
      <c r="N46" s="6">
        <f t="shared" si="0"/>
        <v>0.27039999999999997</v>
      </c>
    </row>
    <row r="47" spans="1:15" ht="17.25" x14ac:dyDescent="0.4">
      <c r="B47" s="36" t="s">
        <v>86</v>
      </c>
      <c r="D47" s="13">
        <f>ROUND(((+D82+D83+D84+D85+D86-D87+D88-D90-D91)/(+D89-D87)),3)</f>
        <v>0.80900000000000005</v>
      </c>
      <c r="E47" s="14"/>
      <c r="F47" s="13">
        <f>ROUND(((+F82+F83+F84+F85+F86-F87+F88-F90-F91)/(+F89-F87)),3)</f>
        <v>0.61099999999999999</v>
      </c>
      <c r="G47" s="14"/>
      <c r="H47" s="13">
        <f>ROUND(((+H82+H83+H84+H85+H86-H87+H88-H90-H91)/(+H89-H87)),3)</f>
        <v>0.39</v>
      </c>
      <c r="I47" s="14"/>
      <c r="J47" s="13">
        <f>ROUND(((+J82+J83+J84+J85+J86-J87+J88-J90-J91)/(+J89-J87)),3)</f>
        <v>0.53600000000000003</v>
      </c>
      <c r="K47" s="14"/>
      <c r="L47" s="13">
        <f>ROUND(((+L82+L83+L84+L85+L86-L87+L88-L90-L91)/(+L89-L87)),3)</f>
        <v>0.57699999999999996</v>
      </c>
      <c r="N47" s="6">
        <f t="shared" si="0"/>
        <v>0.58460000000000001</v>
      </c>
    </row>
    <row r="48" spans="1:15" ht="17.25" x14ac:dyDescent="0.4">
      <c r="B48" s="36" t="s">
        <v>87</v>
      </c>
      <c r="D48" s="13">
        <f>ROUND(((+D82+D83+D84+D85+D86-D87+D88)/(AVERAGE(D76,F76)+AVERAGE(D79,F79)+AVERAGE(D80,F80))),3)</f>
        <v>0.22500000000000001</v>
      </c>
      <c r="E48" s="14"/>
      <c r="F48" s="13">
        <f>ROUND(((+F82+F83+F84+F85+F86-F87+F88)/(AVERAGE(F76,H76)+AVERAGE(F79,H79)+AVERAGE(F80,H80))),3)</f>
        <v>0.20300000000000001</v>
      </c>
      <c r="G48" s="14"/>
      <c r="H48" s="13">
        <f>ROUND(((+H82+H83+H84+H85+H86-H87+H88)/(AVERAGE(H76,J76)+AVERAGE(H79,J79)+AVERAGE(H80,J80))),3)</f>
        <v>0.23499999999999999</v>
      </c>
      <c r="I48" s="14"/>
      <c r="J48" s="13">
        <f>ROUND(((+J82+J83+J84+J85+J86-J87+J88)/(AVERAGE(J76,L76)+AVERAGE(J79,L79)+AVERAGE(J80,L80))),3)</f>
        <v>0.27900000000000003</v>
      </c>
      <c r="K48" s="14"/>
      <c r="L48" s="13">
        <f>ROUND(((+L82+L83+L84+L85+L86-L87+L88)/(AVERAGE(L76,N76)+AVERAGE(L79,N79)+AVERAGE(L80,N80))),3)</f>
        <v>0.33400000000000002</v>
      </c>
      <c r="N48" s="6">
        <f t="shared" si="0"/>
        <v>0.25519999999999998</v>
      </c>
    </row>
    <row r="49" spans="1:15" ht="17.25" x14ac:dyDescent="0.4">
      <c r="B49" s="36" t="s">
        <v>88</v>
      </c>
      <c r="D49" s="28">
        <f>ROUND(((+D82+D83+D84+D85+D86-D87+D88+D92)/D61),2)</f>
        <v>8.4499999999999993</v>
      </c>
      <c r="E49" t="s">
        <v>3</v>
      </c>
      <c r="F49" s="28">
        <f>ROUND(((+F82+F83+F84+F85+F86-F87+F88+F92)/F61),2)</f>
        <v>7.26</v>
      </c>
      <c r="G49" t="s">
        <v>3</v>
      </c>
      <c r="H49" s="28">
        <f>ROUND(((+H82+H83+H84+H85+H86-H87+H88+H92)/H61),2)</f>
        <v>7.85</v>
      </c>
      <c r="I49" t="s">
        <v>3</v>
      </c>
      <c r="J49" s="28">
        <f>ROUND(((+J82+J83+J84+J85+J86-J87+J88+J92)/J61),2)</f>
        <v>9.99</v>
      </c>
      <c r="K49" t="s">
        <v>3</v>
      </c>
      <c r="L49" s="28">
        <f>ROUND(((+L82+L83+L84+L85+L86-L87+L88+L92)/L61),2)</f>
        <v>11.82</v>
      </c>
      <c r="M49" t="s">
        <v>3</v>
      </c>
      <c r="N49" s="29">
        <f t="shared" si="0"/>
        <v>9.0739999999999998</v>
      </c>
      <c r="O49" t="s">
        <v>3</v>
      </c>
    </row>
    <row r="50" spans="1:15" ht="17.25" x14ac:dyDescent="0.4">
      <c r="B50" s="36" t="s">
        <v>89</v>
      </c>
      <c r="D50" s="28">
        <f>ROUND(((+D82+D83+D84+D85+D86-D87+D88-D91)/+D90),2)</f>
        <v>5.93</v>
      </c>
      <c r="E50" t="s">
        <v>3</v>
      </c>
      <c r="F50" s="28">
        <f>ROUND(((+F82+F83+F84+F85+F86-F87+F88-F91)/+F90),2)</f>
        <v>5.57</v>
      </c>
      <c r="G50" t="s">
        <v>3</v>
      </c>
      <c r="H50" s="28">
        <f>ROUND(((+H82+H83+H84+H85+H86-H87+H88-H91)/+H90),2)</f>
        <v>5.77</v>
      </c>
      <c r="I50" t="s">
        <v>3</v>
      </c>
      <c r="J50" s="28">
        <f>ROUND(((+J82+J83+J84+J85+J86-J87+J88-J91)/+J90),2)</f>
        <v>5.72</v>
      </c>
      <c r="K50" t="s">
        <v>3</v>
      </c>
      <c r="L50" s="28">
        <f>ROUND(((+L82+L83+L84+L85+L86-L87+L88-L91)/+L90),2)</f>
        <v>6.6</v>
      </c>
      <c r="M50" t="s">
        <v>3</v>
      </c>
      <c r="N50" s="29">
        <f t="shared" si="0"/>
        <v>5.9179999999999993</v>
      </c>
      <c r="O50" t="s">
        <v>3</v>
      </c>
    </row>
    <row r="52" spans="1:15" x14ac:dyDescent="0.4">
      <c r="A52" t="s">
        <v>4</v>
      </c>
    </row>
    <row r="53" spans="1:15" x14ac:dyDescent="0.4">
      <c r="D53" s="38"/>
    </row>
    <row r="54" spans="1:15" x14ac:dyDescent="0.4">
      <c r="A54" s="19" t="s">
        <v>101</v>
      </c>
      <c r="B54" s="19"/>
      <c r="C54" s="19"/>
      <c r="D54" s="38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5" x14ac:dyDescent="0.4">
      <c r="A55" s="20"/>
      <c r="B55" s="20"/>
      <c r="C55" s="20"/>
      <c r="D55" s="21">
        <v>2020</v>
      </c>
      <c r="E55" s="19"/>
      <c r="F55" s="21">
        <v>2019</v>
      </c>
      <c r="G55" s="19"/>
      <c r="H55" s="21">
        <v>2018</v>
      </c>
      <c r="I55" s="19"/>
      <c r="J55" s="21">
        <v>2017</v>
      </c>
      <c r="K55" s="19"/>
      <c r="L55" s="21">
        <v>2016</v>
      </c>
      <c r="M55" s="19"/>
      <c r="N55" s="21">
        <v>2015</v>
      </c>
    </row>
    <row r="56" spans="1:15" x14ac:dyDescent="0.4">
      <c r="A56" s="20" t="s">
        <v>22</v>
      </c>
      <c r="B56" s="20"/>
      <c r="C56" s="20"/>
      <c r="D56" s="22">
        <v>488.19799999999998</v>
      </c>
      <c r="E56" s="22"/>
      <c r="F56" s="22">
        <v>479.60399999999998</v>
      </c>
      <c r="G56" s="22"/>
      <c r="H56" s="22">
        <v>717.48900000000003</v>
      </c>
      <c r="I56" s="22"/>
      <c r="J56" s="22">
        <v>617.58299999999997</v>
      </c>
      <c r="K56" s="22"/>
      <c r="L56" s="22">
        <v>498.86</v>
      </c>
      <c r="M56" s="22"/>
      <c r="N56" s="22">
        <v>459.24400000000003</v>
      </c>
    </row>
    <row r="57" spans="1:15" x14ac:dyDescent="0.4">
      <c r="A57" s="20" t="s">
        <v>23</v>
      </c>
      <c r="B57" s="20"/>
      <c r="C57" s="20"/>
      <c r="D57" s="22">
        <v>23.538</v>
      </c>
      <c r="E57" s="22"/>
      <c r="F57" s="22">
        <v>21.091000000000001</v>
      </c>
      <c r="G57" s="22"/>
      <c r="H57" s="22">
        <v>20.994</v>
      </c>
      <c r="I57" s="22"/>
      <c r="J57" s="22">
        <v>14.308999999999999</v>
      </c>
      <c r="K57" s="22"/>
      <c r="L57" s="22">
        <v>28.341000000000001</v>
      </c>
      <c r="M57" s="22"/>
      <c r="N57" s="22">
        <v>26.905000000000001</v>
      </c>
    </row>
    <row r="58" spans="1:15" x14ac:dyDescent="0.4">
      <c r="A58" s="20" t="s">
        <v>24</v>
      </c>
      <c r="B58" s="20"/>
      <c r="C58" s="20"/>
      <c r="D58" s="22">
        <f>375.475+D57</f>
        <v>399.01300000000003</v>
      </c>
      <c r="E58" s="22"/>
      <c r="F58" s="22">
        <f>373.317+F57</f>
        <v>394.40800000000002</v>
      </c>
      <c r="G58" s="22"/>
      <c r="H58" s="22">
        <v>632.88300000000004</v>
      </c>
      <c r="I58" s="22"/>
      <c r="J58" s="22">
        <v>546.17899999999997</v>
      </c>
      <c r="K58" s="22"/>
      <c r="L58" s="22">
        <v>443.23500000000001</v>
      </c>
      <c r="M58" s="22"/>
      <c r="N58" s="22">
        <v>409.37700000000001</v>
      </c>
    </row>
    <row r="59" spans="1:15" x14ac:dyDescent="0.4">
      <c r="A59" s="20" t="s">
        <v>25</v>
      </c>
      <c r="B59" s="20"/>
      <c r="C59" s="20"/>
      <c r="D59" s="22">
        <v>0</v>
      </c>
      <c r="E59" s="22"/>
      <c r="F59" s="22">
        <v>0</v>
      </c>
      <c r="G59" s="22"/>
      <c r="H59" s="22">
        <v>0</v>
      </c>
      <c r="I59" s="22"/>
      <c r="J59" s="22">
        <v>0</v>
      </c>
      <c r="K59" s="22"/>
      <c r="L59" s="22">
        <v>0</v>
      </c>
      <c r="M59" s="22"/>
      <c r="N59" s="22">
        <v>0</v>
      </c>
    </row>
    <row r="60" spans="1:15" x14ac:dyDescent="0.4">
      <c r="A60" s="20" t="s">
        <v>26</v>
      </c>
      <c r="B60" s="20"/>
      <c r="C60" s="20"/>
      <c r="D60" s="22">
        <f>112.723-D57+3.222</f>
        <v>92.406999999999996</v>
      </c>
      <c r="E60" s="22"/>
      <c r="F60" s="22">
        <f>106.287-F57-1.83-1.391+5.402</f>
        <v>87.376999999999995</v>
      </c>
      <c r="G60" s="22"/>
      <c r="H60" s="22">
        <v>73.010999999999996</v>
      </c>
      <c r="I60" s="22"/>
      <c r="J60" s="22">
        <v>70.769000000000005</v>
      </c>
      <c r="K60" s="22"/>
      <c r="L60" s="22">
        <v>55.314</v>
      </c>
      <c r="M60" s="22"/>
      <c r="N60" s="22">
        <v>51.146000000000001</v>
      </c>
    </row>
    <row r="61" spans="1:15" x14ac:dyDescent="0.4">
      <c r="A61" s="20" t="s">
        <v>27</v>
      </c>
      <c r="B61" s="20"/>
      <c r="C61" s="20"/>
      <c r="D61" s="22">
        <v>21.765000000000001</v>
      </c>
      <c r="E61" s="22"/>
      <c r="F61" s="22">
        <v>22.224</v>
      </c>
      <c r="G61" s="22"/>
      <c r="H61" s="22">
        <v>18.331</v>
      </c>
      <c r="I61" s="22"/>
      <c r="J61" s="22">
        <v>12.645</v>
      </c>
      <c r="K61" s="22"/>
      <c r="L61" s="22">
        <v>10.638999999999999</v>
      </c>
      <c r="M61" s="22"/>
      <c r="N61" s="22">
        <v>10.044</v>
      </c>
    </row>
    <row r="62" spans="1:15" x14ac:dyDescent="0.4">
      <c r="A62" s="20" t="s">
        <v>28</v>
      </c>
      <c r="B62" s="20"/>
      <c r="C62" s="20"/>
      <c r="D62" s="22">
        <v>0.7</v>
      </c>
      <c r="E62" s="22"/>
      <c r="F62" s="22">
        <v>0.7</v>
      </c>
      <c r="G62" s="22"/>
      <c r="H62" s="22">
        <v>1.9</v>
      </c>
      <c r="I62" s="22"/>
      <c r="J62" s="22"/>
      <c r="K62" s="22"/>
      <c r="L62" s="22"/>
      <c r="M62" s="22"/>
      <c r="N62" s="22">
        <v>3.7999999999999999E-2</v>
      </c>
    </row>
    <row r="63" spans="1:15" x14ac:dyDescent="0.4">
      <c r="A63" s="20" t="s">
        <v>29</v>
      </c>
      <c r="B63" s="20"/>
      <c r="C63" s="20"/>
      <c r="D63" s="22">
        <v>0</v>
      </c>
      <c r="E63" s="22"/>
      <c r="F63" s="22">
        <v>0</v>
      </c>
      <c r="G63" s="22"/>
      <c r="H63" s="22">
        <v>0</v>
      </c>
      <c r="I63" s="22"/>
      <c r="J63" s="22">
        <v>0</v>
      </c>
      <c r="K63" s="22"/>
      <c r="L63" s="22">
        <v>0</v>
      </c>
      <c r="M63" s="22"/>
      <c r="N63" s="22">
        <v>0</v>
      </c>
    </row>
    <row r="64" spans="1:15" x14ac:dyDescent="0.4">
      <c r="A64" s="20" t="s">
        <v>30</v>
      </c>
      <c r="B64" s="20"/>
      <c r="C64" s="20"/>
      <c r="D64" s="22">
        <v>0</v>
      </c>
      <c r="E64" s="22"/>
      <c r="F64" s="22">
        <v>0</v>
      </c>
      <c r="G64" s="22"/>
      <c r="H64" s="22">
        <v>0</v>
      </c>
      <c r="I64" s="22"/>
      <c r="J64" s="22">
        <v>0</v>
      </c>
      <c r="K64" s="22"/>
      <c r="L64" s="22">
        <v>0</v>
      </c>
      <c r="M64" s="22"/>
      <c r="N64" s="22">
        <v>0</v>
      </c>
    </row>
    <row r="65" spans="1:14" x14ac:dyDescent="0.4">
      <c r="A65" s="20" t="s">
        <v>31</v>
      </c>
      <c r="B65" s="20"/>
      <c r="C65" s="20"/>
      <c r="D65" s="22">
        <v>0</v>
      </c>
      <c r="E65" s="22"/>
      <c r="F65" s="22">
        <v>0</v>
      </c>
      <c r="G65" s="22"/>
      <c r="H65" s="22">
        <v>0</v>
      </c>
      <c r="I65" s="22"/>
      <c r="J65" s="22">
        <v>0</v>
      </c>
      <c r="K65" s="22"/>
      <c r="L65" s="22">
        <v>0</v>
      </c>
      <c r="M65" s="22"/>
      <c r="N65" s="22">
        <v>0</v>
      </c>
    </row>
    <row r="66" spans="1:14" x14ac:dyDescent="0.4">
      <c r="A66" s="20" t="s">
        <v>32</v>
      </c>
      <c r="B66" s="20"/>
      <c r="C66" s="20"/>
      <c r="D66" s="22">
        <v>70.641999999999996</v>
      </c>
      <c r="E66" s="22"/>
      <c r="F66" s="22">
        <v>65.153000000000006</v>
      </c>
      <c r="G66" s="22"/>
      <c r="H66" s="22">
        <v>56.58</v>
      </c>
      <c r="I66" s="22"/>
      <c r="J66" s="22">
        <v>58.124000000000002</v>
      </c>
      <c r="K66" s="22"/>
      <c r="L66" s="22">
        <v>44.674999999999997</v>
      </c>
      <c r="M66" s="22"/>
      <c r="N66" s="22">
        <v>41.14</v>
      </c>
    </row>
    <row r="67" spans="1:14" x14ac:dyDescent="0.4">
      <c r="A67" s="20" t="s">
        <v>33</v>
      </c>
      <c r="B67" s="20"/>
      <c r="C67" s="20"/>
      <c r="D67" s="22">
        <v>4.2300000000000004</v>
      </c>
      <c r="E67" s="22"/>
      <c r="F67" s="22">
        <v>3.73</v>
      </c>
      <c r="G67" s="22"/>
      <c r="H67" s="22">
        <v>3.46</v>
      </c>
      <c r="I67" s="22"/>
      <c r="J67" s="22">
        <v>3.56</v>
      </c>
      <c r="K67" s="22"/>
      <c r="L67" s="22">
        <v>2.87</v>
      </c>
      <c r="M67" s="22"/>
      <c r="N67" s="22">
        <v>2.73</v>
      </c>
    </row>
    <row r="68" spans="1:14" x14ac:dyDescent="0.4">
      <c r="A68" s="20" t="s">
        <v>34</v>
      </c>
      <c r="B68" s="20"/>
      <c r="C68" s="20"/>
      <c r="D68" s="22">
        <v>697.08500000000004</v>
      </c>
      <c r="E68" s="22"/>
      <c r="F68" s="22">
        <v>561.577</v>
      </c>
      <c r="G68" s="22"/>
      <c r="H68" s="22">
        <v>518.43899999999996</v>
      </c>
      <c r="I68" s="22"/>
      <c r="J68" s="22">
        <v>486.29399999999998</v>
      </c>
      <c r="K68" s="22"/>
      <c r="L68" s="22">
        <v>446.08600000000001</v>
      </c>
      <c r="M68" s="22"/>
      <c r="N68" s="22">
        <v>358.13799999999998</v>
      </c>
    </row>
    <row r="69" spans="1:14" x14ac:dyDescent="0.4">
      <c r="A69" s="20" t="s">
        <v>35</v>
      </c>
      <c r="B69" s="20"/>
      <c r="C69" s="20"/>
      <c r="D69" s="22">
        <v>0</v>
      </c>
      <c r="E69" s="22"/>
      <c r="F69" s="22">
        <v>0</v>
      </c>
      <c r="G69" s="22"/>
      <c r="H69" s="22">
        <v>0</v>
      </c>
      <c r="I69" s="22"/>
      <c r="J69" s="22">
        <v>0</v>
      </c>
      <c r="K69" s="22"/>
      <c r="L69" s="22">
        <v>0</v>
      </c>
      <c r="M69" s="22"/>
      <c r="N69" s="22">
        <v>0</v>
      </c>
    </row>
    <row r="70" spans="1:14" x14ac:dyDescent="0.4">
      <c r="A70" s="20" t="s">
        <v>36</v>
      </c>
      <c r="B70" s="20"/>
      <c r="C70" s="20"/>
      <c r="D70" s="22">
        <v>0</v>
      </c>
      <c r="E70" s="22"/>
      <c r="F70" s="22">
        <v>0</v>
      </c>
      <c r="G70" s="22"/>
      <c r="H70" s="22">
        <v>0</v>
      </c>
      <c r="I70" s="22"/>
      <c r="J70" s="22">
        <v>0</v>
      </c>
      <c r="K70" s="22"/>
      <c r="L70" s="22">
        <v>0</v>
      </c>
      <c r="M70" s="22"/>
      <c r="N70" s="22">
        <v>0</v>
      </c>
    </row>
    <row r="71" spans="1:14" x14ac:dyDescent="0.4">
      <c r="A71" s="20" t="s">
        <v>37</v>
      </c>
      <c r="B71" s="20"/>
      <c r="C71" s="20"/>
      <c r="D71" s="22">
        <v>0</v>
      </c>
      <c r="E71" s="22"/>
      <c r="F71" s="22">
        <v>0</v>
      </c>
      <c r="G71" s="22"/>
      <c r="H71" s="22">
        <v>0</v>
      </c>
      <c r="I71" s="22"/>
      <c r="J71" s="22">
        <v>0</v>
      </c>
      <c r="K71" s="22"/>
      <c r="L71" s="22">
        <v>0</v>
      </c>
      <c r="M71" s="22"/>
      <c r="N71" s="22">
        <v>0</v>
      </c>
    </row>
    <row r="72" spans="1:14" x14ac:dyDescent="0.4">
      <c r="A72" s="20" t="s">
        <v>38</v>
      </c>
      <c r="B72" s="20"/>
      <c r="C72" s="20"/>
      <c r="D72" s="22">
        <v>0</v>
      </c>
      <c r="E72" s="22"/>
      <c r="F72" s="22">
        <v>0</v>
      </c>
      <c r="G72" s="22"/>
      <c r="H72" s="22">
        <v>0</v>
      </c>
      <c r="I72" s="22"/>
      <c r="J72" s="22">
        <v>0</v>
      </c>
      <c r="K72" s="22"/>
      <c r="L72" s="22">
        <v>0</v>
      </c>
      <c r="M72" s="22"/>
      <c r="N72" s="22">
        <v>0</v>
      </c>
    </row>
    <row r="73" spans="1:14" x14ac:dyDescent="0.4">
      <c r="A73" s="20" t="s">
        <v>39</v>
      </c>
      <c r="B73" s="20"/>
      <c r="C73" s="20"/>
      <c r="D73" s="22">
        <v>0</v>
      </c>
      <c r="E73" s="22"/>
      <c r="F73" s="22">
        <v>0</v>
      </c>
      <c r="G73" s="22"/>
      <c r="H73" s="22">
        <v>0</v>
      </c>
      <c r="I73" s="22"/>
      <c r="J73" s="22">
        <v>0</v>
      </c>
      <c r="K73" s="22"/>
      <c r="L73" s="22">
        <v>0</v>
      </c>
      <c r="M73" s="22"/>
      <c r="N73" s="22">
        <v>0</v>
      </c>
    </row>
    <row r="74" spans="1:14" x14ac:dyDescent="0.4">
      <c r="A74" s="20" t="s">
        <v>40</v>
      </c>
      <c r="B74" s="20"/>
      <c r="C74" s="20"/>
      <c r="D74" s="22">
        <v>0</v>
      </c>
      <c r="E74" s="22"/>
      <c r="F74" s="22">
        <v>0</v>
      </c>
      <c r="G74" s="22"/>
      <c r="H74" s="22">
        <v>0</v>
      </c>
      <c r="I74" s="22"/>
      <c r="J74" s="22">
        <v>0</v>
      </c>
      <c r="K74" s="22"/>
      <c r="L74" s="22">
        <v>0</v>
      </c>
      <c r="M74" s="22"/>
      <c r="N74" s="22">
        <v>0</v>
      </c>
    </row>
    <row r="75" spans="1:14" x14ac:dyDescent="0.4">
      <c r="A75" s="20" t="s">
        <v>41</v>
      </c>
      <c r="B75" s="20"/>
      <c r="C75" s="20"/>
      <c r="D75" s="22">
        <v>0</v>
      </c>
      <c r="E75" s="22"/>
      <c r="F75" s="22">
        <v>0</v>
      </c>
      <c r="G75" s="22"/>
      <c r="H75" s="22">
        <v>0</v>
      </c>
      <c r="I75" s="22"/>
      <c r="J75" s="22">
        <v>0</v>
      </c>
      <c r="K75" s="22"/>
      <c r="L75" s="22">
        <v>0</v>
      </c>
      <c r="M75" s="22"/>
      <c r="N75" s="22">
        <v>0</v>
      </c>
    </row>
    <row r="76" spans="1:14" x14ac:dyDescent="0.4">
      <c r="A76" s="20" t="s">
        <v>42</v>
      </c>
      <c r="B76" s="20"/>
      <c r="C76" s="20"/>
      <c r="D76" s="22">
        <v>508.49900000000002</v>
      </c>
      <c r="E76" s="22"/>
      <c r="F76" s="22">
        <v>440.16800000000001</v>
      </c>
      <c r="G76" s="22"/>
      <c r="H76" s="22">
        <v>316.02</v>
      </c>
      <c r="I76" s="22"/>
      <c r="J76" s="22">
        <v>197.39500000000001</v>
      </c>
      <c r="K76" s="22"/>
      <c r="L76" s="22">
        <v>136.95400000000001</v>
      </c>
      <c r="M76" s="22"/>
      <c r="N76" s="22">
        <v>149.34</v>
      </c>
    </row>
    <row r="77" spans="1:14" x14ac:dyDescent="0.4">
      <c r="A77" s="20" t="s">
        <v>43</v>
      </c>
      <c r="B77" s="20"/>
      <c r="C77" s="20"/>
      <c r="D77" s="22">
        <v>0</v>
      </c>
      <c r="E77" s="22"/>
      <c r="F77" s="22">
        <v>0</v>
      </c>
      <c r="G77" s="22"/>
      <c r="H77" s="22">
        <v>0</v>
      </c>
      <c r="I77" s="22"/>
      <c r="J77" s="22">
        <v>0</v>
      </c>
      <c r="K77" s="22"/>
      <c r="L77" s="22">
        <v>0</v>
      </c>
      <c r="M77" s="22"/>
      <c r="N77" s="22">
        <v>0</v>
      </c>
    </row>
    <row r="78" spans="1:14" x14ac:dyDescent="0.4">
      <c r="A78" s="20" t="s">
        <v>44</v>
      </c>
      <c r="B78" s="20"/>
      <c r="C78" s="20"/>
      <c r="D78" s="22">
        <f>SUM(D68:D77)</f>
        <v>1205.5840000000001</v>
      </c>
      <c r="E78" s="22"/>
      <c r="F78" s="22">
        <f>SUM(F68:F77)</f>
        <v>1001.745</v>
      </c>
      <c r="G78" s="22"/>
      <c r="H78" s="22">
        <v>834.45899999999995</v>
      </c>
      <c r="I78" s="22"/>
      <c r="J78" s="22">
        <v>683.68899999999996</v>
      </c>
      <c r="K78" s="22"/>
      <c r="L78" s="22">
        <v>583.04</v>
      </c>
      <c r="M78" s="22"/>
      <c r="N78" s="22">
        <v>507.47800000000001</v>
      </c>
    </row>
    <row r="79" spans="1:14" x14ac:dyDescent="0.4">
      <c r="A79" s="20" t="s">
        <v>45</v>
      </c>
      <c r="B79" s="20"/>
      <c r="C79" s="20"/>
      <c r="D79" s="22">
        <v>13.6</v>
      </c>
      <c r="E79" s="22"/>
      <c r="F79" s="22">
        <v>45.6</v>
      </c>
      <c r="G79" s="22"/>
      <c r="H79" s="22">
        <v>11.935</v>
      </c>
      <c r="I79" s="22"/>
      <c r="J79" s="22">
        <v>9.4209999999999994</v>
      </c>
      <c r="K79" s="22"/>
      <c r="L79" s="22">
        <v>12.099</v>
      </c>
      <c r="M79" s="22"/>
      <c r="N79" s="22">
        <v>9.1509999999999998</v>
      </c>
    </row>
    <row r="80" spans="1:14" x14ac:dyDescent="0.4">
      <c r="A80" s="20" t="s">
        <v>46</v>
      </c>
      <c r="B80" s="20"/>
      <c r="C80" s="20"/>
      <c r="D80" s="22">
        <v>175.64400000000001</v>
      </c>
      <c r="E80" s="22"/>
      <c r="F80" s="22">
        <v>247.37100000000001</v>
      </c>
      <c r="G80" s="22"/>
      <c r="H80" s="22">
        <v>294.45800000000003</v>
      </c>
      <c r="I80" s="22"/>
      <c r="J80" s="22">
        <v>250.96899999999999</v>
      </c>
      <c r="K80" s="22"/>
      <c r="L80" s="22">
        <v>209.87100000000001</v>
      </c>
      <c r="M80" s="22"/>
      <c r="N80" s="22">
        <v>173.39699999999999</v>
      </c>
    </row>
    <row r="81" spans="1:14" x14ac:dyDescent="0.4">
      <c r="A81" s="20" t="s">
        <v>47</v>
      </c>
      <c r="B81" s="20"/>
      <c r="C81" s="20"/>
      <c r="D81" s="22">
        <v>0</v>
      </c>
      <c r="E81" s="22"/>
      <c r="F81" s="22">
        <v>0</v>
      </c>
      <c r="G81" s="22"/>
      <c r="H81" s="22">
        <v>0</v>
      </c>
      <c r="I81" s="22"/>
      <c r="J81" s="22">
        <v>0</v>
      </c>
      <c r="K81" s="22"/>
      <c r="L81" s="22">
        <v>0</v>
      </c>
      <c r="M81" s="22"/>
      <c r="N81" s="22">
        <v>0</v>
      </c>
    </row>
    <row r="82" spans="1:14" x14ac:dyDescent="0.4">
      <c r="A82" s="20" t="s">
        <v>48</v>
      </c>
      <c r="B82" s="20"/>
      <c r="C82" s="20"/>
      <c r="D82" s="22">
        <v>71.498000000000005</v>
      </c>
      <c r="E82" s="22"/>
      <c r="F82" s="22">
        <v>65.153000000000006</v>
      </c>
      <c r="G82" s="22"/>
      <c r="H82" s="22">
        <v>56.58</v>
      </c>
      <c r="I82" s="22"/>
      <c r="J82" s="22">
        <v>58.124000000000002</v>
      </c>
      <c r="K82" s="22"/>
      <c r="L82" s="22">
        <v>44.674999999999997</v>
      </c>
      <c r="M82" s="22"/>
      <c r="N82" s="22">
        <v>41.14</v>
      </c>
    </row>
    <row r="83" spans="1:14" x14ac:dyDescent="0.4">
      <c r="A83" s="20" t="s">
        <v>49</v>
      </c>
      <c r="B83" s="20"/>
      <c r="C83" s="20"/>
      <c r="D83" s="22">
        <f>58.117+9.599</f>
        <v>67.715999999999994</v>
      </c>
      <c r="E83" s="22"/>
      <c r="F83" s="22">
        <f>45.9+8.752</f>
        <v>54.652000000000001</v>
      </c>
      <c r="G83" s="22"/>
      <c r="H83" s="22">
        <v>49.337000000000003</v>
      </c>
      <c r="I83" s="22"/>
      <c r="J83" s="22">
        <v>44.720999999999997</v>
      </c>
      <c r="K83" s="22"/>
      <c r="L83" s="22">
        <v>39.493000000000002</v>
      </c>
      <c r="M83" s="22"/>
      <c r="N83" s="22">
        <v>36.950000000000003</v>
      </c>
    </row>
    <row r="84" spans="1:14" x14ac:dyDescent="0.4">
      <c r="A84" s="20" t="s">
        <v>50</v>
      </c>
      <c r="B84" s="20"/>
      <c r="C84" s="20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x14ac:dyDescent="0.4">
      <c r="A85" s="20" t="s">
        <v>51</v>
      </c>
      <c r="B85" s="20"/>
      <c r="C85" s="20"/>
      <c r="D85" s="22">
        <v>24.709</v>
      </c>
      <c r="E85" s="22"/>
      <c r="F85" s="22">
        <v>24.475999999999999</v>
      </c>
      <c r="G85" s="22"/>
      <c r="H85" s="22">
        <v>21.225999999999999</v>
      </c>
      <c r="I85" s="22"/>
      <c r="J85" s="22">
        <v>11.085000000000001</v>
      </c>
      <c r="K85" s="22"/>
      <c r="L85" s="22">
        <v>31.257000000000001</v>
      </c>
      <c r="M85" s="22"/>
      <c r="N85" s="22">
        <v>20.52</v>
      </c>
    </row>
    <row r="86" spans="1:14" x14ac:dyDescent="0.4">
      <c r="A86" s="20" t="s">
        <v>52</v>
      </c>
      <c r="B86" s="20"/>
      <c r="C86" s="20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 x14ac:dyDescent="0.4">
      <c r="A87" s="20" t="s">
        <v>53</v>
      </c>
      <c r="B87" s="20"/>
      <c r="C87" s="20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 x14ac:dyDescent="0.4">
      <c r="A88" s="20" t="s">
        <v>69</v>
      </c>
      <c r="B88" s="20"/>
      <c r="C88" s="20"/>
      <c r="D88" s="22">
        <f>-0.2-6.243-1.482+0.207+4.829</f>
        <v>-2.8890000000000011</v>
      </c>
      <c r="E88" s="22"/>
      <c r="F88" s="22">
        <f>-7.344-4.135-1.595+1.985+4.279</f>
        <v>-6.8100000000000005</v>
      </c>
      <c r="G88" s="22"/>
      <c r="H88" s="22"/>
      <c r="I88" s="22"/>
      <c r="J88" s="22"/>
      <c r="K88" s="22"/>
      <c r="L88" s="22"/>
      <c r="M88" s="22"/>
      <c r="N88" s="22"/>
    </row>
    <row r="89" spans="1:14" x14ac:dyDescent="0.4">
      <c r="A89" s="20" t="s">
        <v>54</v>
      </c>
      <c r="B89" s="20"/>
      <c r="C89" s="20"/>
      <c r="D89" s="22">
        <v>165.511</v>
      </c>
      <c r="E89" s="22"/>
      <c r="F89" s="22">
        <v>184.727</v>
      </c>
      <c r="G89" s="22"/>
      <c r="H89" s="22">
        <v>269.767</v>
      </c>
      <c r="I89" s="22"/>
      <c r="J89" s="22">
        <v>175.32900000000001</v>
      </c>
      <c r="K89" s="22"/>
      <c r="L89" s="22">
        <v>169.86099999999999</v>
      </c>
      <c r="M89" s="22"/>
      <c r="N89" s="22">
        <v>144.61799999999999</v>
      </c>
    </row>
    <row r="90" spans="1:14" x14ac:dyDescent="0.4">
      <c r="A90" s="20" t="s">
        <v>55</v>
      </c>
      <c r="B90" s="20"/>
      <c r="C90" s="20"/>
      <c r="D90" s="22">
        <v>27.161000000000001</v>
      </c>
      <c r="E90" s="22"/>
      <c r="F90" s="22">
        <v>24.693000000000001</v>
      </c>
      <c r="G90" s="22"/>
      <c r="H90" s="22">
        <v>22.042999999999999</v>
      </c>
      <c r="I90" s="22"/>
      <c r="J90" s="22">
        <v>19.928000000000001</v>
      </c>
      <c r="K90" s="22"/>
      <c r="L90" s="22">
        <v>17.481999999999999</v>
      </c>
      <c r="M90" s="22"/>
      <c r="N90" s="22">
        <v>15.923999999999999</v>
      </c>
    </row>
    <row r="91" spans="1:14" x14ac:dyDescent="0.4">
      <c r="A91" s="20" t="s">
        <v>56</v>
      </c>
      <c r="B91" s="20"/>
      <c r="C91" s="20"/>
      <c r="D91" s="22">
        <v>0</v>
      </c>
      <c r="E91" s="22"/>
      <c r="F91" s="22">
        <v>0</v>
      </c>
      <c r="G91" s="22"/>
      <c r="H91" s="22">
        <v>0</v>
      </c>
      <c r="I91" s="22"/>
      <c r="J91" s="22">
        <v>0</v>
      </c>
      <c r="K91" s="22"/>
      <c r="L91" s="22">
        <v>0</v>
      </c>
      <c r="M91" s="22"/>
      <c r="N91" s="22">
        <v>0</v>
      </c>
    </row>
    <row r="92" spans="1:14" x14ac:dyDescent="0.4">
      <c r="A92" s="20" t="s">
        <v>57</v>
      </c>
      <c r="B92" s="20"/>
      <c r="C92" s="20"/>
      <c r="D92" s="22">
        <v>22.884</v>
      </c>
      <c r="E92" s="22"/>
      <c r="F92" s="22">
        <v>23.856000000000002</v>
      </c>
      <c r="G92" s="22"/>
      <c r="H92" s="22">
        <v>16.741</v>
      </c>
      <c r="I92" s="22"/>
      <c r="J92" s="22">
        <v>12.42</v>
      </c>
      <c r="K92" s="22"/>
      <c r="L92" s="22">
        <v>10.315</v>
      </c>
      <c r="M92" s="22"/>
      <c r="N92" s="22">
        <v>9.4969999999999999</v>
      </c>
    </row>
    <row r="93" spans="1:14" x14ac:dyDescent="0.4">
      <c r="A93" s="20" t="s">
        <v>58</v>
      </c>
      <c r="B93" s="20"/>
      <c r="C93" s="20"/>
      <c r="D93" s="22">
        <v>-8.1349999999999998</v>
      </c>
      <c r="E93" s="22"/>
      <c r="F93" s="22">
        <v>3.2210000000000001</v>
      </c>
      <c r="G93" s="22"/>
      <c r="H93" s="22">
        <v>0.47699999999999998</v>
      </c>
      <c r="I93" s="22"/>
      <c r="J93" s="22">
        <v>-4.1139999999999999</v>
      </c>
      <c r="K93" s="22"/>
      <c r="L93" s="22">
        <v>-5.3079999999999998</v>
      </c>
      <c r="M93" s="22"/>
      <c r="N93" s="22">
        <v>11.076000000000001</v>
      </c>
    </row>
    <row r="94" spans="1:14" x14ac:dyDescent="0.4">
      <c r="A94" s="20" t="s">
        <v>67</v>
      </c>
      <c r="B94" s="20"/>
      <c r="C94" s="20"/>
      <c r="D94" s="22">
        <v>1</v>
      </c>
      <c r="E94" s="22"/>
      <c r="F94" s="22">
        <v>1</v>
      </c>
      <c r="G94" s="22"/>
      <c r="H94" s="22">
        <v>1</v>
      </c>
      <c r="I94" s="22"/>
      <c r="J94" s="22">
        <v>1</v>
      </c>
      <c r="K94" s="22"/>
      <c r="L94" s="22">
        <v>1</v>
      </c>
      <c r="M94" s="22"/>
      <c r="N94" s="22">
        <v>1</v>
      </c>
    </row>
    <row r="95" spans="1:14" x14ac:dyDescent="0.4">
      <c r="A95" s="20" t="s">
        <v>68</v>
      </c>
      <c r="B95" s="20"/>
      <c r="C95" s="20"/>
      <c r="D95" s="22">
        <v>1</v>
      </c>
      <c r="E95" s="22"/>
      <c r="F95" s="22">
        <v>1</v>
      </c>
      <c r="G95" s="22"/>
      <c r="H95" s="22">
        <v>1</v>
      </c>
      <c r="I95" s="22"/>
      <c r="J95" s="22">
        <v>1</v>
      </c>
      <c r="K95" s="22"/>
      <c r="L95" s="22">
        <v>1</v>
      </c>
      <c r="M95" s="22"/>
      <c r="N95" s="22">
        <v>1</v>
      </c>
    </row>
    <row r="96" spans="1:14" x14ac:dyDescent="0.4">
      <c r="A96" s="20" t="s">
        <v>59</v>
      </c>
      <c r="B96" s="20"/>
      <c r="C96" s="20"/>
      <c r="D96" s="22">
        <v>29.106000000000002</v>
      </c>
      <c r="E96" s="22"/>
      <c r="F96" s="22">
        <v>26.190999999999999</v>
      </c>
      <c r="G96" s="22"/>
      <c r="H96" s="22">
        <v>23.6</v>
      </c>
      <c r="I96" s="22"/>
      <c r="J96" s="22">
        <v>21.045000000000002</v>
      </c>
      <c r="K96" s="22"/>
      <c r="L96" s="22">
        <v>18.847999999999999</v>
      </c>
      <c r="M96" s="22"/>
      <c r="N96" s="22">
        <v>17.222000000000001</v>
      </c>
    </row>
    <row r="97" spans="1:14" x14ac:dyDescent="0.4">
      <c r="A97" s="20" t="s">
        <v>60</v>
      </c>
      <c r="B97" s="20"/>
      <c r="C97" s="20"/>
      <c r="D97" s="22">
        <v>1.7250000000000001</v>
      </c>
      <c r="E97" s="22"/>
      <c r="F97" s="22">
        <v>1.585</v>
      </c>
      <c r="G97" s="22"/>
      <c r="H97" s="22">
        <v>1.4350000000000001</v>
      </c>
      <c r="I97" s="22"/>
      <c r="J97" s="22">
        <v>1.28</v>
      </c>
      <c r="K97" s="22"/>
      <c r="L97" s="22">
        <v>1.2030000000000001</v>
      </c>
      <c r="M97" s="22"/>
      <c r="N97" s="22">
        <v>1.133</v>
      </c>
    </row>
    <row r="98" spans="1:14" x14ac:dyDescent="0.4">
      <c r="A98" s="20" t="s">
        <v>61</v>
      </c>
      <c r="B98" s="20"/>
      <c r="C98" s="20"/>
      <c r="D98" s="22">
        <v>1.7250000000000001</v>
      </c>
      <c r="E98" s="22"/>
      <c r="F98" s="22">
        <v>1.585</v>
      </c>
      <c r="G98" s="22"/>
      <c r="H98" s="22">
        <v>1.39</v>
      </c>
      <c r="I98" s="22"/>
      <c r="J98" s="22">
        <v>1.26</v>
      </c>
      <c r="K98" s="22"/>
      <c r="L98" s="22">
        <v>1.1850000000000001</v>
      </c>
      <c r="M98" s="22"/>
      <c r="N98" s="22">
        <v>1.115</v>
      </c>
    </row>
    <row r="99" spans="1:14" x14ac:dyDescent="0.4">
      <c r="A99" s="20" t="s">
        <v>62</v>
      </c>
      <c r="B99" s="20"/>
      <c r="C99" s="20"/>
      <c r="D99" s="22">
        <v>111.4</v>
      </c>
      <c r="E99" s="22"/>
      <c r="F99" s="22">
        <v>98.55</v>
      </c>
      <c r="G99" s="22"/>
      <c r="H99" s="22">
        <v>93.4</v>
      </c>
      <c r="I99" s="22"/>
      <c r="J99" s="22">
        <v>86.35</v>
      </c>
      <c r="K99" s="22"/>
      <c r="L99" s="22">
        <v>70</v>
      </c>
      <c r="M99" s="22"/>
      <c r="N99" s="22">
        <v>61.13</v>
      </c>
    </row>
    <row r="100" spans="1:14" x14ac:dyDescent="0.4">
      <c r="A100" s="20" t="s">
        <v>63</v>
      </c>
      <c r="B100" s="20"/>
      <c r="C100" s="20"/>
      <c r="D100" s="22">
        <v>69.47</v>
      </c>
      <c r="E100" s="22"/>
      <c r="F100" s="22">
        <v>77.59</v>
      </c>
      <c r="G100" s="22"/>
      <c r="H100" s="22">
        <v>66.349999999999994</v>
      </c>
      <c r="I100" s="22"/>
      <c r="J100" s="22">
        <v>63</v>
      </c>
      <c r="K100" s="22"/>
      <c r="L100" s="22">
        <v>52.25</v>
      </c>
      <c r="M100" s="22"/>
      <c r="N100" s="22">
        <v>44.37</v>
      </c>
    </row>
    <row r="101" spans="1:14" x14ac:dyDescent="0.4">
      <c r="A101" s="20" t="s">
        <v>64</v>
      </c>
      <c r="B101" s="20"/>
      <c r="C101" s="20"/>
      <c r="D101">
        <v>108.21</v>
      </c>
      <c r="E101" s="22"/>
      <c r="F101" s="22">
        <v>95.83</v>
      </c>
      <c r="G101" s="22"/>
      <c r="H101" s="22">
        <v>81.3</v>
      </c>
      <c r="I101" s="22"/>
      <c r="J101" s="22">
        <v>78.55</v>
      </c>
      <c r="K101" s="22"/>
      <c r="L101" s="22">
        <v>66.95</v>
      </c>
      <c r="M101" s="22"/>
      <c r="N101" s="22">
        <v>56.75</v>
      </c>
    </row>
    <row r="102" spans="1:14" x14ac:dyDescent="0.4">
      <c r="A102" s="20" t="s">
        <v>65</v>
      </c>
      <c r="B102" s="20"/>
      <c r="C102" s="20"/>
      <c r="D102" s="22">
        <v>17.461841</v>
      </c>
      <c r="E102" s="22"/>
      <c r="F102" s="22">
        <v>16.403776000000001</v>
      </c>
      <c r="G102" s="22"/>
      <c r="H102" s="22">
        <v>16.378</v>
      </c>
      <c r="I102" s="22"/>
      <c r="J102" s="22">
        <v>16.344000000000001</v>
      </c>
      <c r="K102" s="22"/>
      <c r="L102" s="22">
        <v>16.303999999999998</v>
      </c>
      <c r="M102" s="22"/>
      <c r="N102" s="22">
        <v>15.271000000000001</v>
      </c>
    </row>
    <row r="103" spans="1:14" x14ac:dyDescent="0.4">
      <c r="A103" s="20" t="s">
        <v>77</v>
      </c>
      <c r="B103" s="20"/>
      <c r="C103" s="20"/>
      <c r="D103" s="22">
        <v>-2.8650000000000002</v>
      </c>
      <c r="E103" s="22"/>
      <c r="F103" s="22">
        <v>-6.2670000000000003</v>
      </c>
      <c r="G103" s="22"/>
      <c r="H103" s="22">
        <v>-6.7130000000000001</v>
      </c>
      <c r="I103" s="22"/>
      <c r="J103" s="22">
        <v>-4.2720000000000002</v>
      </c>
      <c r="K103" s="22"/>
      <c r="L103" s="22">
        <v>-4.8780000000000001</v>
      </c>
      <c r="M103" s="22"/>
      <c r="N103" s="22">
        <v>-5.84</v>
      </c>
    </row>
    <row r="104" spans="1:14" x14ac:dyDescent="0.4">
      <c r="A104" t="s">
        <v>71</v>
      </c>
    </row>
    <row r="105" spans="1:14" x14ac:dyDescent="0.4">
      <c r="B105" t="s">
        <v>70</v>
      </c>
      <c r="D105" s="15">
        <f>D67/D94</f>
        <v>4.2300000000000004</v>
      </c>
      <c r="F105" s="15">
        <f>F67/F94</f>
        <v>3.73</v>
      </c>
      <c r="H105" s="15">
        <f>H67/H94</f>
        <v>3.46</v>
      </c>
      <c r="J105" s="15">
        <f>J67/J94</f>
        <v>3.56</v>
      </c>
      <c r="L105" s="15">
        <f>L67/L94</f>
        <v>2.87</v>
      </c>
      <c r="N105" s="15">
        <f>N67/N94</f>
        <v>2.73</v>
      </c>
    </row>
    <row r="106" spans="1:14" x14ac:dyDescent="0.4">
      <c r="B106" t="s">
        <v>60</v>
      </c>
      <c r="D106" s="15">
        <f>D97/D94</f>
        <v>1.7250000000000001</v>
      </c>
      <c r="F106" s="15">
        <f>F97/F94</f>
        <v>1.585</v>
      </c>
      <c r="H106" s="15">
        <f>H97/H94</f>
        <v>1.4350000000000001</v>
      </c>
      <c r="J106" s="15">
        <f>J97/J94</f>
        <v>1.28</v>
      </c>
      <c r="L106" s="15">
        <f>L97/L94</f>
        <v>1.2030000000000001</v>
      </c>
      <c r="N106" s="15">
        <f>N97/N94</f>
        <v>1.133</v>
      </c>
    </row>
    <row r="107" spans="1:14" x14ac:dyDescent="0.4">
      <c r="B107" t="s">
        <v>61</v>
      </c>
      <c r="D107" s="15">
        <f>D98/D94</f>
        <v>1.7250000000000001</v>
      </c>
      <c r="F107" s="15">
        <f>F98/F94</f>
        <v>1.585</v>
      </c>
      <c r="H107" s="15">
        <f>H98/H94</f>
        <v>1.39</v>
      </c>
      <c r="J107" s="15">
        <f>J98/J94</f>
        <v>1.26</v>
      </c>
      <c r="L107" s="15">
        <f>L98/L94</f>
        <v>1.1850000000000001</v>
      </c>
      <c r="N107" s="15">
        <f>N98/N94</f>
        <v>1.115</v>
      </c>
    </row>
    <row r="108" spans="1:14" x14ac:dyDescent="0.4">
      <c r="B108" t="s">
        <v>62</v>
      </c>
      <c r="D108" s="15">
        <f>D99/D94</f>
        <v>111.4</v>
      </c>
      <c r="F108" s="15">
        <f>F99/F94</f>
        <v>98.55</v>
      </c>
      <c r="H108" s="15">
        <f>H99/H94</f>
        <v>93.4</v>
      </c>
      <c r="J108" s="15">
        <f>J99/J94</f>
        <v>86.35</v>
      </c>
      <c r="L108" s="15">
        <f>L99/L94</f>
        <v>70</v>
      </c>
      <c r="N108" s="15">
        <f>N99/N94</f>
        <v>61.13</v>
      </c>
    </row>
    <row r="109" spans="1:14" x14ac:dyDescent="0.4">
      <c r="B109" t="s">
        <v>63</v>
      </c>
      <c r="D109" s="15">
        <f>D100/D94</f>
        <v>69.47</v>
      </c>
      <c r="F109" s="15">
        <f>F100/F94</f>
        <v>77.59</v>
      </c>
      <c r="H109" s="15">
        <f>H100/H94</f>
        <v>66.349999999999994</v>
      </c>
      <c r="J109" s="15">
        <f>J100/J94</f>
        <v>63</v>
      </c>
      <c r="L109" s="15">
        <f>L100/L94</f>
        <v>52.25</v>
      </c>
      <c r="N109" s="15">
        <f>N100/N94</f>
        <v>44.37</v>
      </c>
    </row>
    <row r="110" spans="1:14" x14ac:dyDescent="0.4">
      <c r="B110" t="s">
        <v>64</v>
      </c>
      <c r="D110" s="15">
        <f>D101/D94</f>
        <v>108.21</v>
      </c>
      <c r="F110" s="15">
        <f>F101/F94</f>
        <v>95.83</v>
      </c>
      <c r="H110" s="15">
        <f>H101/H94</f>
        <v>81.3</v>
      </c>
      <c r="J110" s="15">
        <f>J101/J94</f>
        <v>78.55</v>
      </c>
      <c r="L110" s="15">
        <f>L101/L94</f>
        <v>66.95</v>
      </c>
      <c r="N110" s="15">
        <f>N101/N94</f>
        <v>56.75</v>
      </c>
    </row>
    <row r="111" spans="1:14" x14ac:dyDescent="0.4">
      <c r="B111" t="s">
        <v>65</v>
      </c>
      <c r="D111" s="16">
        <f>D102*D94</f>
        <v>17.461841</v>
      </c>
      <c r="E111" s="16"/>
      <c r="F111" s="16">
        <f>F102*F94</f>
        <v>16.403776000000001</v>
      </c>
      <c r="G111" s="16"/>
      <c r="H111" s="16">
        <f>H102*H94</f>
        <v>16.378</v>
      </c>
      <c r="I111" s="16"/>
      <c r="J111" s="16">
        <f>J102*J94</f>
        <v>16.344000000000001</v>
      </c>
      <c r="K111" s="16"/>
      <c r="L111" s="16">
        <f>L102*L94</f>
        <v>16.303999999999998</v>
      </c>
      <c r="M111" s="16"/>
      <c r="N111" s="16">
        <f>N102*N94</f>
        <v>15.271000000000001</v>
      </c>
    </row>
    <row r="112" spans="1:14" x14ac:dyDescent="0.4">
      <c r="B112" t="s">
        <v>66</v>
      </c>
      <c r="D112" s="15">
        <f>ROUND(D68/D111,2)</f>
        <v>39.92</v>
      </c>
      <c r="F112" s="15">
        <f>ROUND(F68/F111,2)</f>
        <v>34.229999999999997</v>
      </c>
      <c r="H112" s="15">
        <f>ROUND(H68/H111,2)</f>
        <v>31.65</v>
      </c>
      <c r="J112" s="15">
        <f>ROUND(J68/J111,2)</f>
        <v>29.75</v>
      </c>
      <c r="L112" s="15">
        <f>ROUND(L68/L111,2)</f>
        <v>27.36</v>
      </c>
      <c r="N112" s="15">
        <f>ROUND(N68/N111,2)</f>
        <v>23.45</v>
      </c>
    </row>
  </sheetData>
  <mergeCells count="4">
    <mergeCell ref="D6:L6"/>
    <mergeCell ref="A1:O1"/>
    <mergeCell ref="A2:O2"/>
    <mergeCell ref="A3:O3"/>
  </mergeCells>
  <phoneticPr fontId="0" type="noConversion"/>
  <pageMargins left="1.25" right="0" top="1.5" bottom="1" header="0.5" footer="0.5"/>
  <pageSetup scale="63" orientation="portrait" r:id="rId1"/>
  <headerFooter alignWithMargins="0"/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O112"/>
  <sheetViews>
    <sheetView zoomScale="85" zoomScaleNormal="85" workbookViewId="0">
      <selection sqref="A1:O1"/>
    </sheetView>
  </sheetViews>
  <sheetFormatPr defaultRowHeight="15" x14ac:dyDescent="0.4"/>
  <cols>
    <col min="1" max="1" width="2.6640625" customWidth="1"/>
    <col min="2" max="2" width="24.71875" customWidth="1"/>
    <col min="4" max="4" width="10.21875" customWidth="1"/>
    <col min="5" max="5" width="3.71875" customWidth="1"/>
    <col min="6" max="6" width="10.21875" customWidth="1"/>
    <col min="7" max="7" width="3.71875" customWidth="1"/>
    <col min="8" max="8" width="10.21875" customWidth="1"/>
    <col min="9" max="9" width="3.71875" customWidth="1"/>
    <col min="10" max="10" width="10.21875" customWidth="1"/>
    <col min="11" max="11" width="3.71875" customWidth="1"/>
    <col min="12" max="12" width="10.21875" customWidth="1"/>
    <col min="13" max="13" width="3.71875" customWidth="1"/>
    <col min="14" max="14" width="8.71875" customWidth="1"/>
    <col min="15" max="15" width="2.71875" customWidth="1"/>
  </cols>
  <sheetData>
    <row r="1" spans="1:15" x14ac:dyDescent="0.4">
      <c r="A1" s="46" t="str">
        <f>A54</f>
        <v>NEW JERSEY RESOURCES CORP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x14ac:dyDescent="0.4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x14ac:dyDescent="0.4">
      <c r="A3" s="42" t="str">
        <f>'Page 1'!A3:N3</f>
        <v>2016-2020, Inclusive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5" spans="1:15" s="1" customFormat="1" x14ac:dyDescent="0.4">
      <c r="D5" s="2">
        <f>D55</f>
        <v>2020</v>
      </c>
      <c r="F5" s="2">
        <f>F55</f>
        <v>2019</v>
      </c>
      <c r="H5" s="2">
        <f>H55</f>
        <v>2018</v>
      </c>
      <c r="J5" s="2">
        <f>J55</f>
        <v>2017</v>
      </c>
      <c r="L5" s="2">
        <f>L55</f>
        <v>2016</v>
      </c>
    </row>
    <row r="6" spans="1:15" s="1" customFormat="1" x14ac:dyDescent="0.4">
      <c r="D6" s="45" t="s">
        <v>18</v>
      </c>
      <c r="E6" s="45"/>
      <c r="F6" s="45"/>
      <c r="G6" s="45"/>
      <c r="H6" s="45"/>
      <c r="I6" s="45"/>
      <c r="J6" s="45"/>
      <c r="K6" s="45"/>
      <c r="L6" s="45"/>
    </row>
    <row r="7" spans="1:15" x14ac:dyDescent="0.4">
      <c r="A7" t="s">
        <v>1</v>
      </c>
    </row>
    <row r="8" spans="1:15" x14ac:dyDescent="0.4">
      <c r="B8" t="s">
        <v>6</v>
      </c>
      <c r="D8" s="37">
        <f>D78+D79+D81-D103</f>
        <v>4175.7089999999989</v>
      </c>
      <c r="F8" s="37">
        <f>F78+F79+F81-F103</f>
        <v>3142.1</v>
      </c>
      <c r="H8" s="37">
        <f>H78+H79+H81-H103</f>
        <v>2735.7520000000004</v>
      </c>
      <c r="J8" s="37">
        <f>J78+J79+J81-J103</f>
        <v>2402.3539999999998</v>
      </c>
      <c r="L8" s="37">
        <f>L78+L79+L81-L103</f>
        <v>2306.748</v>
      </c>
    </row>
    <row r="9" spans="1:15" x14ac:dyDescent="0.4">
      <c r="B9" t="s">
        <v>5</v>
      </c>
      <c r="D9" s="11">
        <f>D80</f>
        <v>125.35</v>
      </c>
      <c r="F9" s="11">
        <f>F80</f>
        <v>25.45</v>
      </c>
      <c r="H9" s="11">
        <f>H80</f>
        <v>151.94999999999999</v>
      </c>
      <c r="J9" s="11">
        <f>J80</f>
        <v>266</v>
      </c>
      <c r="L9" s="11">
        <f>L80</f>
        <v>121.7</v>
      </c>
    </row>
    <row r="10" spans="1:15" ht="15.4" thickBot="1" x14ac:dyDescent="0.45">
      <c r="B10" t="s">
        <v>7</v>
      </c>
      <c r="D10" s="12">
        <f>D8+D9</f>
        <v>4301.0589999999993</v>
      </c>
      <c r="F10" s="12">
        <f>F8+F9</f>
        <v>3167.5499999999997</v>
      </c>
      <c r="H10" s="12">
        <f>H8+H9</f>
        <v>2887.7020000000002</v>
      </c>
      <c r="J10" s="12">
        <f>J8+J9</f>
        <v>2668.3539999999998</v>
      </c>
      <c r="L10" s="12">
        <f>L8+L9</f>
        <v>2428.4479999999999</v>
      </c>
    </row>
    <row r="11" spans="1:15" ht="15.4" thickTop="1" x14ac:dyDescent="0.4"/>
    <row r="12" spans="1:15" x14ac:dyDescent="0.4">
      <c r="A12" t="s">
        <v>8</v>
      </c>
      <c r="N12" s="2" t="s">
        <v>19</v>
      </c>
    </row>
    <row r="13" spans="1:15" x14ac:dyDescent="0.4">
      <c r="B13" s="24" t="s">
        <v>73</v>
      </c>
      <c r="D13" s="32">
        <f>ROUND(AVERAGE(D108:D109)/D105,0)</f>
        <v>16</v>
      </c>
      <c r="E13" s="7" t="s">
        <v>3</v>
      </c>
      <c r="F13" s="32">
        <f>ROUND(AVERAGE(F108:F109)/F105,0)</f>
        <v>24</v>
      </c>
      <c r="G13" s="7" t="s">
        <v>3</v>
      </c>
      <c r="H13" s="32">
        <f>ROUND(AVERAGE(H108:H109)/H105,0)</f>
        <v>16</v>
      </c>
      <c r="I13" s="7" t="s">
        <v>3</v>
      </c>
      <c r="J13" s="32">
        <f>ROUND(AVERAGE(J108:J109)/J105,0)</f>
        <v>26</v>
      </c>
      <c r="K13" s="7" t="s">
        <v>3</v>
      </c>
      <c r="L13" s="32">
        <f>ROUND(AVERAGE(L108:L109)/L105,0)</f>
        <v>23</v>
      </c>
      <c r="M13" s="7" t="s">
        <v>3</v>
      </c>
      <c r="N13" s="33">
        <f>AVERAGE(D13,F13,H13,J13,L13)</f>
        <v>21</v>
      </c>
      <c r="O13" s="7" t="s">
        <v>3</v>
      </c>
    </row>
    <row r="14" spans="1:15" x14ac:dyDescent="0.4">
      <c r="B14" t="s">
        <v>20</v>
      </c>
      <c r="D14" s="3">
        <f>ROUND(AVERAGE(D108:D109)/AVERAGE(D112,F112),3)</f>
        <v>1.8029999999999999</v>
      </c>
      <c r="E14" s="3"/>
      <c r="F14" s="3">
        <f>ROUND(AVERAGE(F108:F109)/AVERAGE(F112,H112),3)</f>
        <v>2.7480000000000002</v>
      </c>
      <c r="G14" s="3"/>
      <c r="H14" s="3">
        <f>ROUND(AVERAGE(H108:H109)/AVERAGE(H112,J112),3)</f>
        <v>2.8780000000000001</v>
      </c>
      <c r="I14" s="3"/>
      <c r="J14" s="3">
        <f>ROUND(AVERAGE(J108:J109)/AVERAGE(J112,L112),3)</f>
        <v>2.843</v>
      </c>
      <c r="K14" s="3"/>
      <c r="L14" s="3">
        <f>ROUND(AVERAGE(L108:L109)/AVERAGE(L112,N112),3)</f>
        <v>2.6190000000000002</v>
      </c>
      <c r="M14" s="3"/>
      <c r="N14" s="6">
        <f>AVERAGE(D14,F14,H14,J14,L14)</f>
        <v>2.5781999999999998</v>
      </c>
    </row>
    <row r="15" spans="1:15" x14ac:dyDescent="0.4">
      <c r="B15" t="s">
        <v>9</v>
      </c>
      <c r="D15" s="3">
        <f>ROUND(D106/AVERAGE(D108:D109),3)</f>
        <v>3.9E-2</v>
      </c>
      <c r="E15" s="3"/>
      <c r="F15" s="3">
        <f>ROUND(F106/AVERAGE(F108:F109),3)</f>
        <v>2.5999999999999999E-2</v>
      </c>
      <c r="G15" s="3"/>
      <c r="H15" s="3">
        <f>ROUND(H106/AVERAGE(H108:H109),3)</f>
        <v>2.5000000000000001E-2</v>
      </c>
      <c r="I15" s="3"/>
      <c r="J15" s="3">
        <f>ROUND(J106/AVERAGE(J108:J109),3)</f>
        <v>2.5999999999999999E-2</v>
      </c>
      <c r="K15" s="3"/>
      <c r="L15" s="3">
        <f>ROUND(L106/AVERAGE(L108:L109),3)</f>
        <v>2.8000000000000001E-2</v>
      </c>
      <c r="M15" s="3"/>
      <c r="N15" s="6">
        <f>AVERAGE(D15,F15,H15,J15,L15)</f>
        <v>2.8799999999999999E-2</v>
      </c>
    </row>
    <row r="16" spans="1:15" x14ac:dyDescent="0.4">
      <c r="B16" t="s">
        <v>10</v>
      </c>
      <c r="D16" s="3">
        <f>ROUND(D96/D66,3)</f>
        <v>0.627</v>
      </c>
      <c r="E16" s="3"/>
      <c r="F16" s="3">
        <f>ROUND(F96/F66,3)</f>
        <v>0.627</v>
      </c>
      <c r="G16" s="3"/>
      <c r="H16" s="3">
        <f>ROUND(H96/H66,3)</f>
        <v>0.41799999999999998</v>
      </c>
      <c r="I16" s="3"/>
      <c r="J16" s="3">
        <f>ROUND(J96/J66,3)</f>
        <v>0.67900000000000005</v>
      </c>
      <c r="K16" s="3"/>
      <c r="L16" s="3">
        <f>ROUND(L96/L66,3)</f>
        <v>0.63700000000000001</v>
      </c>
      <c r="M16" s="3"/>
      <c r="N16" s="6">
        <f>AVERAGE(D16,F16,H16,J16,L16)</f>
        <v>0.59760000000000002</v>
      </c>
    </row>
    <row r="18" spans="1:14" x14ac:dyDescent="0.4">
      <c r="A18" t="s">
        <v>2</v>
      </c>
    </row>
    <row r="19" spans="1:14" x14ac:dyDescent="0.4">
      <c r="B19" t="s">
        <v>11</v>
      </c>
    </row>
    <row r="20" spans="1:14" x14ac:dyDescent="0.4">
      <c r="B20" s="34" t="s">
        <v>78</v>
      </c>
      <c r="D20" s="3">
        <f>ROUND((+D76+D79)/D8,3)</f>
        <v>0.54800000000000004</v>
      </c>
      <c r="E20" s="3"/>
      <c r="F20" s="3">
        <f>ROUND((+F76+F79)/F8,3)</f>
        <v>0.496</v>
      </c>
      <c r="G20" s="3"/>
      <c r="H20" s="3">
        <f>ROUND((+H76+H79)/H8,3)</f>
        <v>0.47699999999999998</v>
      </c>
      <c r="I20" s="3"/>
      <c r="J20" s="3">
        <f>ROUND((+J76+J79)/J8,3)</f>
        <v>0.48399999999999999</v>
      </c>
      <c r="K20" s="3"/>
      <c r="L20" s="3">
        <f>ROUND((+L76+L79)/L8,3)</f>
        <v>0.48799999999999999</v>
      </c>
      <c r="M20" s="3"/>
      <c r="N20" s="6">
        <f>AVERAGE(D20,F20,H20,J20,L20)</f>
        <v>0.49859999999999999</v>
      </c>
    </row>
    <row r="21" spans="1:14" x14ac:dyDescent="0.4">
      <c r="B21" s="34" t="s">
        <v>79</v>
      </c>
      <c r="D21" s="3">
        <f>ROUND((SUM(D69:D75)+D81)/D8,3)</f>
        <v>0</v>
      </c>
      <c r="E21" s="3"/>
      <c r="F21" s="3">
        <f>ROUND((SUM(F69:F75)+F81)/F8,3)</f>
        <v>0</v>
      </c>
      <c r="G21" s="3"/>
      <c r="H21" s="3">
        <f>ROUND((SUM(H69:H75)+H81)/H8,3)</f>
        <v>0</v>
      </c>
      <c r="I21" s="3"/>
      <c r="J21" s="3">
        <f>ROUND((SUM(J69:J75)+J81)/J8,3)</f>
        <v>0</v>
      </c>
      <c r="K21" s="3"/>
      <c r="L21" s="3">
        <f>ROUND((SUM(L69:L75)+L81)/L8,3)</f>
        <v>0</v>
      </c>
      <c r="M21" s="3"/>
      <c r="N21" s="6">
        <f>AVERAGE(D21,F21,H21,J21,L21)</f>
        <v>0</v>
      </c>
    </row>
    <row r="22" spans="1:14" ht="17.25" x14ac:dyDescent="0.4">
      <c r="B22" s="35" t="s">
        <v>80</v>
      </c>
      <c r="D22" s="4">
        <f>ROUND((D68-D103)/D8,3)</f>
        <v>0.45200000000000001</v>
      </c>
      <c r="E22" s="3"/>
      <c r="F22" s="4">
        <f>ROUND((F68-F103)/F8,3)</f>
        <v>0.504</v>
      </c>
      <c r="G22" s="3"/>
      <c r="H22" s="4">
        <f>ROUND((H68-H103)/H8,3)</f>
        <v>0.52300000000000002</v>
      </c>
      <c r="I22" s="3"/>
      <c r="J22" s="4">
        <f>ROUND((J68-J103)/J8,3)</f>
        <v>0.51600000000000001</v>
      </c>
      <c r="K22" s="3"/>
      <c r="L22" s="4">
        <f>ROUND((L68-L103)/L8,3)</f>
        <v>0.51200000000000001</v>
      </c>
      <c r="M22" s="3"/>
      <c r="N22" s="8">
        <f>AVERAGE(D22,F22,H22,J22,L22)</f>
        <v>0.50140000000000007</v>
      </c>
    </row>
    <row r="23" spans="1:14" ht="15.4" thickBot="1" x14ac:dyDescent="0.45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9">
        <f>AVERAGE(D23,F23,H23,J23,L23)</f>
        <v>1</v>
      </c>
    </row>
    <row r="24" spans="1:14" ht="15.4" thickTop="1" x14ac:dyDescent="0.4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4">
      <c r="B25" s="34" t="s">
        <v>81</v>
      </c>
      <c r="D25" s="3">
        <f>ROUND((+D76+D79+D80)/D10,3)</f>
        <v>0.56100000000000005</v>
      </c>
      <c r="E25" s="3"/>
      <c r="F25" s="3">
        <f>ROUND((+F76+F79+F80)/F10,3)</f>
        <v>0.5</v>
      </c>
      <c r="G25" s="3"/>
      <c r="H25" s="3">
        <f>ROUND((+H76+H79+H80)/H10,3)</f>
        <v>0.504</v>
      </c>
      <c r="I25" s="3"/>
      <c r="J25" s="3">
        <f>ROUND((+J76+J79+J80)/J10,3)</f>
        <v>0.53500000000000003</v>
      </c>
      <c r="K25" s="3"/>
      <c r="L25" s="3">
        <f>ROUND((+L76+L79+L80)/L10,3)</f>
        <v>0.51300000000000001</v>
      </c>
      <c r="M25" s="3"/>
      <c r="N25" s="6">
        <f>AVERAGE(D25,F25,H25,J25,L25)</f>
        <v>0.52259999999999995</v>
      </c>
    </row>
    <row r="26" spans="1:14" x14ac:dyDescent="0.4">
      <c r="B26" s="34" t="s">
        <v>79</v>
      </c>
      <c r="D26" s="3">
        <f>ROUND((SUM(D69:D75)+D81)/D10,3)</f>
        <v>0</v>
      </c>
      <c r="E26" s="3"/>
      <c r="F26" s="3">
        <f>ROUND((SUM(F69:F75)+F81)/F10,3)</f>
        <v>0</v>
      </c>
      <c r="G26" s="3"/>
      <c r="H26" s="3">
        <f>ROUND((SUM(H69:H75)+H81)/H10,3)</f>
        <v>0</v>
      </c>
      <c r="I26" s="3"/>
      <c r="J26" s="3">
        <f>ROUND((SUM(J69:J75)+J81)/J10,3)</f>
        <v>0</v>
      </c>
      <c r="K26" s="3"/>
      <c r="L26" s="3">
        <f>ROUND((SUM(L69:L75)+L81)/L10,3)</f>
        <v>0</v>
      </c>
      <c r="M26" s="3"/>
      <c r="N26" s="6">
        <f>AVERAGE(D26,F26,H26,J26,L26)</f>
        <v>0</v>
      </c>
    </row>
    <row r="27" spans="1:14" ht="17.25" x14ac:dyDescent="0.4">
      <c r="B27" s="35" t="s">
        <v>80</v>
      </c>
      <c r="D27" s="4">
        <f>ROUND((D68-D103)/D10,3)</f>
        <v>0.439</v>
      </c>
      <c r="E27" s="3"/>
      <c r="F27" s="4">
        <f>ROUND((F68-F103)/F10,3)</f>
        <v>0.5</v>
      </c>
      <c r="G27" s="3"/>
      <c r="H27" s="4">
        <f>ROUND((H68-H103)/H10,3)</f>
        <v>0.496</v>
      </c>
      <c r="I27" s="3"/>
      <c r="J27" s="4">
        <f>ROUND((J68-J103)/J10,3)</f>
        <v>0.46500000000000002</v>
      </c>
      <c r="K27" s="3"/>
      <c r="L27" s="4">
        <f>ROUND((L68-L103)/L10,3)</f>
        <v>0.48699999999999999</v>
      </c>
      <c r="M27" s="3"/>
      <c r="N27" s="8">
        <f>AVERAGE(D27,F27,H27,J27,L27)</f>
        <v>0.47739999999999999</v>
      </c>
    </row>
    <row r="28" spans="1:14" ht="15.4" thickBot="1" x14ac:dyDescent="0.45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9">
        <f>AVERAGE(D28,F28,H28,J28,L28)</f>
        <v>1</v>
      </c>
    </row>
    <row r="29" spans="1:14" ht="15.4" thickTop="1" x14ac:dyDescent="0.4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7.25" x14ac:dyDescent="0.4">
      <c r="A30" s="36" t="s">
        <v>82</v>
      </c>
      <c r="D30" s="3">
        <f>ROUND(+D66/(((D68-D103)+(F68-F103))/2),3)</f>
        <v>0.112</v>
      </c>
      <c r="E30" s="3"/>
      <c r="F30" s="3">
        <f>ROUND(+F66/(((F68-F103)+(H68-H103))/2),3)</f>
        <v>0.112</v>
      </c>
      <c r="G30" s="3"/>
      <c r="H30" s="3">
        <f>ROUND(+H66/(((H68-H103)+(J68-J103))/2),3)</f>
        <v>0.17499999999999999</v>
      </c>
      <c r="I30" s="3"/>
      <c r="J30" s="3">
        <f>ROUND(+J66/(((J68-J103)+(L68-L103))/2),3)</f>
        <v>0.109</v>
      </c>
      <c r="K30" s="3"/>
      <c r="L30" s="3">
        <f>ROUND(+L66/(((L68-L103)+(N68-N103))/2),3)</f>
        <v>0.115</v>
      </c>
      <c r="M30" s="3"/>
      <c r="N30" s="6">
        <f>AVERAGE(D30,F30,H30,J30,L30)</f>
        <v>0.1246</v>
      </c>
    </row>
    <row r="31" spans="1:14" x14ac:dyDescent="0.4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 x14ac:dyDescent="0.4">
      <c r="A32" s="36" t="s">
        <v>83</v>
      </c>
      <c r="D32" s="3">
        <f>ROUND((+D58-D57)/D56,3)</f>
        <v>0.88900000000000001</v>
      </c>
      <c r="E32" s="3"/>
      <c r="F32" s="3">
        <f>ROUND((+F58-F57)/F56,3)</f>
        <v>0.94099999999999995</v>
      </c>
      <c r="G32" s="3"/>
      <c r="H32" s="3">
        <f>ROUND((+H58-H57)/H56,3)</f>
        <v>0.93300000000000005</v>
      </c>
      <c r="I32" s="3"/>
      <c r="J32" s="3">
        <f>ROUND((+J58-J57)/J56,3)</f>
        <v>0.92600000000000005</v>
      </c>
      <c r="K32" s="3"/>
      <c r="L32" s="3">
        <f>ROUND((+L58-L57)/L56,3)</f>
        <v>0.91100000000000003</v>
      </c>
      <c r="M32" s="3"/>
      <c r="N32" s="6">
        <f>AVERAGE(D32,F32,H32,J32,L32)</f>
        <v>0.91999999999999993</v>
      </c>
    </row>
    <row r="34" spans="1:15" ht="17.25" x14ac:dyDescent="0.4">
      <c r="A34" s="36" t="s">
        <v>84</v>
      </c>
    </row>
    <row r="35" spans="1:15" x14ac:dyDescent="0.4">
      <c r="B35" t="s">
        <v>13</v>
      </c>
      <c r="D35" s="7">
        <f>ROUND(((+D66+D65+D64+D63+D61+D59+D57)/D61),2)</f>
        <v>3.77</v>
      </c>
      <c r="E35" s="7" t="s">
        <v>3</v>
      </c>
      <c r="F35" s="7">
        <f>ROUND(((+F66+F65+F64+F63+F61+F59+F57)/F61),2)</f>
        <v>3.8</v>
      </c>
      <c r="G35" s="7" t="s">
        <v>3</v>
      </c>
      <c r="H35" s="7">
        <f>ROUND(((+H66+H65+H64+H63+H61+H59+H57)/H61),2)</f>
        <v>4.72</v>
      </c>
      <c r="I35" s="7" t="s">
        <v>3</v>
      </c>
      <c r="J35" s="7">
        <f>ROUND(((+J66+J65+J64+J63+J61+J59+J57)/J61),2)</f>
        <v>4.26</v>
      </c>
      <c r="K35" s="7" t="s">
        <v>3</v>
      </c>
      <c r="L35" s="7">
        <f>ROUND(((+L66+L65+L64+L63+L61+L59+L57)/L61),2)</f>
        <v>5.3</v>
      </c>
      <c r="M35" s="7" t="s">
        <v>3</v>
      </c>
      <c r="N35" s="27">
        <f>AVERAGE(D35,F35,H35,J35,L35)</f>
        <v>4.3699999999999992</v>
      </c>
      <c r="O35" t="s">
        <v>3</v>
      </c>
    </row>
    <row r="36" spans="1:15" x14ac:dyDescent="0.4">
      <c r="B36" t="s">
        <v>21</v>
      </c>
      <c r="D36" s="7">
        <f>ROUND(((+D66+D65+D64+D63+D61)/(D61)),2)</f>
        <v>3.87</v>
      </c>
      <c r="E36" s="7" t="s">
        <v>3</v>
      </c>
      <c r="F36" s="7">
        <f>ROUND(((+F66+F65+F64+F63+F61)/(F61)),2)</f>
        <v>4.5999999999999996</v>
      </c>
      <c r="G36" s="7" t="s">
        <v>3</v>
      </c>
      <c r="H36" s="7">
        <f>ROUND(((+H66+H65+H64+H63+H61)/(H61)),2)</f>
        <v>5.84</v>
      </c>
      <c r="I36" s="7" t="s">
        <v>3</v>
      </c>
      <c r="J36" s="7">
        <f>ROUND(((+J66+J65+J64+J63+J61)/(J61)),2)</f>
        <v>3.86</v>
      </c>
      <c r="K36" s="7" t="s">
        <v>3</v>
      </c>
      <c r="L36" s="7">
        <f>ROUND(((+L66+L65+L64+L63+L61)/(L61)),2)</f>
        <v>4.6500000000000004</v>
      </c>
      <c r="M36" s="7" t="s">
        <v>3</v>
      </c>
      <c r="N36" s="27">
        <f>AVERAGE(D36,F36,H36,J36,L36)</f>
        <v>4.5640000000000001</v>
      </c>
      <c r="O36" t="s">
        <v>3</v>
      </c>
    </row>
    <row r="37" spans="1:15" x14ac:dyDescent="0.4">
      <c r="B37" t="s">
        <v>14</v>
      </c>
      <c r="D37" s="7">
        <f>ROUND(((+D66+D65+D64+D63+D61)/(D61+D63+D64+D65)),2)</f>
        <v>3.87</v>
      </c>
      <c r="E37" s="7" t="s">
        <v>3</v>
      </c>
      <c r="F37" s="7">
        <f>ROUND(((+F66+F65+F64+F63+F61)/(F61+F63+F64+F65)),2)</f>
        <v>4.5999999999999996</v>
      </c>
      <c r="G37" s="7" t="s">
        <v>3</v>
      </c>
      <c r="H37" s="7">
        <f>ROUND(((+H66+H65+H64+H63+H61)/(H61+H63+H64+H65)),2)</f>
        <v>5.84</v>
      </c>
      <c r="I37" s="7" t="s">
        <v>3</v>
      </c>
      <c r="J37" s="7">
        <f>ROUND(((+J66+J65+J64+J63+J61)/(J61+J63+J64+J65)),2)</f>
        <v>3.86</v>
      </c>
      <c r="K37" s="7" t="s">
        <v>3</v>
      </c>
      <c r="L37" s="7">
        <f>ROUND(((+L66+L65+L64+L63+L61)/(L61+L63+L64+L65)),2)</f>
        <v>4.6500000000000004</v>
      </c>
      <c r="M37" s="7" t="s">
        <v>3</v>
      </c>
      <c r="N37" s="27">
        <f>AVERAGE(D37,F37,H37,J37,L37)</f>
        <v>4.5640000000000001</v>
      </c>
      <c r="O37" t="s">
        <v>3</v>
      </c>
    </row>
    <row r="38" spans="1:1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7.25" x14ac:dyDescent="0.4">
      <c r="A39" s="36" t="s">
        <v>85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x14ac:dyDescent="0.4">
      <c r="B40" t="s">
        <v>13</v>
      </c>
      <c r="D40" s="7">
        <f>ROUND(((+D66+D65+D64+D63-D62+D61+D59+D57)/D61),2)</f>
        <v>3.42</v>
      </c>
      <c r="E40" s="7" t="s">
        <v>3</v>
      </c>
      <c r="F40" s="7">
        <f>ROUND(((+F66+F65+F64+F63-F62+F61+F59+F57)/F61),2)</f>
        <v>3.58</v>
      </c>
      <c r="G40" s="7" t="s">
        <v>3</v>
      </c>
      <c r="H40" s="7">
        <f>ROUND(((+H66+H65+H64+H63-H62+H61+H59+H57)/H61),2)</f>
        <v>4.57</v>
      </c>
      <c r="I40" s="7" t="s">
        <v>3</v>
      </c>
      <c r="J40" s="7">
        <f>ROUND(((+J66+J65+J64+J63-J62+J61+J59+J57)/J61),2)</f>
        <v>4.1399999999999997</v>
      </c>
      <c r="K40" s="7" t="s">
        <v>3</v>
      </c>
      <c r="L40" s="7">
        <f>ROUND(((+L66+L65+L64+L63-L62+L61+L59+L57)/L61),2)</f>
        <v>5.04</v>
      </c>
      <c r="M40" s="7" t="s">
        <v>3</v>
      </c>
      <c r="N40" s="27">
        <f>AVERAGE(D40,F40,H40,J40,L40)</f>
        <v>4.1500000000000004</v>
      </c>
      <c r="O40" t="s">
        <v>3</v>
      </c>
    </row>
    <row r="41" spans="1:15" x14ac:dyDescent="0.4">
      <c r="B41" t="s">
        <v>21</v>
      </c>
      <c r="D41" s="7">
        <f>ROUND(((+D66+D65+D64+D63-D62+D61)/D61),2)</f>
        <v>3.52</v>
      </c>
      <c r="E41" s="7" t="s">
        <v>3</v>
      </c>
      <c r="F41" s="7">
        <f>ROUND(((+F66+F65+F64+F63-F62+F61)/F61),2)</f>
        <v>4.38</v>
      </c>
      <c r="G41" s="7" t="s">
        <v>3</v>
      </c>
      <c r="H41" s="7">
        <f>ROUND(((+H66+H65+H64+H63-H62+H61)/H61),2)</f>
        <v>5.68</v>
      </c>
      <c r="I41" s="7" t="s">
        <v>3</v>
      </c>
      <c r="J41" s="7">
        <f>ROUND(((+J66+J65+J64+J63-J62+J61)/J61),2)</f>
        <v>3.75</v>
      </c>
      <c r="K41" s="7" t="s">
        <v>3</v>
      </c>
      <c r="L41" s="7">
        <f>ROUND(((+L66+L65+L64+L63-L62+L61)/L61),2)</f>
        <v>4.3899999999999997</v>
      </c>
      <c r="M41" s="7" t="s">
        <v>3</v>
      </c>
      <c r="N41" s="27">
        <f>AVERAGE(D41,F41,H41,J41,L41)</f>
        <v>4.3439999999999994</v>
      </c>
      <c r="O41" t="s">
        <v>3</v>
      </c>
    </row>
    <row r="42" spans="1:15" x14ac:dyDescent="0.4">
      <c r="B42" t="s">
        <v>14</v>
      </c>
      <c r="D42" s="7">
        <f>ROUND(((+D66+D65+D64+D63-D62+D61)/(D61+D63+D64+D65)),2)</f>
        <v>3.52</v>
      </c>
      <c r="E42" s="7" t="s">
        <v>3</v>
      </c>
      <c r="F42" s="7">
        <f>ROUND(((+F66+F65+F64+F63-F62+F61)/(F61+F63+F64+F65)),2)</f>
        <v>4.38</v>
      </c>
      <c r="G42" s="7" t="s">
        <v>3</v>
      </c>
      <c r="H42" s="7">
        <f>ROUND(((+H66+H65+H64+H63-H62+H61)/(H61+H63+H64+H65)),2)</f>
        <v>5.68</v>
      </c>
      <c r="I42" s="7" t="s">
        <v>3</v>
      </c>
      <c r="J42" s="7">
        <f>ROUND(((+J66+J65+J64+J63-J62+J61)/(J61+J63+J64+J65)),2)</f>
        <v>3.75</v>
      </c>
      <c r="K42" s="7" t="s">
        <v>3</v>
      </c>
      <c r="L42" s="7">
        <f>ROUND(((+L66+L65+L64+L63-L62+L61)/(L61+L63+L64+L65)),2)</f>
        <v>4.3899999999999997</v>
      </c>
      <c r="M42" s="7" t="s">
        <v>3</v>
      </c>
      <c r="N42" s="27">
        <f>AVERAGE(D42,F42,H42,J42,L42)</f>
        <v>4.3439999999999994</v>
      </c>
      <c r="O42" t="s">
        <v>3</v>
      </c>
    </row>
    <row r="44" spans="1:15" x14ac:dyDescent="0.4">
      <c r="A44" t="s">
        <v>15</v>
      </c>
    </row>
    <row r="45" spans="1:15" x14ac:dyDescent="0.4">
      <c r="B45" t="s">
        <v>16</v>
      </c>
      <c r="D45" s="13">
        <f>ROUND(D62/D66,3)</f>
        <v>0.122</v>
      </c>
      <c r="E45" s="13"/>
      <c r="F45" s="13">
        <f>ROUND(F62/F66,3)</f>
        <v>0.06</v>
      </c>
      <c r="G45" s="13"/>
      <c r="H45" s="13">
        <f>ROUND(H62/H66,3)</f>
        <v>3.2000000000000001E-2</v>
      </c>
      <c r="I45" s="13"/>
      <c r="J45" s="13">
        <f>ROUND(J62/J66,3)</f>
        <v>3.9E-2</v>
      </c>
      <c r="K45" s="13"/>
      <c r="L45" s="13">
        <f>ROUND(L62/L66,3)</f>
        <v>7.0999999999999994E-2</v>
      </c>
      <c r="M45" s="3"/>
      <c r="N45" s="6">
        <f t="shared" ref="N45:N50" si="0">AVERAGE(D45,F45,H45,J45,L45)</f>
        <v>6.4799999999999996E-2</v>
      </c>
    </row>
    <row r="46" spans="1:15" x14ac:dyDescent="0.4">
      <c r="B46" t="s">
        <v>17</v>
      </c>
      <c r="D46" s="17">
        <f>ROUND((D57+D59)/(D57+D59+D66+D63+D64+D65),3)</f>
        <v>-3.6999999999999998E-2</v>
      </c>
      <c r="E46" s="18"/>
      <c r="F46" s="17">
        <f>ROUND((F57+F59)/(F57+F59+F66+F63+F64+F65),3)</f>
        <v>-0.28699999999999998</v>
      </c>
      <c r="G46" s="18"/>
      <c r="H46" s="17">
        <f>ROUND((H57+H59)/(H57+H59+H66+H63+H64+H65),3)</f>
        <v>-0.29899999999999999</v>
      </c>
      <c r="I46" s="18"/>
      <c r="J46" s="17">
        <f>ROUND((J57+J59)/(J57+J59+J66+J63+J64+J65),3)</f>
        <v>0.122</v>
      </c>
      <c r="K46" s="18"/>
      <c r="L46" s="17">
        <f>ROUND((L57+L59)/(L57+L59+L66+L63+L64+L65),3)</f>
        <v>0.152</v>
      </c>
      <c r="N46" s="6">
        <f t="shared" si="0"/>
        <v>-6.9800000000000001E-2</v>
      </c>
    </row>
    <row r="47" spans="1:15" ht="17.25" x14ac:dyDescent="0.4">
      <c r="B47" s="36" t="s">
        <v>86</v>
      </c>
      <c r="D47" s="13">
        <f>ROUND(((+D82+D83+D84+D85+D86-D87+D88-D90-D91)/(+D89-D87)),3)</f>
        <v>0.33100000000000002</v>
      </c>
      <c r="E47" s="14"/>
      <c r="F47" s="13">
        <f>ROUND(((+F82+F83+F84+F85+F86-F87+F88-F90-F91)/(+F89-F87)),3)</f>
        <v>0.151</v>
      </c>
      <c r="G47" s="14"/>
      <c r="H47" s="13">
        <f>ROUND(((+H82+H83+H84+H85+H86-H87+H88-H90-H91)/(+H89-H87)),3)</f>
        <v>0.55000000000000004</v>
      </c>
      <c r="I47" s="14"/>
      <c r="J47" s="13">
        <f>ROUND(((+J82+J83+J84+J85+J86-J87+J88-J90-J91)/(+J89-J87)),3)</f>
        <v>0.46700000000000003</v>
      </c>
      <c r="K47" s="14"/>
      <c r="L47" s="13">
        <f>ROUND(((+L82+L83+L84+L85+L86-L87+L88-L90-L91)/(+L89-L87)),3)</f>
        <v>0.47</v>
      </c>
      <c r="N47" s="6">
        <f t="shared" si="0"/>
        <v>0.39380000000000004</v>
      </c>
    </row>
    <row r="48" spans="1:15" ht="17.25" x14ac:dyDescent="0.4">
      <c r="B48" s="36" t="s">
        <v>87</v>
      </c>
      <c r="D48" s="13">
        <f>ROUND(((+D82+D83+D84+D85+D86-D87+D88)/(AVERAGE(D76,F76)+AVERAGE(D79,F79)+AVERAGE(D80,F80))),3)</f>
        <v>0.13</v>
      </c>
      <c r="E48" s="14"/>
      <c r="F48" s="13">
        <f>ROUND(((+F82+F83+F84+F85+F86-F87+F88)/(AVERAGE(F76,H76)+AVERAGE(F79,H79)+AVERAGE(F80,H80))),3)</f>
        <v>0.115</v>
      </c>
      <c r="G48" s="14"/>
      <c r="H48" s="13">
        <f>ROUND(((+H82+H83+H84+H85+H86-H87+H88)/(AVERAGE(H76,J76)+AVERAGE(H79,J79)+AVERAGE(H80,J80))),3)</f>
        <v>0.19500000000000001</v>
      </c>
      <c r="I48" s="14"/>
      <c r="J48" s="13">
        <f>ROUND(((+J82+J83+J84+J85+J86-J87+J88)/(AVERAGE(J76,L76)+AVERAGE(J79,L79)+AVERAGE(J80,L80))),3)</f>
        <v>0.16900000000000001</v>
      </c>
      <c r="K48" s="14"/>
      <c r="L48" s="13">
        <f>ROUND(((+L82+L83+L84+L85+L86-L87+L88)/(AVERAGE(L76,N76)+AVERAGE(L79,N79)+AVERAGE(L80,N80))),3)</f>
        <v>0.218</v>
      </c>
      <c r="N48" s="6">
        <f t="shared" si="0"/>
        <v>0.16539999999999999</v>
      </c>
    </row>
    <row r="49" spans="1:15" ht="17.25" x14ac:dyDescent="0.4">
      <c r="B49" s="36" t="s">
        <v>88</v>
      </c>
      <c r="D49" s="28">
        <f>ROUND(((+D82+D83+D84+D85+D86-D87+D88+D92)/D61),2)</f>
        <v>4.83</v>
      </c>
      <c r="E49" t="s">
        <v>3</v>
      </c>
      <c r="F49" s="28">
        <f>ROUND(((+F82+F83+F84+F85+F86-F87+F88+F92)/F61),2)</f>
        <v>4.8</v>
      </c>
      <c r="G49" t="s">
        <v>3</v>
      </c>
      <c r="H49" s="28">
        <f>ROUND(((+H82+H83+H84+H85+H86-H87+H88+H92)/H61),2)</f>
        <v>6.75</v>
      </c>
      <c r="I49" t="s">
        <v>3</v>
      </c>
      <c r="J49" s="28">
        <f>ROUND(((+J82+J83+J84+J85+J86-J87+J88+J92)/J61),2)</f>
        <v>5.85</v>
      </c>
      <c r="K49" t="s">
        <v>3</v>
      </c>
      <c r="L49" s="28">
        <f>ROUND(((+L82+L83+L84+L85+L86-L87+L88+L92)/L61),2)</f>
        <v>7.44</v>
      </c>
      <c r="M49" t="s">
        <v>3</v>
      </c>
      <c r="N49" s="29">
        <f t="shared" si="0"/>
        <v>5.9339999999999993</v>
      </c>
      <c r="O49" t="s">
        <v>3</v>
      </c>
    </row>
    <row r="50" spans="1:15" ht="17.25" x14ac:dyDescent="0.4">
      <c r="B50" s="36" t="s">
        <v>89</v>
      </c>
      <c r="D50" s="28">
        <f>ROUND(((+D82+D83+D84+D85+D86-D87+D88-D91)/+D90),2)</f>
        <v>2.21</v>
      </c>
      <c r="E50" t="s">
        <v>3</v>
      </c>
      <c r="F50" s="28">
        <f>ROUND(((+F82+F83+F84+F85+F86-F87+F88-F91)/+F90),2)</f>
        <v>1.69</v>
      </c>
      <c r="G50" t="s">
        <v>3</v>
      </c>
      <c r="H50" s="28">
        <f>ROUND(((+H82+H83+H84+H85+H86-H87+H88-H91)/+H90),2)</f>
        <v>2.93</v>
      </c>
      <c r="I50" t="s">
        <v>3</v>
      </c>
      <c r="J50" s="28">
        <f>ROUND(((+J82+J83+J84+J85+J86-J87+J88-J91)/+J90),2)</f>
        <v>2.57</v>
      </c>
      <c r="K50" t="s">
        <v>3</v>
      </c>
      <c r="L50" s="28">
        <f>ROUND(((+L82+L83+L84+L85+L86-L87+L88-L91)/+L90),2)</f>
        <v>2.86</v>
      </c>
      <c r="M50" t="s">
        <v>3</v>
      </c>
      <c r="N50" s="29">
        <f t="shared" si="0"/>
        <v>2.452</v>
      </c>
      <c r="O50" t="s">
        <v>3</v>
      </c>
    </row>
    <row r="52" spans="1:15" x14ac:dyDescent="0.4">
      <c r="A52" t="s">
        <v>4</v>
      </c>
    </row>
    <row r="53" spans="1:15" x14ac:dyDescent="0.4">
      <c r="D53" s="38"/>
    </row>
    <row r="54" spans="1:15" x14ac:dyDescent="0.4">
      <c r="A54" s="19" t="s">
        <v>75</v>
      </c>
      <c r="B54" s="19"/>
      <c r="C54" s="19"/>
      <c r="D54" s="38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5" x14ac:dyDescent="0.4">
      <c r="A55" s="20"/>
      <c r="B55" s="20"/>
      <c r="C55" s="20"/>
      <c r="D55" s="21">
        <v>2020</v>
      </c>
      <c r="E55" s="19"/>
      <c r="F55" s="21">
        <v>2019</v>
      </c>
      <c r="G55" s="19"/>
      <c r="H55" s="21">
        <v>2018</v>
      </c>
      <c r="I55" s="19"/>
      <c r="J55" s="21">
        <v>2017</v>
      </c>
      <c r="K55" s="19"/>
      <c r="L55" s="21">
        <v>2016</v>
      </c>
      <c r="M55" s="19"/>
      <c r="N55" s="21">
        <v>2015</v>
      </c>
    </row>
    <row r="56" spans="1:15" x14ac:dyDescent="0.4">
      <c r="A56" s="20" t="s">
        <v>22</v>
      </c>
      <c r="B56" s="20"/>
      <c r="C56" s="20"/>
      <c r="D56" s="22">
        <v>1953.6679999999999</v>
      </c>
      <c r="E56" s="22"/>
      <c r="F56" s="22">
        <v>2592.0450000000001</v>
      </c>
      <c r="G56" s="22"/>
      <c r="H56" s="22">
        <v>2915.1089999999999</v>
      </c>
      <c r="I56" s="22"/>
      <c r="J56" s="22">
        <v>2268.6170000000002</v>
      </c>
      <c r="K56" s="22"/>
      <c r="L56" s="22">
        <v>1880.905</v>
      </c>
      <c r="M56" s="22"/>
      <c r="N56" s="22">
        <v>2733.9870000000001</v>
      </c>
    </row>
    <row r="57" spans="1:15" x14ac:dyDescent="0.4">
      <c r="A57" s="20" t="s">
        <v>23</v>
      </c>
      <c r="B57" s="20"/>
      <c r="C57" s="20"/>
      <c r="D57" s="22">
        <v>-6.944</v>
      </c>
      <c r="E57" s="22"/>
      <c r="F57" s="22">
        <v>-37.750999999999998</v>
      </c>
      <c r="G57" s="22"/>
      <c r="H57" s="22">
        <v>-53.784999999999997</v>
      </c>
      <c r="I57" s="22"/>
      <c r="J57" s="22">
        <v>18.343</v>
      </c>
      <c r="K57" s="22"/>
      <c r="L57" s="22">
        <v>23.53</v>
      </c>
      <c r="M57" s="22"/>
      <c r="N57" s="22">
        <v>59.723999999999997</v>
      </c>
    </row>
    <row r="58" spans="1:15" x14ac:dyDescent="0.4">
      <c r="A58" s="20" t="s">
        <v>24</v>
      </c>
      <c r="B58" s="20"/>
      <c r="C58" s="20"/>
      <c r="D58" s="22">
        <f>1737.285+D57</f>
        <v>1730.3410000000001</v>
      </c>
      <c r="E58" s="22"/>
      <c r="F58" s="22">
        <f>2438.11+F57</f>
        <v>2400.3589999999999</v>
      </c>
      <c r="G58" s="22"/>
      <c r="H58" s="22">
        <v>2665.248</v>
      </c>
      <c r="I58" s="22"/>
      <c r="J58" s="22">
        <v>2119.9160000000002</v>
      </c>
      <c r="K58" s="22"/>
      <c r="L58" s="22">
        <v>1736.9</v>
      </c>
      <c r="M58" s="22"/>
      <c r="N58" s="22">
        <v>2545.2600000000002</v>
      </c>
    </row>
    <row r="59" spans="1:15" x14ac:dyDescent="0.4">
      <c r="A59" s="20" t="s">
        <v>25</v>
      </c>
      <c r="B59" s="20"/>
      <c r="C59" s="20"/>
      <c r="D59" s="22">
        <v>0</v>
      </c>
      <c r="E59" s="22"/>
      <c r="F59" s="22">
        <v>0</v>
      </c>
      <c r="G59" s="22"/>
      <c r="H59" s="22">
        <v>0</v>
      </c>
      <c r="I59" s="22"/>
      <c r="J59" s="22">
        <v>0</v>
      </c>
      <c r="K59" s="22"/>
      <c r="L59" s="22">
        <v>0</v>
      </c>
      <c r="M59" s="22"/>
      <c r="N59" s="22">
        <v>0</v>
      </c>
    </row>
    <row r="60" spans="1:15" x14ac:dyDescent="0.4">
      <c r="A60" s="20" t="s">
        <v>26</v>
      </c>
      <c r="B60" s="20"/>
      <c r="C60" s="20"/>
      <c r="D60" s="22">
        <f>216.383-D57+23.878+14.311</f>
        <v>261.51599999999996</v>
      </c>
      <c r="E60" s="22"/>
      <c r="F60" s="22">
        <f>153.935-F57+11.273+13.628</f>
        <v>216.58699999999999</v>
      </c>
      <c r="G60" s="22"/>
      <c r="H60" s="22">
        <v>279.72199999999998</v>
      </c>
      <c r="I60" s="22"/>
      <c r="J60" s="22">
        <v>176.95099999999999</v>
      </c>
      <c r="K60" s="22"/>
      <c r="L60" s="22">
        <v>162.71600000000001</v>
      </c>
      <c r="M60" s="22"/>
      <c r="N60" s="22">
        <v>208.68100000000001</v>
      </c>
    </row>
    <row r="61" spans="1:15" x14ac:dyDescent="0.4">
      <c r="A61" s="20" t="s">
        <v>27</v>
      </c>
      <c r="B61" s="20"/>
      <c r="C61" s="20"/>
      <c r="D61" s="22">
        <v>67.596999999999994</v>
      </c>
      <c r="E61" s="22"/>
      <c r="F61" s="22">
        <v>47.082000000000001</v>
      </c>
      <c r="G61" s="22"/>
      <c r="H61" s="22">
        <v>48.265000000000001</v>
      </c>
      <c r="I61" s="22"/>
      <c r="J61" s="22">
        <v>46.197000000000003</v>
      </c>
      <c r="K61" s="22"/>
      <c r="L61" s="22">
        <v>36.052999999999997</v>
      </c>
      <c r="M61" s="22"/>
      <c r="N61" s="22">
        <v>30.193000000000001</v>
      </c>
    </row>
    <row r="62" spans="1:15" x14ac:dyDescent="0.4">
      <c r="A62" s="20" t="s">
        <v>28</v>
      </c>
      <c r="B62" s="20"/>
      <c r="C62" s="20"/>
      <c r="D62" s="22">
        <f>19.733+3.848</f>
        <v>23.581</v>
      </c>
      <c r="E62" s="22"/>
      <c r="F62" s="22">
        <v>10.202</v>
      </c>
      <c r="G62" s="22"/>
      <c r="H62" s="22">
        <v>7.51</v>
      </c>
      <c r="I62" s="22"/>
      <c r="J62" s="22">
        <v>5.1779999999999999</v>
      </c>
      <c r="K62" s="22"/>
      <c r="L62" s="22">
        <v>9.3840000000000003</v>
      </c>
      <c r="M62" s="22"/>
      <c r="N62" s="22">
        <v>6.2969999999999997</v>
      </c>
    </row>
    <row r="63" spans="1:15" x14ac:dyDescent="0.4">
      <c r="A63" s="20" t="s">
        <v>29</v>
      </c>
      <c r="B63" s="20"/>
      <c r="C63" s="20"/>
      <c r="D63" s="22">
        <v>0</v>
      </c>
      <c r="E63" s="22"/>
      <c r="F63" s="22">
        <v>0</v>
      </c>
      <c r="G63" s="22"/>
      <c r="H63" s="22">
        <v>0</v>
      </c>
      <c r="I63" s="22"/>
      <c r="J63" s="22">
        <v>0</v>
      </c>
      <c r="K63" s="22"/>
      <c r="L63" s="22">
        <v>0</v>
      </c>
      <c r="M63" s="22"/>
      <c r="N63" s="22">
        <v>0</v>
      </c>
    </row>
    <row r="64" spans="1:15" x14ac:dyDescent="0.4">
      <c r="A64" s="20" t="s">
        <v>30</v>
      </c>
      <c r="B64" s="20"/>
      <c r="C64" s="20"/>
      <c r="D64" s="22">
        <v>0</v>
      </c>
      <c r="E64" s="22"/>
      <c r="F64" s="22">
        <v>0</v>
      </c>
      <c r="G64" s="22"/>
      <c r="H64" s="22">
        <v>0</v>
      </c>
      <c r="I64" s="22"/>
      <c r="J64" s="22">
        <v>0</v>
      </c>
      <c r="K64" s="22"/>
      <c r="L64" s="22">
        <v>0</v>
      </c>
      <c r="M64" s="22"/>
      <c r="N64" s="22">
        <v>0</v>
      </c>
    </row>
    <row r="65" spans="1:14" x14ac:dyDescent="0.4">
      <c r="A65" s="20" t="s">
        <v>31</v>
      </c>
      <c r="B65" s="20"/>
      <c r="C65" s="20"/>
      <c r="D65" s="22">
        <v>0</v>
      </c>
      <c r="E65" s="22"/>
      <c r="F65" s="22">
        <v>0</v>
      </c>
      <c r="G65" s="22"/>
      <c r="H65" s="22">
        <v>0</v>
      </c>
      <c r="I65" s="22"/>
      <c r="J65" s="22">
        <v>0</v>
      </c>
      <c r="K65" s="22"/>
      <c r="L65" s="22">
        <v>0</v>
      </c>
      <c r="M65" s="22"/>
      <c r="N65" s="22">
        <v>0</v>
      </c>
    </row>
    <row r="66" spans="1:14" x14ac:dyDescent="0.4">
      <c r="A66" s="20" t="s">
        <v>32</v>
      </c>
      <c r="B66" s="20"/>
      <c r="C66" s="20"/>
      <c r="D66" s="22">
        <v>193.91900000000001</v>
      </c>
      <c r="E66" s="22"/>
      <c r="F66" s="22">
        <v>169.505</v>
      </c>
      <c r="G66" s="22"/>
      <c r="H66" s="22">
        <v>233.43600000000001</v>
      </c>
      <c r="I66" s="22"/>
      <c r="J66" s="22">
        <v>132.065</v>
      </c>
      <c r="K66" s="22"/>
      <c r="L66" s="22">
        <v>131.672</v>
      </c>
      <c r="M66" s="22"/>
      <c r="N66" s="22">
        <v>180.96</v>
      </c>
    </row>
    <row r="67" spans="1:14" x14ac:dyDescent="0.4">
      <c r="A67" s="20" t="s">
        <v>33</v>
      </c>
      <c r="B67" s="20"/>
      <c r="C67" s="20"/>
      <c r="D67" s="22">
        <v>2.0499999999999998</v>
      </c>
      <c r="E67" s="22"/>
      <c r="F67" s="22">
        <v>1.9</v>
      </c>
      <c r="G67" s="22"/>
      <c r="H67" s="22">
        <v>2.66</v>
      </c>
      <c r="I67" s="22"/>
      <c r="J67" s="22">
        <v>1.53</v>
      </c>
      <c r="K67" s="22"/>
      <c r="L67" s="22">
        <v>1.53</v>
      </c>
      <c r="M67" s="22"/>
      <c r="N67" s="22">
        <v>2.12</v>
      </c>
    </row>
    <row r="68" spans="1:14" x14ac:dyDescent="0.4">
      <c r="A68" s="20" t="s">
        <v>34</v>
      </c>
      <c r="B68" s="20"/>
      <c r="C68" s="20"/>
      <c r="D68" s="22">
        <v>1844.692</v>
      </c>
      <c r="E68" s="22"/>
      <c r="F68" s="22">
        <v>1551.7170000000001</v>
      </c>
      <c r="G68" s="22"/>
      <c r="H68" s="22">
        <v>1418.9780000000001</v>
      </c>
      <c r="I68" s="22"/>
      <c r="J68" s="22">
        <v>1236.643</v>
      </c>
      <c r="K68" s="22"/>
      <c r="L68" s="22">
        <v>1166.5909999999999</v>
      </c>
      <c r="M68" s="22"/>
      <c r="N68" s="22">
        <v>1106.9559999999999</v>
      </c>
    </row>
    <row r="69" spans="1:14" x14ac:dyDescent="0.4">
      <c r="A69" s="20" t="s">
        <v>35</v>
      </c>
      <c r="B69" s="20"/>
      <c r="C69" s="20"/>
      <c r="D69" s="22">
        <v>0</v>
      </c>
      <c r="E69" s="22"/>
      <c r="F69" s="22">
        <v>0</v>
      </c>
      <c r="G69" s="22"/>
      <c r="H69" s="22">
        <v>0</v>
      </c>
      <c r="I69" s="22"/>
      <c r="J69" s="22">
        <v>0</v>
      </c>
      <c r="K69" s="22"/>
      <c r="L69" s="22">
        <v>0</v>
      </c>
      <c r="M69" s="22"/>
      <c r="N69" s="22">
        <v>0</v>
      </c>
    </row>
    <row r="70" spans="1:14" x14ac:dyDescent="0.4">
      <c r="A70" s="20" t="s">
        <v>36</v>
      </c>
      <c r="B70" s="20"/>
      <c r="C70" s="20"/>
      <c r="D70" s="22">
        <v>0</v>
      </c>
      <c r="E70" s="22"/>
      <c r="F70" s="22">
        <v>0</v>
      </c>
      <c r="G70" s="22"/>
      <c r="H70" s="22">
        <v>0</v>
      </c>
      <c r="I70" s="22"/>
      <c r="J70" s="22">
        <v>0</v>
      </c>
      <c r="K70" s="22"/>
      <c r="L70" s="22">
        <v>0</v>
      </c>
      <c r="M70" s="22"/>
      <c r="N70" s="22">
        <v>0</v>
      </c>
    </row>
    <row r="71" spans="1:14" x14ac:dyDescent="0.4">
      <c r="A71" s="20" t="s">
        <v>37</v>
      </c>
      <c r="B71" s="20"/>
      <c r="C71" s="20"/>
      <c r="D71" s="22">
        <v>0</v>
      </c>
      <c r="E71" s="22"/>
      <c r="F71" s="22">
        <v>0</v>
      </c>
      <c r="G71" s="22"/>
      <c r="H71" s="22">
        <v>0</v>
      </c>
      <c r="I71" s="22"/>
      <c r="J71" s="22">
        <v>0</v>
      </c>
      <c r="K71" s="22"/>
      <c r="L71" s="22">
        <v>0</v>
      </c>
      <c r="M71" s="22"/>
      <c r="N71" s="22">
        <v>0</v>
      </c>
    </row>
    <row r="72" spans="1:14" x14ac:dyDescent="0.4">
      <c r="A72" s="20" t="s">
        <v>38</v>
      </c>
      <c r="B72" s="20"/>
      <c r="C72" s="20"/>
      <c r="D72" s="22">
        <v>0</v>
      </c>
      <c r="E72" s="22"/>
      <c r="F72" s="22">
        <v>0</v>
      </c>
      <c r="G72" s="22"/>
      <c r="H72" s="22">
        <v>0</v>
      </c>
      <c r="I72" s="22"/>
      <c r="J72" s="22">
        <v>0</v>
      </c>
      <c r="K72" s="22"/>
      <c r="L72" s="22">
        <v>0</v>
      </c>
      <c r="M72" s="22"/>
      <c r="N72" s="22">
        <v>0</v>
      </c>
    </row>
    <row r="73" spans="1:14" x14ac:dyDescent="0.4">
      <c r="A73" s="20" t="s">
        <v>39</v>
      </c>
      <c r="B73" s="20"/>
      <c r="C73" s="20"/>
      <c r="D73" s="22">
        <v>0</v>
      </c>
      <c r="E73" s="22"/>
      <c r="F73" s="22">
        <v>0</v>
      </c>
      <c r="G73" s="22"/>
      <c r="H73" s="22">
        <v>0</v>
      </c>
      <c r="I73" s="22"/>
      <c r="J73" s="22">
        <v>0</v>
      </c>
      <c r="K73" s="22"/>
      <c r="L73" s="22">
        <v>0</v>
      </c>
      <c r="M73" s="22"/>
      <c r="N73" s="22">
        <v>0</v>
      </c>
    </row>
    <row r="74" spans="1:14" x14ac:dyDescent="0.4">
      <c r="A74" s="20" t="s">
        <v>40</v>
      </c>
      <c r="B74" s="20"/>
      <c r="C74" s="20"/>
      <c r="D74" s="22">
        <v>0</v>
      </c>
      <c r="E74" s="22"/>
      <c r="F74" s="22">
        <v>0</v>
      </c>
      <c r="G74" s="22"/>
      <c r="H74" s="22">
        <v>0</v>
      </c>
      <c r="I74" s="22"/>
      <c r="J74" s="22">
        <v>0</v>
      </c>
      <c r="K74" s="22"/>
      <c r="L74" s="22">
        <v>0</v>
      </c>
      <c r="M74" s="22"/>
      <c r="N74" s="22">
        <v>0</v>
      </c>
    </row>
    <row r="75" spans="1:14" x14ac:dyDescent="0.4">
      <c r="A75" s="20" t="s">
        <v>41</v>
      </c>
      <c r="B75" s="20"/>
      <c r="C75" s="20"/>
      <c r="D75" s="22">
        <v>0</v>
      </c>
      <c r="E75" s="22"/>
      <c r="F75" s="22">
        <v>0</v>
      </c>
      <c r="G75" s="22"/>
      <c r="H75" s="22">
        <v>0</v>
      </c>
      <c r="I75" s="22"/>
      <c r="J75" s="22">
        <v>0</v>
      </c>
      <c r="K75" s="22"/>
      <c r="L75" s="22">
        <v>0</v>
      </c>
      <c r="M75" s="22"/>
      <c r="N75" s="22">
        <v>0</v>
      </c>
    </row>
    <row r="76" spans="1:14" x14ac:dyDescent="0.4">
      <c r="A76" s="20" t="s">
        <v>42</v>
      </c>
      <c r="B76" s="20"/>
      <c r="C76" s="20"/>
      <c r="D76" s="22">
        <v>2259.4659999999999</v>
      </c>
      <c r="E76" s="22"/>
      <c r="F76" s="22">
        <v>1537.1769999999999</v>
      </c>
      <c r="G76" s="22"/>
      <c r="H76" s="22">
        <v>1180.6189999999999</v>
      </c>
      <c r="I76" s="22"/>
      <c r="J76" s="22">
        <v>997.08</v>
      </c>
      <c r="K76" s="22"/>
      <c r="L76" s="22">
        <v>1063.55</v>
      </c>
      <c r="M76" s="22"/>
      <c r="N76" s="22">
        <v>843.59500000000003</v>
      </c>
    </row>
    <row r="77" spans="1:14" x14ac:dyDescent="0.4">
      <c r="A77" s="20" t="s">
        <v>43</v>
      </c>
      <c r="B77" s="20"/>
      <c r="C77" s="20"/>
      <c r="D77" s="22">
        <v>0</v>
      </c>
      <c r="E77" s="22"/>
      <c r="F77" s="22">
        <v>0</v>
      </c>
      <c r="G77" s="22"/>
      <c r="H77" s="22">
        <v>0</v>
      </c>
      <c r="I77" s="22"/>
      <c r="J77" s="22">
        <v>0</v>
      </c>
      <c r="K77" s="22"/>
      <c r="L77" s="22">
        <v>0</v>
      </c>
      <c r="M77" s="22"/>
      <c r="N77" s="22">
        <v>0</v>
      </c>
    </row>
    <row r="78" spans="1:14" x14ac:dyDescent="0.4">
      <c r="A78" s="20" t="s">
        <v>44</v>
      </c>
      <c r="B78" s="20"/>
      <c r="C78" s="20"/>
      <c r="D78" s="22">
        <f>SUM(D68:D77)</f>
        <v>4104.1579999999994</v>
      </c>
      <c r="E78" s="22"/>
      <c r="F78" s="22">
        <f>SUM(F68:F77)</f>
        <v>3088.8940000000002</v>
      </c>
      <c r="G78" s="22"/>
      <c r="H78" s="22">
        <v>2599.5970000000002</v>
      </c>
      <c r="I78" s="22"/>
      <c r="J78" s="22">
        <v>2233.723</v>
      </c>
      <c r="K78" s="22"/>
      <c r="L78" s="22">
        <v>2230.1410000000001</v>
      </c>
      <c r="M78" s="22"/>
      <c r="N78" s="22">
        <v>1950.5509999999999</v>
      </c>
    </row>
    <row r="79" spans="1:14" x14ac:dyDescent="0.4">
      <c r="A79" s="20" t="s">
        <v>45</v>
      </c>
      <c r="B79" s="20"/>
      <c r="C79" s="20"/>
      <c r="D79" s="22">
        <v>27.236000000000001</v>
      </c>
      <c r="E79" s="22"/>
      <c r="F79" s="22">
        <v>21.419</v>
      </c>
      <c r="G79" s="22"/>
      <c r="H79" s="22">
        <v>123.545</v>
      </c>
      <c r="I79" s="22"/>
      <c r="J79" s="22">
        <v>165.375</v>
      </c>
      <c r="K79" s="22"/>
      <c r="L79" s="22">
        <v>61.451999999999998</v>
      </c>
      <c r="M79" s="22"/>
      <c r="N79" s="22">
        <v>11.138</v>
      </c>
    </row>
    <row r="80" spans="1:14" x14ac:dyDescent="0.4">
      <c r="A80" s="20" t="s">
        <v>46</v>
      </c>
      <c r="B80" s="20"/>
      <c r="C80" s="20"/>
      <c r="D80" s="22">
        <v>125.35</v>
      </c>
      <c r="E80" s="22"/>
      <c r="F80" s="22">
        <v>25.45</v>
      </c>
      <c r="G80" s="22"/>
      <c r="H80" s="22">
        <v>151.94999999999999</v>
      </c>
      <c r="I80" s="22"/>
      <c r="J80" s="22">
        <v>266</v>
      </c>
      <c r="K80" s="22"/>
      <c r="L80" s="22">
        <v>121.7</v>
      </c>
      <c r="M80" s="22"/>
      <c r="N80" s="22">
        <v>66.349999999999994</v>
      </c>
    </row>
    <row r="81" spans="1:14" x14ac:dyDescent="0.4">
      <c r="A81" s="20" t="s">
        <v>47</v>
      </c>
      <c r="B81" s="20"/>
      <c r="C81" s="20"/>
      <c r="D81" s="22">
        <v>0</v>
      </c>
      <c r="E81" s="22"/>
      <c r="F81" s="22">
        <v>0</v>
      </c>
      <c r="G81" s="22"/>
      <c r="H81" s="22">
        <v>0</v>
      </c>
      <c r="I81" s="22"/>
      <c r="J81" s="22">
        <v>0</v>
      </c>
      <c r="K81" s="22"/>
      <c r="L81" s="22">
        <v>0</v>
      </c>
      <c r="M81" s="22"/>
      <c r="N81" s="22">
        <v>0</v>
      </c>
    </row>
    <row r="82" spans="1:14" x14ac:dyDescent="0.4">
      <c r="A82" s="20" t="s">
        <v>48</v>
      </c>
      <c r="B82" s="20"/>
      <c r="C82" s="20"/>
      <c r="D82" s="22">
        <v>193.91900000000001</v>
      </c>
      <c r="E82" s="22"/>
      <c r="F82" s="22">
        <v>169.505</v>
      </c>
      <c r="G82" s="22"/>
      <c r="H82" s="22">
        <v>233.43600000000001</v>
      </c>
      <c r="I82" s="22"/>
      <c r="J82" s="22">
        <v>132.065</v>
      </c>
      <c r="K82" s="22"/>
      <c r="L82" s="22">
        <v>131.672</v>
      </c>
      <c r="M82" s="22"/>
      <c r="N82" s="22">
        <v>180.96</v>
      </c>
    </row>
    <row r="83" spans="1:14" x14ac:dyDescent="0.4">
      <c r="A83" s="20" t="s">
        <v>49</v>
      </c>
      <c r="B83" s="20"/>
      <c r="C83" s="20"/>
      <c r="D83" s="22">
        <v>119.89400000000001</v>
      </c>
      <c r="E83" s="22"/>
      <c r="F83" s="22">
        <v>91.73</v>
      </c>
      <c r="G83" s="22"/>
      <c r="H83" s="22">
        <v>85.700999999999993</v>
      </c>
      <c r="I83" s="22"/>
      <c r="J83" s="22">
        <v>81.840999999999994</v>
      </c>
      <c r="K83" s="22"/>
      <c r="L83" s="22">
        <v>72.748000000000005</v>
      </c>
      <c r="M83" s="22"/>
      <c r="N83" s="22">
        <v>61.399000000000001</v>
      </c>
    </row>
    <row r="84" spans="1:14" x14ac:dyDescent="0.4">
      <c r="A84" s="20" t="s">
        <v>50</v>
      </c>
      <c r="B84" s="20"/>
      <c r="C84" s="20"/>
      <c r="D84" s="22">
        <v>4.9240000000000004</v>
      </c>
      <c r="E84" s="22"/>
      <c r="F84" s="22">
        <v>8.4239999999999995</v>
      </c>
      <c r="G84" s="22"/>
      <c r="H84" s="22">
        <v>18.222000000000001</v>
      </c>
      <c r="I84" s="22"/>
      <c r="J84" s="22"/>
      <c r="K84" s="22"/>
      <c r="L84" s="22"/>
      <c r="M84" s="22"/>
      <c r="N84" s="22"/>
    </row>
    <row r="85" spans="1:14" x14ac:dyDescent="0.4">
      <c r="A85" s="20" t="s">
        <v>51</v>
      </c>
      <c r="B85" s="20"/>
      <c r="C85" s="20"/>
      <c r="D85" s="22">
        <v>-9.0920000000000005</v>
      </c>
      <c r="E85" s="22"/>
      <c r="F85" s="22">
        <v>-59.012999999999998</v>
      </c>
      <c r="G85" s="22"/>
      <c r="H85" s="22">
        <v>15.59</v>
      </c>
      <c r="I85" s="22"/>
      <c r="J85" s="22">
        <v>41.442</v>
      </c>
      <c r="K85" s="22"/>
      <c r="L85" s="22">
        <v>27.721</v>
      </c>
      <c r="M85" s="22"/>
      <c r="N85" s="22">
        <v>45.933999999999997</v>
      </c>
    </row>
    <row r="86" spans="1:14" x14ac:dyDescent="0.4">
      <c r="A86" s="20" t="s">
        <v>52</v>
      </c>
      <c r="B86" s="20"/>
      <c r="C86" s="20"/>
      <c r="D86" s="22">
        <v>-6.4820000000000002</v>
      </c>
      <c r="E86" s="22"/>
      <c r="F86" s="22">
        <v>-6.4820000000000002</v>
      </c>
      <c r="G86" s="22"/>
      <c r="H86" s="22"/>
      <c r="I86" s="22"/>
      <c r="J86" s="22"/>
      <c r="K86" s="22"/>
      <c r="L86" s="22"/>
      <c r="M86" s="22"/>
      <c r="N86" s="22"/>
    </row>
    <row r="87" spans="1:14" x14ac:dyDescent="0.4">
      <c r="A87" s="20" t="s">
        <v>53</v>
      </c>
      <c r="B87" s="20"/>
      <c r="C87" s="20"/>
      <c r="D87" s="22">
        <v>17.053000000000001</v>
      </c>
      <c r="E87" s="22"/>
      <c r="F87" s="22">
        <v>6.492</v>
      </c>
      <c r="G87" s="22"/>
      <c r="H87" s="22">
        <v>5.5309999999999997</v>
      </c>
      <c r="I87" s="22"/>
      <c r="J87" s="22">
        <v>3.867</v>
      </c>
      <c r="K87" s="22"/>
      <c r="L87" s="22">
        <v>4.375</v>
      </c>
      <c r="M87" s="22"/>
      <c r="N87" s="22">
        <v>3.8250000000000002</v>
      </c>
    </row>
    <row r="88" spans="1:14" x14ac:dyDescent="0.4">
      <c r="A88" s="20" t="s">
        <v>69</v>
      </c>
      <c r="B88" s="20"/>
      <c r="C88" s="20"/>
      <c r="D88" s="22">
        <f>-9.644+3.851+2.238-7.651-5.848-0.245-9.032+0.647</f>
        <v>-25.684000000000001</v>
      </c>
      <c r="E88" s="22"/>
      <c r="F88" s="22">
        <f>2.881-1.567-0.645+2.387-13.878-4.156-0.258-8.157+1.29</f>
        <v>-22.102999999999998</v>
      </c>
      <c r="G88" s="22"/>
      <c r="H88" s="22">
        <v>-66.265000000000001</v>
      </c>
      <c r="I88" s="22"/>
      <c r="J88" s="22">
        <v>-25.428000000000001</v>
      </c>
      <c r="K88" s="22"/>
      <c r="L88" s="22">
        <v>8.3859999999999992</v>
      </c>
      <c r="M88" s="22"/>
      <c r="N88" s="22">
        <v>-49.439</v>
      </c>
    </row>
    <row r="89" spans="1:14" x14ac:dyDescent="0.4">
      <c r="A89" s="20" t="s">
        <v>54</v>
      </c>
      <c r="B89" s="20"/>
      <c r="C89" s="20"/>
      <c r="D89" s="22">
        <f>290.04+133.841+24.228</f>
        <v>448.10900000000004</v>
      </c>
      <c r="E89" s="22"/>
      <c r="F89" s="22">
        <f>300.031+157.828+23.1</f>
        <v>480.95900000000006</v>
      </c>
      <c r="G89" s="22"/>
      <c r="H89" s="22">
        <v>342.476</v>
      </c>
      <c r="I89" s="22"/>
      <c r="J89" s="22">
        <v>299.80700000000002</v>
      </c>
      <c r="K89" s="22"/>
      <c r="L89" s="22">
        <v>331.40100000000001</v>
      </c>
      <c r="M89" s="22"/>
      <c r="N89" s="22">
        <v>295.83300000000003</v>
      </c>
    </row>
    <row r="90" spans="1:14" x14ac:dyDescent="0.4">
      <c r="A90" s="20" t="s">
        <v>55</v>
      </c>
      <c r="B90" s="20"/>
      <c r="C90" s="20"/>
      <c r="D90" s="22">
        <v>117.804</v>
      </c>
      <c r="E90" s="22"/>
      <c r="F90" s="22">
        <v>104.059</v>
      </c>
      <c r="G90" s="22"/>
      <c r="H90" s="22">
        <v>95.834999999999994</v>
      </c>
      <c r="I90" s="22"/>
      <c r="J90" s="22">
        <v>87.988</v>
      </c>
      <c r="K90" s="22"/>
      <c r="L90" s="22">
        <v>82.444999999999993</v>
      </c>
      <c r="M90" s="22"/>
      <c r="N90" s="22">
        <v>76.531999999999996</v>
      </c>
    </row>
    <row r="91" spans="1:14" x14ac:dyDescent="0.4">
      <c r="A91" s="20" t="s">
        <v>56</v>
      </c>
      <c r="B91" s="20"/>
      <c r="C91" s="20"/>
      <c r="D91" s="22">
        <v>0</v>
      </c>
      <c r="E91" s="22"/>
      <c r="F91" s="22">
        <v>0</v>
      </c>
      <c r="G91" s="22"/>
      <c r="H91" s="22">
        <v>0</v>
      </c>
      <c r="I91" s="22"/>
      <c r="J91" s="22">
        <v>0</v>
      </c>
      <c r="K91" s="22"/>
      <c r="L91" s="22">
        <v>0</v>
      </c>
      <c r="M91" s="22"/>
      <c r="N91" s="22">
        <v>0</v>
      </c>
    </row>
    <row r="92" spans="1:14" x14ac:dyDescent="0.4">
      <c r="A92" s="20" t="s">
        <v>57</v>
      </c>
      <c r="B92" s="20"/>
      <c r="C92" s="20"/>
      <c r="D92" s="22">
        <v>66.146000000000001</v>
      </c>
      <c r="E92" s="22"/>
      <c r="F92" s="22">
        <v>50.371000000000002</v>
      </c>
      <c r="G92" s="22"/>
      <c r="H92" s="22">
        <v>44.820999999999998</v>
      </c>
      <c r="I92" s="22"/>
      <c r="J92" s="22">
        <v>44.362000000000002</v>
      </c>
      <c r="K92" s="22"/>
      <c r="L92" s="22">
        <v>31.995999999999999</v>
      </c>
      <c r="M92" s="22"/>
      <c r="N92" s="22">
        <v>24.207999999999998</v>
      </c>
    </row>
    <row r="93" spans="1:14" x14ac:dyDescent="0.4">
      <c r="A93" s="20" t="s">
        <v>58</v>
      </c>
      <c r="B93" s="20"/>
      <c r="C93" s="20"/>
      <c r="D93" s="22">
        <v>7.5940000000000003</v>
      </c>
      <c r="E93" s="22"/>
      <c r="F93" s="22">
        <v>12.647</v>
      </c>
      <c r="G93" s="22"/>
      <c r="H93" s="22">
        <v>5.577</v>
      </c>
      <c r="I93" s="22"/>
      <c r="J93" s="22">
        <v>-6.8769999999999998</v>
      </c>
      <c r="K93" s="22"/>
      <c r="L93" s="22">
        <v>-3.516</v>
      </c>
      <c r="M93" s="22"/>
      <c r="N93" s="22">
        <v>28.79</v>
      </c>
    </row>
    <row r="94" spans="1:14" x14ac:dyDescent="0.4">
      <c r="A94" s="20" t="s">
        <v>67</v>
      </c>
      <c r="B94" s="20"/>
      <c r="C94" s="20"/>
      <c r="D94" s="22">
        <v>1</v>
      </c>
      <c r="E94" s="22"/>
      <c r="F94" s="22">
        <v>1</v>
      </c>
      <c r="G94" s="22"/>
      <c r="H94" s="22">
        <v>1</v>
      </c>
      <c r="I94" s="22"/>
      <c r="J94" s="22">
        <v>1</v>
      </c>
      <c r="K94" s="22"/>
      <c r="L94" s="22">
        <v>1</v>
      </c>
      <c r="M94" s="22"/>
      <c r="N94" s="22">
        <v>1</v>
      </c>
    </row>
    <row r="95" spans="1:14" x14ac:dyDescent="0.4">
      <c r="A95" s="20" t="s">
        <v>68</v>
      </c>
      <c r="B95" s="20"/>
      <c r="C95" s="20"/>
      <c r="D95" s="22">
        <v>1</v>
      </c>
      <c r="E95" s="22"/>
      <c r="F95" s="22">
        <v>1</v>
      </c>
      <c r="G95" s="22"/>
      <c r="H95" s="22">
        <v>1</v>
      </c>
      <c r="I95" s="22"/>
      <c r="J95" s="22">
        <v>1</v>
      </c>
      <c r="K95" s="22"/>
      <c r="L95" s="22">
        <v>1</v>
      </c>
      <c r="M95" s="22"/>
      <c r="N95" s="22">
        <v>1</v>
      </c>
    </row>
    <row r="96" spans="1:14" x14ac:dyDescent="0.4">
      <c r="A96" s="20" t="s">
        <v>59</v>
      </c>
      <c r="B96" s="20"/>
      <c r="C96" s="20"/>
      <c r="D96" s="22">
        <v>121.58199999999999</v>
      </c>
      <c r="E96" s="22"/>
      <c r="F96" s="22">
        <v>106.342</v>
      </c>
      <c r="G96" s="22"/>
      <c r="H96" s="22">
        <v>97.578999999999994</v>
      </c>
      <c r="I96" s="22"/>
      <c r="J96" s="22">
        <v>89.637</v>
      </c>
      <c r="K96" s="22"/>
      <c r="L96" s="22">
        <v>83.861000000000004</v>
      </c>
      <c r="M96" s="22"/>
      <c r="N96" s="22">
        <v>78.043999999999997</v>
      </c>
    </row>
    <row r="97" spans="1:14" x14ac:dyDescent="0.4">
      <c r="A97" s="20" t="s">
        <v>60</v>
      </c>
      <c r="B97" s="20"/>
      <c r="C97" s="20"/>
      <c r="D97" s="22">
        <v>1.27</v>
      </c>
      <c r="E97" s="22"/>
      <c r="F97" s="22">
        <v>1.19</v>
      </c>
      <c r="G97" s="22"/>
      <c r="H97" s="22">
        <v>1.1100000000000001</v>
      </c>
      <c r="I97" s="22"/>
      <c r="J97" s="22">
        <v>1.038</v>
      </c>
      <c r="K97" s="22"/>
      <c r="L97" s="22">
        <v>0.97499999999999998</v>
      </c>
      <c r="M97" s="22"/>
      <c r="N97" s="22">
        <v>0.91500000000000004</v>
      </c>
    </row>
    <row r="98" spans="1:14" x14ac:dyDescent="0.4">
      <c r="A98" s="20" t="s">
        <v>61</v>
      </c>
      <c r="B98" s="20"/>
      <c r="C98" s="20"/>
      <c r="D98" s="22">
        <v>1.27</v>
      </c>
      <c r="E98" s="22"/>
      <c r="F98" s="22">
        <v>1.19</v>
      </c>
      <c r="G98" s="22"/>
      <c r="H98" s="22">
        <v>1.0900000000000001</v>
      </c>
      <c r="I98" s="22"/>
      <c r="J98" s="22">
        <v>1.02</v>
      </c>
      <c r="K98" s="22"/>
      <c r="L98" s="22">
        <v>0.96</v>
      </c>
      <c r="M98" s="22"/>
      <c r="N98" s="22">
        <v>0.9</v>
      </c>
    </row>
    <row r="99" spans="1:14" x14ac:dyDescent="0.4">
      <c r="A99" s="20" t="s">
        <v>62</v>
      </c>
      <c r="B99" s="20"/>
      <c r="C99" s="20"/>
      <c r="D99" s="22">
        <v>44.67</v>
      </c>
      <c r="E99" s="22"/>
      <c r="F99" s="22">
        <v>51.2</v>
      </c>
      <c r="G99" s="22"/>
      <c r="H99" s="22">
        <v>51.83</v>
      </c>
      <c r="I99" s="22"/>
      <c r="J99" s="22">
        <v>45.45</v>
      </c>
      <c r="K99" s="22"/>
      <c r="L99" s="22">
        <v>38.92</v>
      </c>
      <c r="M99" s="22"/>
      <c r="N99" s="22">
        <v>34.07</v>
      </c>
    </row>
    <row r="100" spans="1:14" x14ac:dyDescent="0.4">
      <c r="A100" s="20" t="s">
        <v>63</v>
      </c>
      <c r="B100" s="20"/>
      <c r="C100" s="20"/>
      <c r="D100" s="22">
        <v>21.14</v>
      </c>
      <c r="E100" s="22"/>
      <c r="F100" s="22">
        <v>40.32</v>
      </c>
      <c r="G100" s="22"/>
      <c r="H100" s="22">
        <v>35.549999999999997</v>
      </c>
      <c r="I100" s="22"/>
      <c r="J100" s="22">
        <v>33.700000000000003</v>
      </c>
      <c r="K100" s="22"/>
      <c r="L100" s="22">
        <v>30.46</v>
      </c>
      <c r="M100" s="22"/>
      <c r="N100" s="22">
        <v>26.77</v>
      </c>
    </row>
    <row r="101" spans="1:14" x14ac:dyDescent="0.4">
      <c r="A101" s="20" t="s">
        <v>64</v>
      </c>
      <c r="B101" s="20"/>
      <c r="C101" s="20"/>
      <c r="D101">
        <v>35.549999999999997</v>
      </c>
      <c r="E101" s="22"/>
      <c r="F101" s="22">
        <v>44.57</v>
      </c>
      <c r="G101" s="22"/>
      <c r="H101" s="22">
        <v>45.67</v>
      </c>
      <c r="I101" s="22"/>
      <c r="J101" s="22">
        <v>40.200000000000003</v>
      </c>
      <c r="K101" s="22"/>
      <c r="L101" s="22">
        <v>35.5</v>
      </c>
      <c r="M101" s="22"/>
      <c r="N101" s="22">
        <v>32.96</v>
      </c>
    </row>
    <row r="102" spans="1:14" x14ac:dyDescent="0.4">
      <c r="A102" s="20" t="s">
        <v>65</v>
      </c>
      <c r="B102" s="20"/>
      <c r="C102" s="20"/>
      <c r="D102" s="22">
        <f>95.949183-0.14831</f>
        <v>95.80087300000001</v>
      </c>
      <c r="E102" s="22"/>
      <c r="F102" s="22">
        <v>89.998999999999995</v>
      </c>
      <c r="G102" s="22"/>
      <c r="H102" s="22">
        <v>88.293000000000006</v>
      </c>
      <c r="I102" s="22"/>
      <c r="J102" s="22">
        <v>86.555999999999997</v>
      </c>
      <c r="K102" s="22"/>
      <c r="L102" s="22">
        <v>86.085999999999999</v>
      </c>
      <c r="M102" s="22"/>
      <c r="N102" s="22">
        <v>85.531000000000006</v>
      </c>
    </row>
    <row r="103" spans="1:14" x14ac:dyDescent="0.4">
      <c r="A103" s="20" t="s">
        <v>77</v>
      </c>
      <c r="B103" s="20"/>
      <c r="C103" s="20"/>
      <c r="D103" s="22">
        <v>-44.314999999999998</v>
      </c>
      <c r="E103" s="22"/>
      <c r="F103" s="22">
        <v>-31.786999999999999</v>
      </c>
      <c r="G103" s="22"/>
      <c r="H103" s="22">
        <v>-12.61</v>
      </c>
      <c r="I103" s="22"/>
      <c r="J103" s="22">
        <v>-3.2559999999999998</v>
      </c>
      <c r="K103" s="22"/>
      <c r="L103" s="22">
        <v>-15.154999999999999</v>
      </c>
      <c r="M103" s="22"/>
      <c r="N103" s="22">
        <v>-9.3940000000000001</v>
      </c>
    </row>
    <row r="104" spans="1:14" x14ac:dyDescent="0.4">
      <c r="A104" t="s">
        <v>71</v>
      </c>
    </row>
    <row r="105" spans="1:14" x14ac:dyDescent="0.4">
      <c r="B105" t="s">
        <v>70</v>
      </c>
      <c r="D105" s="15">
        <f>D67/D94</f>
        <v>2.0499999999999998</v>
      </c>
      <c r="F105" s="15">
        <f>F67/F94</f>
        <v>1.9</v>
      </c>
      <c r="H105" s="15">
        <f>H67/H94</f>
        <v>2.66</v>
      </c>
      <c r="J105" s="15">
        <f>J67/J94</f>
        <v>1.53</v>
      </c>
      <c r="L105" s="15">
        <f>L67/L94</f>
        <v>1.53</v>
      </c>
      <c r="N105" s="15">
        <f>N67/N94</f>
        <v>2.12</v>
      </c>
    </row>
    <row r="106" spans="1:14" x14ac:dyDescent="0.4">
      <c r="B106" t="s">
        <v>60</v>
      </c>
      <c r="D106" s="15">
        <f>D97/D94</f>
        <v>1.27</v>
      </c>
      <c r="F106" s="15">
        <f>F97/F94</f>
        <v>1.19</v>
      </c>
      <c r="H106" s="15">
        <f>H97/H94</f>
        <v>1.1100000000000001</v>
      </c>
      <c r="J106" s="15">
        <f>J97/J94</f>
        <v>1.038</v>
      </c>
      <c r="L106" s="15">
        <f>L97/L94</f>
        <v>0.97499999999999998</v>
      </c>
      <c r="N106" s="15">
        <f>N97/N94</f>
        <v>0.91500000000000004</v>
      </c>
    </row>
    <row r="107" spans="1:14" x14ac:dyDescent="0.4">
      <c r="B107" t="s">
        <v>61</v>
      </c>
      <c r="D107" s="15">
        <f>D98/D94</f>
        <v>1.27</v>
      </c>
      <c r="F107" s="15">
        <f>F98/F94</f>
        <v>1.19</v>
      </c>
      <c r="H107" s="15">
        <f>H98/H94</f>
        <v>1.0900000000000001</v>
      </c>
      <c r="J107" s="15">
        <f>J98/J94</f>
        <v>1.02</v>
      </c>
      <c r="L107" s="15">
        <f>L98/L94</f>
        <v>0.96</v>
      </c>
      <c r="N107" s="15">
        <f>N98/N94</f>
        <v>0.9</v>
      </c>
    </row>
    <row r="108" spans="1:14" x14ac:dyDescent="0.4">
      <c r="B108" t="s">
        <v>62</v>
      </c>
      <c r="D108" s="15">
        <f>D99/D94</f>
        <v>44.67</v>
      </c>
      <c r="F108" s="15">
        <f>F99/F94</f>
        <v>51.2</v>
      </c>
      <c r="H108" s="15">
        <f>H99/H94</f>
        <v>51.83</v>
      </c>
      <c r="J108" s="15">
        <f>J99/J94</f>
        <v>45.45</v>
      </c>
      <c r="L108" s="15">
        <f>L99/L94</f>
        <v>38.92</v>
      </c>
      <c r="N108" s="15">
        <f>N99/N94</f>
        <v>34.07</v>
      </c>
    </row>
    <row r="109" spans="1:14" x14ac:dyDescent="0.4">
      <c r="B109" t="s">
        <v>63</v>
      </c>
      <c r="D109" s="15">
        <f>D100/D94</f>
        <v>21.14</v>
      </c>
      <c r="F109" s="15">
        <f>F100/F94</f>
        <v>40.32</v>
      </c>
      <c r="H109" s="15">
        <f>H100/H94</f>
        <v>35.549999999999997</v>
      </c>
      <c r="J109" s="15">
        <f>J100/J94</f>
        <v>33.700000000000003</v>
      </c>
      <c r="L109" s="15">
        <f>L100/L94</f>
        <v>30.46</v>
      </c>
      <c r="N109" s="15">
        <f>N100/N94</f>
        <v>26.77</v>
      </c>
    </row>
    <row r="110" spans="1:14" x14ac:dyDescent="0.4">
      <c r="B110" t="s">
        <v>64</v>
      </c>
      <c r="D110" s="15">
        <f>D101/D94</f>
        <v>35.549999999999997</v>
      </c>
      <c r="F110" s="15">
        <f>F101/F94</f>
        <v>44.57</v>
      </c>
      <c r="H110" s="15">
        <f>H101/H94</f>
        <v>45.67</v>
      </c>
      <c r="J110" s="15">
        <f>J101/J94</f>
        <v>40.200000000000003</v>
      </c>
      <c r="L110" s="15">
        <f>L101/L94</f>
        <v>35.5</v>
      </c>
      <c r="N110" s="15">
        <f>N101/N94</f>
        <v>32.96</v>
      </c>
    </row>
    <row r="111" spans="1:14" x14ac:dyDescent="0.4">
      <c r="B111" t="s">
        <v>65</v>
      </c>
      <c r="D111" s="16">
        <f>D102*D94</f>
        <v>95.80087300000001</v>
      </c>
      <c r="E111" s="16"/>
      <c r="F111" s="16">
        <f>F102*F94</f>
        <v>89.998999999999995</v>
      </c>
      <c r="G111" s="16"/>
      <c r="H111" s="16">
        <f>H102*H94</f>
        <v>88.293000000000006</v>
      </c>
      <c r="I111" s="16"/>
      <c r="J111" s="16">
        <f>J102*J94</f>
        <v>86.555999999999997</v>
      </c>
      <c r="K111" s="16"/>
      <c r="L111" s="16">
        <f>L102*L94</f>
        <v>86.085999999999999</v>
      </c>
      <c r="M111" s="16"/>
      <c r="N111" s="16">
        <f>N102*N94</f>
        <v>85.531000000000006</v>
      </c>
    </row>
    <row r="112" spans="1:14" x14ac:dyDescent="0.4">
      <c r="B112" t="s">
        <v>66</v>
      </c>
      <c r="D112" s="15">
        <f>ROUND(D68/D111,2)</f>
        <v>19.260000000000002</v>
      </c>
      <c r="F112" s="15">
        <f>ROUND(F68/F111,2)</f>
        <v>17.239999999999998</v>
      </c>
      <c r="H112" s="15">
        <f>ROUND(H68/H111,2)</f>
        <v>16.07</v>
      </c>
      <c r="J112" s="15">
        <f>ROUND(J68/J111,2)</f>
        <v>14.29</v>
      </c>
      <c r="L112" s="15">
        <f>ROUND(L68/L111,2)</f>
        <v>13.55</v>
      </c>
      <c r="N112" s="15">
        <f>ROUND(N68/N111,2)</f>
        <v>12.94</v>
      </c>
    </row>
  </sheetData>
  <mergeCells count="4">
    <mergeCell ref="D6:L6"/>
    <mergeCell ref="A1:O1"/>
    <mergeCell ref="A2:O2"/>
    <mergeCell ref="A3:O3"/>
  </mergeCells>
  <phoneticPr fontId="0" type="noConversion"/>
  <pageMargins left="1.25" right="0" top="1.5" bottom="1" header="0.5" footer="0.5"/>
  <pageSetup scale="60" orientation="portrait" r:id="rId1"/>
  <headerFooter alignWithMargins="0"/>
  <rowBreaks count="1" manualBreakCount="1"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3"/>
  <dimension ref="A1:O112"/>
  <sheetViews>
    <sheetView zoomScale="85" zoomScaleNormal="85" workbookViewId="0">
      <selection sqref="A1:O1"/>
    </sheetView>
  </sheetViews>
  <sheetFormatPr defaultRowHeight="15" x14ac:dyDescent="0.4"/>
  <cols>
    <col min="1" max="1" width="2.6640625" customWidth="1"/>
    <col min="2" max="2" width="24.71875" customWidth="1"/>
    <col min="4" max="4" width="10.21875" customWidth="1"/>
    <col min="5" max="5" width="3.71875" customWidth="1"/>
    <col min="6" max="6" width="10.21875" customWidth="1"/>
    <col min="7" max="7" width="3.71875" customWidth="1"/>
    <col min="8" max="8" width="10.21875" customWidth="1"/>
    <col min="9" max="9" width="3.71875" customWidth="1"/>
    <col min="10" max="10" width="10.21875" customWidth="1"/>
    <col min="11" max="11" width="3.71875" customWidth="1"/>
    <col min="12" max="12" width="10.21875" customWidth="1"/>
    <col min="13" max="13" width="3.71875" customWidth="1"/>
    <col min="14" max="14" width="8.71875" customWidth="1"/>
    <col min="15" max="15" width="2.71875" customWidth="1"/>
  </cols>
  <sheetData>
    <row r="1" spans="1:15" x14ac:dyDescent="0.4">
      <c r="A1" s="46" t="str">
        <f>A54</f>
        <v>NORTHWEST NATURAL HLDNG CO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x14ac:dyDescent="0.4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x14ac:dyDescent="0.4">
      <c r="A3" s="42" t="str">
        <f>'Page 1'!A3:N3</f>
        <v>2016-2020, Inclusive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5" spans="1:15" s="1" customFormat="1" x14ac:dyDescent="0.4">
      <c r="D5" s="2">
        <f>D55</f>
        <v>2020</v>
      </c>
      <c r="F5" s="2">
        <f>F55</f>
        <v>2019</v>
      </c>
      <c r="H5" s="2">
        <f>H55</f>
        <v>2018</v>
      </c>
      <c r="J5" s="2">
        <f>J55</f>
        <v>2017</v>
      </c>
      <c r="L5" s="2">
        <f>L55</f>
        <v>2016</v>
      </c>
    </row>
    <row r="6" spans="1:15" s="1" customFormat="1" x14ac:dyDescent="0.4">
      <c r="D6" s="45" t="s">
        <v>18</v>
      </c>
      <c r="E6" s="45"/>
      <c r="F6" s="45"/>
      <c r="G6" s="45"/>
      <c r="H6" s="45"/>
      <c r="I6" s="45"/>
      <c r="J6" s="45"/>
      <c r="K6" s="45"/>
      <c r="L6" s="45"/>
    </row>
    <row r="7" spans="1:15" x14ac:dyDescent="0.4">
      <c r="A7" t="s">
        <v>1</v>
      </c>
    </row>
    <row r="8" spans="1:15" x14ac:dyDescent="0.4">
      <c r="B8" t="s">
        <v>6</v>
      </c>
      <c r="D8" s="37">
        <f>D78+D79+D81-D103</f>
        <v>1857.06</v>
      </c>
      <c r="F8" s="37">
        <f>F78+F79+F81-F103</f>
        <v>1757.796</v>
      </c>
      <c r="H8" s="37">
        <f>H78+H79+H81-H103</f>
        <v>1506.0580000000002</v>
      </c>
      <c r="J8" s="37">
        <f>J78+J79+J81-J103</f>
        <v>1531.1010000000001</v>
      </c>
      <c r="L8" s="37">
        <f>L78+L79+L81-L103</f>
        <v>1576.771</v>
      </c>
    </row>
    <row r="9" spans="1:15" x14ac:dyDescent="0.4">
      <c r="B9" t="s">
        <v>5</v>
      </c>
      <c r="D9" s="11">
        <f>D80</f>
        <v>304.52499999999998</v>
      </c>
      <c r="F9" s="11">
        <f>F80</f>
        <v>149.1</v>
      </c>
      <c r="H9" s="11">
        <f>H80</f>
        <v>217.62</v>
      </c>
      <c r="J9" s="11">
        <f>J80</f>
        <v>54.2</v>
      </c>
      <c r="L9" s="11">
        <f>L80</f>
        <v>53.3</v>
      </c>
    </row>
    <row r="10" spans="1:15" ht="15.4" thickBot="1" x14ac:dyDescent="0.45">
      <c r="B10" t="s">
        <v>7</v>
      </c>
      <c r="D10" s="12">
        <f>D8+D9</f>
        <v>2161.585</v>
      </c>
      <c r="F10" s="12">
        <f>F8+F9</f>
        <v>1906.896</v>
      </c>
      <c r="H10" s="12">
        <f>H8+H9</f>
        <v>1723.6780000000003</v>
      </c>
      <c r="J10" s="12">
        <f>J8+J9</f>
        <v>1585.3010000000002</v>
      </c>
      <c r="L10" s="12">
        <f>L8+L9</f>
        <v>1630.0709999999999</v>
      </c>
    </row>
    <row r="11" spans="1:15" ht="15.4" thickTop="1" x14ac:dyDescent="0.4"/>
    <row r="12" spans="1:15" x14ac:dyDescent="0.4">
      <c r="A12" t="s">
        <v>8</v>
      </c>
      <c r="N12" s="2" t="s">
        <v>19</v>
      </c>
    </row>
    <row r="13" spans="1:15" x14ac:dyDescent="0.4">
      <c r="B13" s="24" t="s">
        <v>73</v>
      </c>
      <c r="D13" s="32">
        <f>ROUND(AVERAGE(D108:D109)/D105,0)</f>
        <v>26</v>
      </c>
      <c r="E13" s="7" t="s">
        <v>3</v>
      </c>
      <c r="F13" s="32">
        <f>ROUND(AVERAGE(F108:F109)/F105,0)</f>
        <v>30</v>
      </c>
      <c r="G13" s="7" t="s">
        <v>3</v>
      </c>
      <c r="H13" s="32">
        <f>ROUND(AVERAGE(H108:H109)/H105,0)</f>
        <v>26</v>
      </c>
      <c r="I13" s="7" t="s">
        <v>3</v>
      </c>
      <c r="J13" s="32"/>
      <c r="K13" s="7" t="s">
        <v>3</v>
      </c>
      <c r="L13" s="32">
        <f>ROUND(AVERAGE(L108:L109)/L105,0)</f>
        <v>27</v>
      </c>
      <c r="M13" s="7" t="s">
        <v>3</v>
      </c>
      <c r="N13" s="33">
        <f>AVERAGE(D13,F13,H13,J13,L13)</f>
        <v>27.25</v>
      </c>
      <c r="O13" s="7" t="s">
        <v>3</v>
      </c>
    </row>
    <row r="14" spans="1:15" x14ac:dyDescent="0.4">
      <c r="B14" t="s">
        <v>20</v>
      </c>
      <c r="D14" s="3">
        <f>ROUND(AVERAGE(D108:D109)/AVERAGE(D112,F112),3)</f>
        <v>2.081</v>
      </c>
      <c r="E14" s="3"/>
      <c r="F14" s="3">
        <f>ROUND(AVERAGE(F108:F109)/AVERAGE(F112,H112),3)</f>
        <v>2.395</v>
      </c>
      <c r="G14" s="3"/>
      <c r="H14" s="3">
        <f>ROUND(AVERAGE(H108:H109)/AVERAGE(H112,J112),3)</f>
        <v>2.36</v>
      </c>
      <c r="I14" s="3"/>
      <c r="J14" s="3">
        <f>ROUND(AVERAGE(J108:J109)/AVERAGE(J112,L112),3)</f>
        <v>2.2679999999999998</v>
      </c>
      <c r="K14" s="3"/>
      <c r="L14" s="3">
        <f>ROUND(AVERAGE(L108:L109)/AVERAGE(L112,N112),3)</f>
        <v>1.978</v>
      </c>
      <c r="M14" s="3"/>
      <c r="N14" s="6">
        <f>AVERAGE(D14,F14,H14,J14,L14)</f>
        <v>2.2163999999999997</v>
      </c>
    </row>
    <row r="15" spans="1:15" x14ac:dyDescent="0.4">
      <c r="B15" t="s">
        <v>9</v>
      </c>
      <c r="D15" s="3">
        <f>ROUND(D106/AVERAGE(D108:D109),3)</f>
        <v>3.2000000000000001E-2</v>
      </c>
      <c r="E15" s="3"/>
      <c r="F15" s="3">
        <f>ROUND(F106/AVERAGE(F108:F109),3)</f>
        <v>2.9000000000000001E-2</v>
      </c>
      <c r="G15" s="3"/>
      <c r="H15" s="3">
        <f>ROUND(H106/AVERAGE(H108:H109),3)</f>
        <v>3.1E-2</v>
      </c>
      <c r="I15" s="3"/>
      <c r="J15" s="3">
        <f>ROUND(J106/AVERAGE(J108:J109),3)</f>
        <v>0.03</v>
      </c>
      <c r="K15" s="3"/>
      <c r="L15" s="3">
        <f>ROUND(L106/AVERAGE(L108:L109),3)</f>
        <v>3.3000000000000002E-2</v>
      </c>
      <c r="M15" s="3"/>
      <c r="N15" s="6">
        <f>AVERAGE(D15,F15,H15,J15,L15)</f>
        <v>3.1E-2</v>
      </c>
    </row>
    <row r="16" spans="1:15" x14ac:dyDescent="0.4">
      <c r="B16" t="s">
        <v>10</v>
      </c>
      <c r="D16" s="3">
        <f>ROUND(D96/D66,3)</f>
        <v>0.83499999999999996</v>
      </c>
      <c r="E16" s="3"/>
      <c r="F16" s="3">
        <f>ROUND(F96/F66,3)</f>
        <v>0.87</v>
      </c>
      <c r="G16" s="3"/>
      <c r="H16" s="3">
        <f>ROUND(H96/H66,3)</f>
        <v>0.81299999999999994</v>
      </c>
      <c r="I16" s="3"/>
      <c r="J16" s="3"/>
      <c r="K16" s="3"/>
      <c r="L16" s="3">
        <f>ROUND(L96/L66,3)</f>
        <v>0.877</v>
      </c>
      <c r="M16" s="3"/>
      <c r="N16" s="6">
        <f>AVERAGE(D16,F16,H16,J16,L16)</f>
        <v>0.84874999999999989</v>
      </c>
    </row>
    <row r="18" spans="1:14" x14ac:dyDescent="0.4">
      <c r="A18" t="s">
        <v>2</v>
      </c>
    </row>
    <row r="19" spans="1:14" x14ac:dyDescent="0.4">
      <c r="B19" t="s">
        <v>11</v>
      </c>
    </row>
    <row r="20" spans="1:14" x14ac:dyDescent="0.4">
      <c r="B20" s="34" t="s">
        <v>78</v>
      </c>
      <c r="D20" s="3">
        <f>ROUND((+D76+D79)/D8,3)</f>
        <v>0.51400000000000001</v>
      </c>
      <c r="E20" s="3"/>
      <c r="F20" s="3">
        <f>ROUND((+F76+F79)/F8,3)</f>
        <v>0.501</v>
      </c>
      <c r="G20" s="3"/>
      <c r="H20" s="3">
        <f>ROUND((+H76+H79)/H8,3)</f>
        <v>0.48899999999999999</v>
      </c>
      <c r="I20" s="3"/>
      <c r="J20" s="3">
        <f>ROUND((+J76+J79)/J8,3)</f>
        <v>0.50900000000000001</v>
      </c>
      <c r="K20" s="3"/>
      <c r="L20" s="3">
        <f>ROUND((+L76+L79)/L8,3)</f>
        <v>0.45600000000000002</v>
      </c>
      <c r="M20" s="3"/>
      <c r="N20" s="6">
        <f>AVERAGE(D20,F20,H20,J20,L20)</f>
        <v>0.49379999999999996</v>
      </c>
    </row>
    <row r="21" spans="1:14" x14ac:dyDescent="0.4">
      <c r="B21" s="34" t="s">
        <v>79</v>
      </c>
      <c r="D21" s="3">
        <f>ROUND((SUM(D69:D75)+D81)/D8,3)</f>
        <v>0</v>
      </c>
      <c r="E21" s="3"/>
      <c r="F21" s="3">
        <f>ROUND((SUM(F69:F75)+F81)/F8,3)</f>
        <v>0</v>
      </c>
      <c r="G21" s="3"/>
      <c r="H21" s="3">
        <f>ROUND((SUM(H69:H75)+H81)/H8,3)</f>
        <v>0</v>
      </c>
      <c r="I21" s="3"/>
      <c r="J21" s="3">
        <f>ROUND((SUM(J69:J75)+J81)/J8,3)</f>
        <v>0</v>
      </c>
      <c r="K21" s="3"/>
      <c r="L21" s="3">
        <f>ROUND((SUM(L69:L75)+L81)/L8,3)</f>
        <v>0</v>
      </c>
      <c r="M21" s="3"/>
      <c r="N21" s="6">
        <f>AVERAGE(D21,F21,H21,J21,L21)</f>
        <v>0</v>
      </c>
    </row>
    <row r="22" spans="1:14" ht="17.25" x14ac:dyDescent="0.4">
      <c r="B22" s="35" t="s">
        <v>80</v>
      </c>
      <c r="D22" s="4">
        <f>ROUND((D68-D103)/D8,3)</f>
        <v>0.48599999999999999</v>
      </c>
      <c r="E22" s="3"/>
      <c r="F22" s="4">
        <f>ROUND((F68-F103)/F8,3)</f>
        <v>0.499</v>
      </c>
      <c r="G22" s="3"/>
      <c r="H22" s="4">
        <f>ROUND((H68-H103)/H8,3)</f>
        <v>0.51100000000000001</v>
      </c>
      <c r="I22" s="3"/>
      <c r="J22" s="4">
        <f>ROUND((J68-J103)/J8,3)</f>
        <v>0.49099999999999999</v>
      </c>
      <c r="K22" s="3"/>
      <c r="L22" s="4">
        <f>ROUND((L68-L103)/L8,3)</f>
        <v>0.54400000000000004</v>
      </c>
      <c r="M22" s="3"/>
      <c r="N22" s="8">
        <f>AVERAGE(D22,F22,H22,J22,L22)</f>
        <v>0.50619999999999998</v>
      </c>
    </row>
    <row r="23" spans="1:14" ht="15.4" thickBot="1" x14ac:dyDescent="0.45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9">
        <f>AVERAGE(D23,F23,H23,J23,L23)</f>
        <v>1</v>
      </c>
    </row>
    <row r="24" spans="1:14" ht="15.4" thickTop="1" x14ac:dyDescent="0.4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4">
      <c r="B25" s="34" t="s">
        <v>81</v>
      </c>
      <c r="D25" s="3">
        <f>ROUND((+D76+D79+D80)/D10,3)</f>
        <v>0.58299999999999996</v>
      </c>
      <c r="E25" s="3"/>
      <c r="F25" s="3">
        <f>ROUND((+F76+F79+F80)/F10,3)</f>
        <v>0.54</v>
      </c>
      <c r="G25" s="3"/>
      <c r="H25" s="3">
        <f>ROUND((+H76+H79+H80)/H10,3)</f>
        <v>0.55300000000000005</v>
      </c>
      <c r="I25" s="3"/>
      <c r="J25" s="3">
        <f>ROUND((+J76+J79+J80)/J10,3)</f>
        <v>0.52600000000000002</v>
      </c>
      <c r="K25" s="3"/>
      <c r="L25" s="3">
        <f>ROUND((+L76+L79+L80)/L10,3)</f>
        <v>0.47399999999999998</v>
      </c>
      <c r="M25" s="3"/>
      <c r="N25" s="6">
        <f>AVERAGE(D25,F25,H25,J25,L25)</f>
        <v>0.53520000000000001</v>
      </c>
    </row>
    <row r="26" spans="1:14" x14ac:dyDescent="0.4">
      <c r="B26" s="34" t="s">
        <v>79</v>
      </c>
      <c r="D26" s="3">
        <f>ROUND((SUM(D69:D75)+D81)/D10,3)</f>
        <v>0</v>
      </c>
      <c r="E26" s="3"/>
      <c r="F26" s="3">
        <f>ROUND((SUM(F69:F75)+F81)/F10,3)</f>
        <v>0</v>
      </c>
      <c r="G26" s="3"/>
      <c r="H26" s="3">
        <f>ROUND((SUM(H69:H75)+H81)/H10,3)</f>
        <v>0</v>
      </c>
      <c r="I26" s="3"/>
      <c r="J26" s="3">
        <f>ROUND((SUM(J69:J75)+J81)/J10,3)</f>
        <v>0</v>
      </c>
      <c r="K26" s="3"/>
      <c r="L26" s="3">
        <f>ROUND((SUM(L69:L75)+L81)/L10,3)</f>
        <v>0</v>
      </c>
      <c r="M26" s="3"/>
      <c r="N26" s="6">
        <f>AVERAGE(D26,F26,H26,J26,L26)</f>
        <v>0</v>
      </c>
    </row>
    <row r="27" spans="1:14" ht="17.25" x14ac:dyDescent="0.4">
      <c r="B27" s="35" t="s">
        <v>80</v>
      </c>
      <c r="D27" s="4">
        <f>ROUND((D68-D103)/D10,3)</f>
        <v>0.41699999999999998</v>
      </c>
      <c r="E27" s="3"/>
      <c r="F27" s="4">
        <f>ROUND((F68-F103)/F10,3)</f>
        <v>0.46</v>
      </c>
      <c r="G27" s="3"/>
      <c r="H27" s="4">
        <f>ROUND((H68-H103)/H10,3)</f>
        <v>0.44700000000000001</v>
      </c>
      <c r="I27" s="3"/>
      <c r="J27" s="4">
        <f>ROUND((J68-J103)/J10,3)</f>
        <v>0.47399999999999998</v>
      </c>
      <c r="K27" s="3"/>
      <c r="L27" s="4">
        <f>ROUND((L68-L103)/L10,3)</f>
        <v>0.52600000000000002</v>
      </c>
      <c r="M27" s="3"/>
      <c r="N27" s="8">
        <f>AVERAGE(D27,F27,H27,J27,L27)</f>
        <v>0.46479999999999999</v>
      </c>
    </row>
    <row r="28" spans="1:14" ht="15.4" thickBot="1" x14ac:dyDescent="0.45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9">
        <f>AVERAGE(D28,F28,H28,J28,L28)</f>
        <v>1</v>
      </c>
    </row>
    <row r="29" spans="1:14" ht="15.4" thickTop="1" x14ac:dyDescent="0.4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7.25" x14ac:dyDescent="0.4">
      <c r="A30" s="36" t="s">
        <v>82</v>
      </c>
      <c r="D30" s="3">
        <f>ROUND(+D66/(((D68-D103)+(F68-F103))/2),3)</f>
        <v>7.9000000000000001E-2</v>
      </c>
      <c r="E30" s="3"/>
      <c r="F30" s="3">
        <f>ROUND(+F66/(((F68-F103)+(H68-H103))/2),3)</f>
        <v>7.9000000000000001E-2</v>
      </c>
      <c r="G30" s="3"/>
      <c r="H30" s="3">
        <f>ROUND(+H66/(((H68-H103)+(J68-J103))/2),3)</f>
        <v>8.8999999999999996E-2</v>
      </c>
      <c r="I30" s="3"/>
      <c r="J30" s="3"/>
      <c r="K30" s="3"/>
      <c r="L30" s="3">
        <f>ROUND(+L66/(((L68-L103)+(N68-N103))/2),3)</f>
        <v>7.1999999999999995E-2</v>
      </c>
      <c r="M30" s="3"/>
      <c r="N30" s="6">
        <f>AVERAGE(D30,F30,H30,J30,L30)</f>
        <v>7.9750000000000001E-2</v>
      </c>
    </row>
    <row r="31" spans="1:14" x14ac:dyDescent="0.4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 x14ac:dyDescent="0.4">
      <c r="A32" s="36" t="s">
        <v>83</v>
      </c>
      <c r="D32" s="3">
        <f>ROUND((+D58-D57)/D56,3)</f>
        <v>0.80800000000000005</v>
      </c>
      <c r="E32" s="3"/>
      <c r="F32" s="3">
        <f>ROUND((+F58-F57)/F56,3)</f>
        <v>0.80800000000000005</v>
      </c>
      <c r="G32" s="3"/>
      <c r="H32" s="3">
        <f>ROUND((+H58-H57)/H56,3)</f>
        <v>0.81299999999999994</v>
      </c>
      <c r="I32" s="3"/>
      <c r="J32" s="3">
        <f>ROUND((+J58-J57)/J56,3)</f>
        <v>0.82199999999999995</v>
      </c>
      <c r="K32" s="3"/>
      <c r="L32" s="3">
        <f>ROUND((+L58-L57)/L56,3)</f>
        <v>0.79900000000000004</v>
      </c>
      <c r="M32" s="3"/>
      <c r="N32" s="6">
        <f>AVERAGE(D32,F32,H32,J32,L32)</f>
        <v>0.81000000000000016</v>
      </c>
    </row>
    <row r="34" spans="1:15" ht="17.25" x14ac:dyDescent="0.4">
      <c r="A34" s="36" t="s">
        <v>84</v>
      </c>
    </row>
    <row r="35" spans="1:15" x14ac:dyDescent="0.4">
      <c r="B35" t="s">
        <v>13</v>
      </c>
      <c r="D35" s="7">
        <f>ROUND(((+D66+D65+D64+D63+D61+D59+D57)/D61),2)</f>
        <v>3.12</v>
      </c>
      <c r="E35" s="7" t="s">
        <v>3</v>
      </c>
      <c r="F35" s="7">
        <f>ROUND(((+F66+F65+F64+F63+F61+F59+F57)/F61),2)</f>
        <v>2.83</v>
      </c>
      <c r="G35" s="7" t="s">
        <v>3</v>
      </c>
      <c r="H35" s="7">
        <f>ROUND(((+H66+H65+H64+H63+H61+H59+H57)/H61),2)</f>
        <v>3.47</v>
      </c>
      <c r="I35" s="7" t="s">
        <v>3</v>
      </c>
      <c r="J35" s="7"/>
      <c r="K35" s="7" t="s">
        <v>3</v>
      </c>
      <c r="L35" s="7">
        <f>ROUND(((+L66+L65+L64+L63+L61+L59+L57)/L61),2)</f>
        <v>3.55</v>
      </c>
      <c r="M35" s="7" t="s">
        <v>3</v>
      </c>
      <c r="N35" s="27">
        <f>AVERAGE(D35,F35,H35,J35,L35)</f>
        <v>3.2424999999999997</v>
      </c>
      <c r="O35" t="s">
        <v>3</v>
      </c>
    </row>
    <row r="36" spans="1:15" x14ac:dyDescent="0.4">
      <c r="B36" t="s">
        <v>21</v>
      </c>
      <c r="D36" s="7">
        <f>ROUND(((+D66+D65+D64+D63+D61)/(D61)),2)</f>
        <v>2.63</v>
      </c>
      <c r="E36" s="7" t="s">
        <v>3</v>
      </c>
      <c r="F36" s="7">
        <f>ROUND(((+F66+F65+F64+F63+F61)/(F61)),2)</f>
        <v>2.5299999999999998</v>
      </c>
      <c r="G36" s="7" t="s">
        <v>3</v>
      </c>
      <c r="H36" s="7">
        <f>ROUND(((+H66+H65+H64+H63+H61)/(H61)),2)</f>
        <v>2.82</v>
      </c>
      <c r="I36" s="7" t="s">
        <v>3</v>
      </c>
      <c r="J36" s="7"/>
      <c r="K36" s="7" t="s">
        <v>3</v>
      </c>
      <c r="L36" s="7">
        <f>ROUND(((+L66+L65+L64+L63+L61)/(L61)),2)</f>
        <v>2.5099999999999998</v>
      </c>
      <c r="M36" s="7" t="s">
        <v>3</v>
      </c>
      <c r="N36" s="27">
        <f>AVERAGE(D36,F36,H36,J36,L36)</f>
        <v>2.6225000000000001</v>
      </c>
      <c r="O36" t="s">
        <v>3</v>
      </c>
    </row>
    <row r="37" spans="1:15" x14ac:dyDescent="0.4">
      <c r="B37" t="s">
        <v>14</v>
      </c>
      <c r="D37" s="7">
        <f>ROUND(((+D66+D65+D64+D63+D61)/(D61+D63+D64+D65)),2)</f>
        <v>2.63</v>
      </c>
      <c r="E37" s="7" t="s">
        <v>3</v>
      </c>
      <c r="F37" s="7">
        <f>ROUND(((+F66+F65+F64+F63+F61)/(F61+F63+F64+F65)),2)</f>
        <v>2.5299999999999998</v>
      </c>
      <c r="G37" s="7" t="s">
        <v>3</v>
      </c>
      <c r="H37" s="7">
        <f>ROUND(((+H66+H65+H64+H63+H61)/(H61+H63+H64+H65)),2)</f>
        <v>2.82</v>
      </c>
      <c r="I37" s="7" t="s">
        <v>3</v>
      </c>
      <c r="J37" s="7"/>
      <c r="K37" s="7" t="s">
        <v>3</v>
      </c>
      <c r="L37" s="7">
        <f>ROUND(((+L66+L65+L64+L63+L61)/(L61+L63+L64+L65)),2)</f>
        <v>2.5099999999999998</v>
      </c>
      <c r="M37" s="7" t="s">
        <v>3</v>
      </c>
      <c r="N37" s="27">
        <f>AVERAGE(D37,F37,H37,J37,L37)</f>
        <v>2.6225000000000001</v>
      </c>
      <c r="O37" t="s">
        <v>3</v>
      </c>
    </row>
    <row r="38" spans="1:1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7.25" x14ac:dyDescent="0.4">
      <c r="A39" s="36" t="s">
        <v>85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x14ac:dyDescent="0.4">
      <c r="B40" t="s">
        <v>13</v>
      </c>
      <c r="D40" s="7">
        <f>ROUND(((+D66+D65+D64+D63-D62+D61+D59+D57)/D61),2)</f>
        <v>3.12</v>
      </c>
      <c r="E40" s="7" t="s">
        <v>3</v>
      </c>
      <c r="F40" s="7">
        <f>ROUND(((+F66+F65+F64+F63-F62+F61+F59+F57)/F61),2)</f>
        <v>2.83</v>
      </c>
      <c r="G40" s="7" t="s">
        <v>3</v>
      </c>
      <c r="H40" s="7">
        <f>ROUND(((+H66+H65+H64+H63-H62+H61+H59+H57)/H61),2)</f>
        <v>3.47</v>
      </c>
      <c r="I40" s="7" t="s">
        <v>3</v>
      </c>
      <c r="J40" s="7"/>
      <c r="K40" s="7" t="s">
        <v>3</v>
      </c>
      <c r="L40" s="7">
        <f>ROUND(((+L66+L65+L64+L63-L62+L61+L59+L57)/L61),2)</f>
        <v>3.55</v>
      </c>
      <c r="M40" s="7" t="s">
        <v>3</v>
      </c>
      <c r="N40" s="27">
        <f>AVERAGE(D40,F40,H40,J40,L40)</f>
        <v>3.2424999999999997</v>
      </c>
      <c r="O40" t="s">
        <v>3</v>
      </c>
    </row>
    <row r="41" spans="1:15" x14ac:dyDescent="0.4">
      <c r="B41" t="s">
        <v>21</v>
      </c>
      <c r="D41" s="7">
        <f>ROUND(((+D66+D65+D64+D63-D62+D61)/D61),2)</f>
        <v>2.63</v>
      </c>
      <c r="E41" s="7" t="s">
        <v>3</v>
      </c>
      <c r="F41" s="7">
        <f>ROUND(((+F66+F65+F64+F63-F62+F61)/F61),2)</f>
        <v>2.5299999999999998</v>
      </c>
      <c r="G41" s="7" t="s">
        <v>3</v>
      </c>
      <c r="H41" s="7">
        <f>ROUND(((+H66+H65+H64+H63-H62+H61)/H61),2)</f>
        <v>2.82</v>
      </c>
      <c r="I41" s="7" t="s">
        <v>3</v>
      </c>
      <c r="J41" s="7"/>
      <c r="K41" s="7" t="s">
        <v>3</v>
      </c>
      <c r="L41" s="7">
        <f>ROUND(((+L66+L65+L64+L63-L62+L61)/L61),2)</f>
        <v>2.5099999999999998</v>
      </c>
      <c r="M41" s="7" t="s">
        <v>3</v>
      </c>
      <c r="N41" s="27">
        <f>AVERAGE(D41,F41,H41,J41,L41)</f>
        <v>2.6225000000000001</v>
      </c>
      <c r="O41" t="s">
        <v>3</v>
      </c>
    </row>
    <row r="42" spans="1:15" x14ac:dyDescent="0.4">
      <c r="B42" t="s">
        <v>14</v>
      </c>
      <c r="D42" s="7">
        <f>ROUND(((+D66+D65+D64+D63-D62+D61)/(D61+D63+D64+D65)),2)</f>
        <v>2.63</v>
      </c>
      <c r="E42" s="7" t="s">
        <v>3</v>
      </c>
      <c r="F42" s="7">
        <f>ROUND(((+F66+F65+F64+F63-F62+F61)/(F61+F63+F64+F65)),2)</f>
        <v>2.5299999999999998</v>
      </c>
      <c r="G42" s="7" t="s">
        <v>3</v>
      </c>
      <c r="H42" s="7">
        <f>ROUND(((+H66+H65+H64+H63-H62+H61)/(H61+H63+H64+H65)),2)</f>
        <v>2.82</v>
      </c>
      <c r="I42" s="7" t="s">
        <v>3</v>
      </c>
      <c r="J42" s="7"/>
      <c r="K42" s="7" t="s">
        <v>3</v>
      </c>
      <c r="L42" s="7">
        <f>ROUND(((+L66+L65+L64+L63-L62+L61)/(L61+L63+L64+L65)),2)</f>
        <v>2.5099999999999998</v>
      </c>
      <c r="M42" s="7" t="s">
        <v>3</v>
      </c>
      <c r="N42" s="27">
        <f>AVERAGE(D42,F42,H42,J42,L42)</f>
        <v>2.6225000000000001</v>
      </c>
      <c r="O42" t="s">
        <v>3</v>
      </c>
    </row>
    <row r="44" spans="1:15" x14ac:dyDescent="0.4">
      <c r="A44" t="s">
        <v>15</v>
      </c>
    </row>
    <row r="45" spans="1:15" x14ac:dyDescent="0.4">
      <c r="B45" t="s">
        <v>16</v>
      </c>
      <c r="D45" s="13">
        <f>ROUND(D62/D66,3)</f>
        <v>0</v>
      </c>
      <c r="E45" s="13"/>
      <c r="F45" s="13">
        <f>ROUND(F62/F66,3)</f>
        <v>0</v>
      </c>
      <c r="G45" s="13"/>
      <c r="H45" s="13">
        <f>ROUND(H62/H66,3)</f>
        <v>0</v>
      </c>
      <c r="I45" s="13"/>
      <c r="J45" s="13">
        <f>ROUND(J62/J66,3)</f>
        <v>-9.5000000000000001E-2</v>
      </c>
      <c r="K45" s="13"/>
      <c r="L45" s="13">
        <f>ROUND(L62/L66,3)</f>
        <v>0</v>
      </c>
      <c r="M45" s="3"/>
      <c r="N45" s="6">
        <f t="shared" ref="N45:N50" si="0">AVERAGE(D45,F45,H45,J45,L45)</f>
        <v>-1.9E-2</v>
      </c>
    </row>
    <row r="46" spans="1:15" x14ac:dyDescent="0.4">
      <c r="B46" t="s">
        <v>17</v>
      </c>
      <c r="D46" s="17">
        <f>ROUND((D57+D59)/(D57+D59+D66+D63+D64+D65),3)</f>
        <v>0.23100000000000001</v>
      </c>
      <c r="E46" s="18"/>
      <c r="F46" s="17">
        <f>ROUND((F57+F59)/(F57+F59+F66+F63+F64+F65),3)</f>
        <v>0.16200000000000001</v>
      </c>
      <c r="G46" s="18"/>
      <c r="H46" s="17">
        <f>ROUND((H57+H59)/(H57+H59+H66+H63+H64+H65),3)</f>
        <v>0.26400000000000001</v>
      </c>
      <c r="I46" s="18"/>
      <c r="J46" s="17">
        <f>ROUND((J57+J59)/(J57+J59+J66+J63+J64+J65),3)</f>
        <v>0.35599999999999998</v>
      </c>
      <c r="K46" s="18"/>
      <c r="L46" s="17">
        <f>ROUND((L57+L59)/(L57+L59+L66+L63+L64+L65),3)</f>
        <v>0.40899999999999997</v>
      </c>
      <c r="N46" s="6">
        <f t="shared" si="0"/>
        <v>0.28439999999999999</v>
      </c>
    </row>
    <row r="47" spans="1:15" ht="17.25" x14ac:dyDescent="0.4">
      <c r="B47" s="36" t="s">
        <v>86</v>
      </c>
      <c r="D47" s="13">
        <f>ROUND(((+D82+D83+D84+D85+D86-D87+D88-D90-D91)/(+D89-D87)),3)</f>
        <v>0.439</v>
      </c>
      <c r="E47" s="14"/>
      <c r="F47" s="13">
        <f>ROUND(((+F82+F83+F84+F85+F86-F87+F88-F90-F91)/(+F89-F87)),3)</f>
        <v>0.68100000000000005</v>
      </c>
      <c r="G47" s="14"/>
      <c r="H47" s="13">
        <f>ROUND(((+H82+H83+H84+H85+H86-H87+H88-H90-H91)/(+H89-H87)),3)</f>
        <v>0.61</v>
      </c>
      <c r="I47" s="14"/>
      <c r="J47" s="13">
        <f>ROUND(((+J82+J83+J84+J85+J86-J87+J88-J90-J91)/(+J89-J87)),3)</f>
        <v>0.57099999999999995</v>
      </c>
      <c r="K47" s="14"/>
      <c r="L47" s="13">
        <f>ROUND(((+L82+L83+L84+L85+L86-L87+L88-L90-L91)/(+L89-L87)),3)</f>
        <v>0.98499999999999999</v>
      </c>
      <c r="N47" s="6">
        <f t="shared" si="0"/>
        <v>0.65720000000000001</v>
      </c>
    </row>
    <row r="48" spans="1:15" ht="17.25" x14ac:dyDescent="0.4">
      <c r="B48" s="36" t="s">
        <v>87</v>
      </c>
      <c r="D48" s="13">
        <f>ROUND(((+D82+D83+D84+D85+D86-D87+D88)/(AVERAGE(D76,F76)+AVERAGE(D79,F79)+AVERAGE(D80,F80))),3)</f>
        <v>0.153</v>
      </c>
      <c r="E48" s="14"/>
      <c r="F48" s="13">
        <f>ROUND(((+F82+F83+F84+F85+F86-F87+F88)/(AVERAGE(F76,H76)+AVERAGE(F79,H79)+AVERAGE(F80,H80))),3)</f>
        <v>0.20699999999999999</v>
      </c>
      <c r="G48" s="14"/>
      <c r="H48" s="13">
        <f>ROUND(((+H82+H83+H84+H85+H86-H87+H88)/(AVERAGE(H76,J76)+AVERAGE(H79,J79)+AVERAGE(H80,J80))),3)</f>
        <v>0.20399999999999999</v>
      </c>
      <c r="I48" s="14"/>
      <c r="J48" s="13">
        <f>ROUND(((+J82+J83+J84+J85+J86-J87+J88)/(AVERAGE(J76,L76)+AVERAGE(J79,L79)+AVERAGE(J80,L80))),3)</f>
        <v>0.219</v>
      </c>
      <c r="K48" s="14"/>
      <c r="L48" s="13">
        <f>ROUND(((+L82+L83+L84+L85+L86-L87+L88)/(AVERAGE(L76,N76)+AVERAGE(L79,N79)+AVERAGE(L80,N80))),3)</f>
        <v>0.23</v>
      </c>
      <c r="N48" s="6">
        <f t="shared" si="0"/>
        <v>0.20259999999999997</v>
      </c>
    </row>
    <row r="49" spans="1:15" ht="17.25" x14ac:dyDescent="0.4">
      <c r="B49" s="36" t="s">
        <v>88</v>
      </c>
      <c r="D49" s="28">
        <f>ROUND(((+D82+D83+D84+D85+D86-D87+D88+D92)/D61),2)</f>
        <v>5.0599999999999996</v>
      </c>
      <c r="E49" t="s">
        <v>3</v>
      </c>
      <c r="F49" s="28">
        <f>ROUND(((+F82+F83+F84+F85+F86-F87+F88+F92)/F61),2)</f>
        <v>5.78</v>
      </c>
      <c r="G49" t="s">
        <v>3</v>
      </c>
      <c r="H49" s="28">
        <f>ROUND(((+H82+H83+H84+H85+H86-H87+H88+H92)/H61),2)</f>
        <v>5.87</v>
      </c>
      <c r="I49" t="s">
        <v>3</v>
      </c>
      <c r="J49" s="28">
        <f>ROUND(((+J82+J83+J84+J85+J86-J87+J88+J92)/J61),2)</f>
        <v>5.13</v>
      </c>
      <c r="K49" t="s">
        <v>3</v>
      </c>
      <c r="L49" s="28">
        <f>ROUND(((+L82+L83+L84+L85+L86-L87+L88+L92)/L61),2)</f>
        <v>5.75</v>
      </c>
      <c r="M49" t="s">
        <v>3</v>
      </c>
      <c r="N49" s="29">
        <f t="shared" si="0"/>
        <v>5.5179999999999998</v>
      </c>
      <c r="O49" t="s">
        <v>3</v>
      </c>
    </row>
    <row r="50" spans="1:15" ht="17.25" x14ac:dyDescent="0.4">
      <c r="B50" s="36" t="s">
        <v>89</v>
      </c>
      <c r="D50" s="28">
        <f>ROUND(((+D82+D83+D84+D85+D86-D87+D88-D91)/+D90),2)</f>
        <v>3.16</v>
      </c>
      <c r="E50" t="s">
        <v>3</v>
      </c>
      <c r="F50" s="28">
        <f>ROUND(((+F82+F83+F84+F85+F86-F87+F88-F91)/+F90),2)</f>
        <v>3.85</v>
      </c>
      <c r="G50" t="s">
        <v>3</v>
      </c>
      <c r="H50" s="28">
        <f>ROUND(((+H82+H83+H84+H85+H86-H87+H88-H91)/+H90),2)</f>
        <v>3.55</v>
      </c>
      <c r="I50" t="s">
        <v>3</v>
      </c>
      <c r="J50" s="28">
        <f>ROUND(((+J82+J83+J84+J85+J86-J87+J88-J91)/+J90),2)</f>
        <v>3.26</v>
      </c>
      <c r="K50" t="s">
        <v>3</v>
      </c>
      <c r="L50" s="28">
        <f>ROUND(((+L82+L83+L84+L85+L86-L87+L88-L91)/+L90),2)</f>
        <v>3.67</v>
      </c>
      <c r="M50" t="s">
        <v>3</v>
      </c>
      <c r="N50" s="29">
        <f t="shared" si="0"/>
        <v>3.4979999999999998</v>
      </c>
      <c r="O50" t="s">
        <v>3</v>
      </c>
    </row>
    <row r="52" spans="1:15" x14ac:dyDescent="0.4">
      <c r="A52" t="s">
        <v>4</v>
      </c>
    </row>
    <row r="53" spans="1:15" x14ac:dyDescent="0.4">
      <c r="D53" s="38"/>
      <c r="F53" s="38"/>
    </row>
    <row r="54" spans="1:15" x14ac:dyDescent="0.4">
      <c r="A54" s="19" t="s">
        <v>105</v>
      </c>
      <c r="B54" s="19"/>
      <c r="C54" s="19"/>
      <c r="D54" s="38"/>
      <c r="E54" s="20"/>
      <c r="F54" s="38"/>
      <c r="G54" s="20"/>
      <c r="H54" s="20"/>
      <c r="I54" s="20"/>
      <c r="J54" s="20"/>
      <c r="K54" s="20"/>
      <c r="L54" s="20"/>
      <c r="M54" s="20"/>
      <c r="N54" s="20"/>
    </row>
    <row r="55" spans="1:15" x14ac:dyDescent="0.4">
      <c r="A55" s="20"/>
      <c r="B55" s="20"/>
      <c r="C55" s="20"/>
      <c r="D55" s="21">
        <v>2020</v>
      </c>
      <c r="E55" s="19"/>
      <c r="F55" s="21">
        <v>2019</v>
      </c>
      <c r="G55" s="19"/>
      <c r="H55" s="21">
        <v>2018</v>
      </c>
      <c r="I55" s="19"/>
      <c r="J55" s="21">
        <v>2017</v>
      </c>
      <c r="K55" s="19"/>
      <c r="L55" s="21">
        <v>2016</v>
      </c>
      <c r="M55" s="19"/>
      <c r="N55" s="21">
        <v>2015</v>
      </c>
    </row>
    <row r="56" spans="1:15" x14ac:dyDescent="0.4">
      <c r="A56" s="20" t="s">
        <v>22</v>
      </c>
      <c r="B56" s="20"/>
      <c r="C56" s="20"/>
      <c r="D56" s="22">
        <v>773.67899999999997</v>
      </c>
      <c r="E56" s="22"/>
      <c r="F56" s="22">
        <v>746.37199999999996</v>
      </c>
      <c r="G56" s="22"/>
      <c r="H56" s="22">
        <v>706.14300000000003</v>
      </c>
      <c r="I56" s="22"/>
      <c r="J56" s="22">
        <v>781.24199999999996</v>
      </c>
      <c r="K56" s="22"/>
      <c r="L56" s="22">
        <v>693.07799999999997</v>
      </c>
      <c r="M56" s="22"/>
      <c r="N56" s="22">
        <v>741.82500000000005</v>
      </c>
    </row>
    <row r="57" spans="1:15" x14ac:dyDescent="0.4">
      <c r="A57" s="20" t="s">
        <v>23</v>
      </c>
      <c r="B57" s="20"/>
      <c r="C57" s="20"/>
      <c r="D57" s="22">
        <v>21.082000000000001</v>
      </c>
      <c r="E57" s="22"/>
      <c r="F57" s="22">
        <v>12.641999999999999</v>
      </c>
      <c r="G57" s="22"/>
      <c r="H57" s="22">
        <v>24.190999999999999</v>
      </c>
      <c r="I57" s="22"/>
      <c r="J57" s="22">
        <v>-30.757000000000001</v>
      </c>
      <c r="K57" s="22"/>
      <c r="L57" s="22">
        <v>40.713999999999999</v>
      </c>
      <c r="M57" s="22"/>
      <c r="N57" s="22">
        <v>35.753</v>
      </c>
    </row>
    <row r="58" spans="1:15" x14ac:dyDescent="0.4">
      <c r="A58" s="20" t="s">
        <v>24</v>
      </c>
      <c r="B58" s="20"/>
      <c r="C58" s="20"/>
      <c r="D58" s="22">
        <f>625.328+D57</f>
        <v>646.41</v>
      </c>
      <c r="E58" s="22"/>
      <c r="F58" s="22">
        <f>602.898+F57</f>
        <v>615.54000000000008</v>
      </c>
      <c r="G58" s="22"/>
      <c r="H58" s="22">
        <v>598.17200000000003</v>
      </c>
      <c r="I58" s="22"/>
      <c r="J58" s="22">
        <v>611.23400000000004</v>
      </c>
      <c r="K58" s="22"/>
      <c r="L58" s="22">
        <v>594.51199999999994</v>
      </c>
      <c r="M58" s="22"/>
      <c r="N58" s="22">
        <v>634.81700000000001</v>
      </c>
    </row>
    <row r="59" spans="1:15" x14ac:dyDescent="0.4">
      <c r="A59" s="20" t="s">
        <v>25</v>
      </c>
      <c r="B59" s="20"/>
      <c r="C59" s="20"/>
      <c r="D59" s="22">
        <v>0</v>
      </c>
      <c r="E59" s="22"/>
      <c r="F59" s="22">
        <v>0</v>
      </c>
      <c r="G59" s="22"/>
      <c r="H59" s="22">
        <v>0</v>
      </c>
      <c r="I59" s="22"/>
      <c r="J59" s="22">
        <v>0</v>
      </c>
      <c r="K59" s="22"/>
      <c r="L59" s="22">
        <v>0</v>
      </c>
      <c r="M59" s="22"/>
      <c r="N59" s="22">
        <v>0</v>
      </c>
    </row>
    <row r="60" spans="1:15" x14ac:dyDescent="0.4">
      <c r="A60" s="20" t="s">
        <v>26</v>
      </c>
      <c r="B60" s="20"/>
      <c r="C60" s="20"/>
      <c r="D60" s="22">
        <f>148.351-D57-13.944</f>
        <v>113.325</v>
      </c>
      <c r="E60" s="22"/>
      <c r="F60" s="22">
        <f>143.474-F57-22.836</f>
        <v>107.996</v>
      </c>
      <c r="G60" s="22"/>
      <c r="H60" s="22">
        <v>104.37</v>
      </c>
      <c r="I60" s="22"/>
      <c r="J60" s="22">
        <v>-17.122</v>
      </c>
      <c r="K60" s="22"/>
      <c r="L60" s="22">
        <v>98.022999999999996</v>
      </c>
      <c r="M60" s="22"/>
      <c r="N60" s="22">
        <v>96.242000000000004</v>
      </c>
    </row>
    <row r="61" spans="1:15" x14ac:dyDescent="0.4">
      <c r="A61" s="20" t="s">
        <v>27</v>
      </c>
      <c r="B61" s="20"/>
      <c r="C61" s="20"/>
      <c r="D61" s="22">
        <v>43.052</v>
      </c>
      <c r="E61" s="22"/>
      <c r="F61" s="22">
        <v>42.685000000000002</v>
      </c>
      <c r="G61" s="22"/>
      <c r="H61" s="22">
        <v>37.058999999999997</v>
      </c>
      <c r="I61" s="22"/>
      <c r="J61" s="22">
        <v>41.098999999999997</v>
      </c>
      <c r="K61" s="22"/>
      <c r="L61" s="22">
        <v>39.128</v>
      </c>
      <c r="M61" s="22"/>
      <c r="N61" s="22">
        <v>42.539000000000001</v>
      </c>
    </row>
    <row r="62" spans="1:15" x14ac:dyDescent="0.4">
      <c r="A62" s="20" t="s">
        <v>28</v>
      </c>
      <c r="B62" s="20"/>
      <c r="C62" s="20"/>
      <c r="D62" s="22"/>
      <c r="E62" s="22"/>
      <c r="F62" s="22"/>
      <c r="G62" s="22"/>
      <c r="H62" s="22"/>
      <c r="I62" s="22"/>
      <c r="J62" s="22">
        <v>5.298</v>
      </c>
      <c r="K62" s="22"/>
      <c r="L62" s="22"/>
      <c r="M62" s="22"/>
      <c r="N62" s="22"/>
    </row>
    <row r="63" spans="1:15" x14ac:dyDescent="0.4">
      <c r="A63" s="20" t="s">
        <v>29</v>
      </c>
      <c r="B63" s="20"/>
      <c r="C63" s="20"/>
      <c r="D63" s="22">
        <v>0</v>
      </c>
      <c r="E63" s="22"/>
      <c r="F63" s="22">
        <v>0</v>
      </c>
      <c r="G63" s="22"/>
      <c r="H63" s="22">
        <v>0</v>
      </c>
      <c r="I63" s="22"/>
      <c r="J63" s="22">
        <v>0</v>
      </c>
      <c r="K63" s="22"/>
      <c r="L63" s="22">
        <v>0</v>
      </c>
      <c r="M63" s="22"/>
      <c r="N63" s="22">
        <v>0</v>
      </c>
    </row>
    <row r="64" spans="1:15" x14ac:dyDescent="0.4">
      <c r="A64" s="20" t="s">
        <v>30</v>
      </c>
      <c r="B64" s="20"/>
      <c r="C64" s="20"/>
      <c r="D64" s="22">
        <v>0</v>
      </c>
      <c r="E64" s="22"/>
      <c r="F64" s="22">
        <v>0</v>
      </c>
      <c r="G64" s="22"/>
      <c r="H64" s="22">
        <v>0</v>
      </c>
      <c r="I64" s="22"/>
      <c r="J64" s="22">
        <v>0</v>
      </c>
      <c r="K64" s="22"/>
      <c r="L64" s="22">
        <v>0</v>
      </c>
      <c r="M64" s="22"/>
      <c r="N64" s="22">
        <v>0</v>
      </c>
    </row>
    <row r="65" spans="1:14" x14ac:dyDescent="0.4">
      <c r="A65" s="20" t="s">
        <v>31</v>
      </c>
      <c r="B65" s="20"/>
      <c r="C65" s="20"/>
      <c r="D65" s="22">
        <v>0</v>
      </c>
      <c r="E65" s="22"/>
      <c r="F65" s="22">
        <v>0</v>
      </c>
      <c r="G65" s="22"/>
      <c r="H65" s="22">
        <v>0</v>
      </c>
      <c r="I65" s="22"/>
      <c r="J65" s="22">
        <v>0</v>
      </c>
      <c r="K65" s="22"/>
      <c r="L65" s="22">
        <v>0</v>
      </c>
      <c r="M65" s="22"/>
      <c r="N65" s="22">
        <v>0</v>
      </c>
    </row>
    <row r="66" spans="1:14" x14ac:dyDescent="0.4">
      <c r="A66" s="20" t="s">
        <v>32</v>
      </c>
      <c r="B66" s="20"/>
      <c r="C66" s="20"/>
      <c r="D66" s="22">
        <v>70.272999999999996</v>
      </c>
      <c r="E66" s="22"/>
      <c r="F66" s="22">
        <v>65.311000000000007</v>
      </c>
      <c r="G66" s="22"/>
      <c r="H66" s="22">
        <v>67.311000000000007</v>
      </c>
      <c r="I66" s="22"/>
      <c r="J66" s="22">
        <v>-55.622999999999998</v>
      </c>
      <c r="K66" s="22"/>
      <c r="L66" s="22">
        <v>58.895000000000003</v>
      </c>
      <c r="M66" s="22"/>
      <c r="N66" s="22">
        <v>53.703000000000003</v>
      </c>
    </row>
    <row r="67" spans="1:14" x14ac:dyDescent="0.4">
      <c r="A67" s="20" t="s">
        <v>33</v>
      </c>
      <c r="B67" s="20"/>
      <c r="C67" s="20"/>
      <c r="D67" s="22">
        <v>2.2999999999999998</v>
      </c>
      <c r="E67" s="22"/>
      <c r="F67" s="22">
        <v>2.19</v>
      </c>
      <c r="G67" s="22"/>
      <c r="H67" s="22">
        <v>2.34</v>
      </c>
      <c r="I67" s="22"/>
      <c r="J67" s="22">
        <v>-1.94</v>
      </c>
      <c r="K67" s="22"/>
      <c r="L67" s="22">
        <v>2.13</v>
      </c>
      <c r="M67" s="22"/>
      <c r="N67" s="22">
        <v>1.96</v>
      </c>
    </row>
    <row r="68" spans="1:14" x14ac:dyDescent="0.4">
      <c r="A68" s="20" t="s">
        <v>34</v>
      </c>
      <c r="B68" s="20"/>
      <c r="C68" s="20"/>
      <c r="D68" s="22">
        <v>888.73299999999995</v>
      </c>
      <c r="E68" s="22"/>
      <c r="F68" s="22">
        <v>865.99900000000002</v>
      </c>
      <c r="G68" s="22"/>
      <c r="H68" s="22">
        <v>762.63400000000001</v>
      </c>
      <c r="I68" s="22"/>
      <c r="J68" s="22">
        <v>742.77599999999995</v>
      </c>
      <c r="K68" s="22"/>
      <c r="L68" s="22">
        <v>850.49699999999996</v>
      </c>
      <c r="M68" s="22"/>
      <c r="N68" s="22">
        <v>780.97199999999998</v>
      </c>
    </row>
    <row r="69" spans="1:14" x14ac:dyDescent="0.4">
      <c r="A69" s="20" t="s">
        <v>35</v>
      </c>
      <c r="B69" s="20"/>
      <c r="C69" s="20"/>
      <c r="D69" s="22">
        <v>0</v>
      </c>
      <c r="E69" s="22"/>
      <c r="F69" s="22">
        <v>0</v>
      </c>
      <c r="G69" s="22"/>
      <c r="H69" s="22">
        <v>0</v>
      </c>
      <c r="I69" s="22"/>
      <c r="J69" s="22">
        <v>0</v>
      </c>
      <c r="K69" s="22"/>
      <c r="L69" s="22">
        <v>0</v>
      </c>
      <c r="M69" s="22"/>
      <c r="N69" s="22">
        <v>0</v>
      </c>
    </row>
    <row r="70" spans="1:14" x14ac:dyDescent="0.4">
      <c r="A70" s="20" t="s">
        <v>36</v>
      </c>
      <c r="B70" s="20"/>
      <c r="C70" s="20"/>
      <c r="D70" s="22">
        <v>0</v>
      </c>
      <c r="E70" s="22"/>
      <c r="F70" s="22">
        <v>0</v>
      </c>
      <c r="G70" s="22"/>
      <c r="H70" s="22">
        <v>0</v>
      </c>
      <c r="I70" s="22"/>
      <c r="J70" s="22">
        <v>0</v>
      </c>
      <c r="K70" s="22"/>
      <c r="L70" s="22">
        <v>0</v>
      </c>
      <c r="M70" s="22"/>
      <c r="N70" s="22">
        <v>0</v>
      </c>
    </row>
    <row r="71" spans="1:14" x14ac:dyDescent="0.4">
      <c r="A71" s="20" t="s">
        <v>37</v>
      </c>
      <c r="B71" s="20"/>
      <c r="C71" s="20"/>
      <c r="D71" s="22">
        <v>0</v>
      </c>
      <c r="E71" s="22"/>
      <c r="F71" s="22">
        <v>0</v>
      </c>
      <c r="G71" s="22"/>
      <c r="H71" s="22">
        <v>0</v>
      </c>
      <c r="I71" s="22"/>
      <c r="J71" s="22">
        <v>0</v>
      </c>
      <c r="K71" s="22"/>
      <c r="L71" s="22">
        <v>0</v>
      </c>
      <c r="M71" s="22"/>
      <c r="N71" s="22">
        <v>0</v>
      </c>
    </row>
    <row r="72" spans="1:14" x14ac:dyDescent="0.4">
      <c r="A72" s="20" t="s">
        <v>38</v>
      </c>
      <c r="B72" s="20"/>
      <c r="C72" s="20"/>
      <c r="D72" s="22">
        <v>0</v>
      </c>
      <c r="E72" s="22"/>
      <c r="F72" s="22">
        <v>0</v>
      </c>
      <c r="G72" s="22"/>
      <c r="H72" s="22">
        <v>0</v>
      </c>
      <c r="I72" s="22"/>
      <c r="J72" s="22">
        <v>0</v>
      </c>
      <c r="K72" s="22"/>
      <c r="L72" s="22">
        <v>0</v>
      </c>
      <c r="M72" s="22"/>
      <c r="N72" s="22">
        <v>0</v>
      </c>
    </row>
    <row r="73" spans="1:14" x14ac:dyDescent="0.4">
      <c r="A73" s="20" t="s">
        <v>39</v>
      </c>
      <c r="B73" s="20"/>
      <c r="C73" s="20"/>
      <c r="D73" s="22">
        <v>0</v>
      </c>
      <c r="E73" s="22"/>
      <c r="F73" s="22">
        <v>0</v>
      </c>
      <c r="G73" s="22"/>
      <c r="H73" s="22">
        <v>0</v>
      </c>
      <c r="I73" s="22"/>
      <c r="J73" s="22">
        <v>0</v>
      </c>
      <c r="K73" s="22"/>
      <c r="L73" s="22">
        <v>0</v>
      </c>
      <c r="M73" s="22"/>
      <c r="N73" s="22">
        <v>0</v>
      </c>
    </row>
    <row r="74" spans="1:14" x14ac:dyDescent="0.4">
      <c r="A74" s="20" t="s">
        <v>40</v>
      </c>
      <c r="B74" s="20"/>
      <c r="C74" s="20"/>
      <c r="D74" s="22">
        <v>0</v>
      </c>
      <c r="E74" s="22"/>
      <c r="F74" s="22">
        <v>0</v>
      </c>
      <c r="G74" s="22"/>
      <c r="H74" s="22">
        <v>0</v>
      </c>
      <c r="I74" s="22"/>
      <c r="J74" s="22">
        <v>0</v>
      </c>
      <c r="K74" s="22"/>
      <c r="L74" s="22">
        <v>0</v>
      </c>
      <c r="M74" s="22"/>
      <c r="N74" s="22">
        <v>0</v>
      </c>
    </row>
    <row r="75" spans="1:14" x14ac:dyDescent="0.4">
      <c r="A75" s="20" t="s">
        <v>41</v>
      </c>
      <c r="B75" s="20"/>
      <c r="C75" s="20"/>
      <c r="D75" s="22">
        <v>0</v>
      </c>
      <c r="E75" s="22"/>
      <c r="F75" s="22">
        <v>0</v>
      </c>
      <c r="G75" s="22"/>
      <c r="H75" s="22">
        <v>0</v>
      </c>
      <c r="I75" s="22"/>
      <c r="J75" s="22">
        <v>0</v>
      </c>
      <c r="K75" s="22"/>
      <c r="L75" s="22">
        <v>0</v>
      </c>
      <c r="M75" s="22"/>
      <c r="N75" s="22">
        <v>0</v>
      </c>
    </row>
    <row r="76" spans="1:14" x14ac:dyDescent="0.4">
      <c r="A76" s="20" t="s">
        <v>42</v>
      </c>
      <c r="B76" s="20"/>
      <c r="C76" s="20"/>
      <c r="D76" s="22">
        <v>860.08100000000002</v>
      </c>
      <c r="E76" s="22"/>
      <c r="F76" s="22">
        <v>805.95500000000004</v>
      </c>
      <c r="G76" s="22"/>
      <c r="H76" s="22">
        <v>706.24699999999996</v>
      </c>
      <c r="I76" s="22"/>
      <c r="J76" s="22">
        <v>683.18399999999997</v>
      </c>
      <c r="K76" s="22"/>
      <c r="L76" s="22">
        <v>679.33399999999995</v>
      </c>
      <c r="M76" s="22"/>
      <c r="N76" s="22">
        <v>576.70000000000005</v>
      </c>
    </row>
    <row r="77" spans="1:14" x14ac:dyDescent="0.4">
      <c r="A77" s="20" t="s">
        <v>43</v>
      </c>
      <c r="B77" s="20"/>
      <c r="C77" s="20"/>
      <c r="D77" s="22">
        <v>0</v>
      </c>
      <c r="E77" s="22"/>
      <c r="F77" s="22">
        <v>0</v>
      </c>
      <c r="G77" s="22"/>
      <c r="H77" s="22">
        <v>0</v>
      </c>
      <c r="I77" s="22"/>
      <c r="J77" s="22">
        <v>0</v>
      </c>
      <c r="K77" s="22"/>
      <c r="L77" s="22">
        <v>0</v>
      </c>
      <c r="M77" s="22"/>
      <c r="N77" s="22">
        <v>0</v>
      </c>
    </row>
    <row r="78" spans="1:14" x14ac:dyDescent="0.4">
      <c r="A78" s="20" t="s">
        <v>44</v>
      </c>
      <c r="B78" s="20"/>
      <c r="C78" s="20"/>
      <c r="D78" s="22">
        <f>SUM(D68:D77)</f>
        <v>1748.8139999999999</v>
      </c>
      <c r="E78" s="22"/>
      <c r="F78" s="22">
        <f>SUM(F68:F77)</f>
        <v>1671.9540000000002</v>
      </c>
      <c r="G78" s="22"/>
      <c r="H78" s="22">
        <v>1468.8810000000001</v>
      </c>
      <c r="I78" s="22"/>
      <c r="J78" s="22">
        <v>1425.96</v>
      </c>
      <c r="K78" s="22"/>
      <c r="L78" s="22">
        <v>1529.8309999999999</v>
      </c>
      <c r="M78" s="22"/>
      <c r="N78" s="22">
        <v>1357.672</v>
      </c>
    </row>
    <row r="79" spans="1:14" x14ac:dyDescent="0.4">
      <c r="A79" s="20" t="s">
        <v>45</v>
      </c>
      <c r="B79" s="20"/>
      <c r="C79" s="20"/>
      <c r="D79" s="22">
        <v>95.343999999999994</v>
      </c>
      <c r="E79" s="22"/>
      <c r="F79" s="22">
        <v>75.108999999999995</v>
      </c>
      <c r="G79" s="22"/>
      <c r="H79" s="22">
        <v>29.989000000000001</v>
      </c>
      <c r="I79" s="22"/>
      <c r="J79" s="22">
        <v>96.703000000000003</v>
      </c>
      <c r="K79" s="22"/>
      <c r="L79" s="22">
        <v>39.988999999999997</v>
      </c>
      <c r="M79" s="22"/>
      <c r="N79" s="22">
        <v>25</v>
      </c>
    </row>
    <row r="80" spans="1:14" x14ac:dyDescent="0.4">
      <c r="A80" s="20" t="s">
        <v>46</v>
      </c>
      <c r="B80" s="20"/>
      <c r="C80" s="20"/>
      <c r="D80" s="22">
        <v>304.52499999999998</v>
      </c>
      <c r="E80" s="22"/>
      <c r="F80" s="22">
        <v>149.1</v>
      </c>
      <c r="G80" s="22"/>
      <c r="H80" s="22">
        <v>217.62</v>
      </c>
      <c r="I80" s="22"/>
      <c r="J80" s="22">
        <v>54.2</v>
      </c>
      <c r="K80" s="22"/>
      <c r="L80" s="22">
        <v>53.3</v>
      </c>
      <c r="M80" s="22"/>
      <c r="N80" s="22">
        <v>270.03500000000003</v>
      </c>
    </row>
    <row r="81" spans="1:14" x14ac:dyDescent="0.4">
      <c r="A81" s="20" t="s">
        <v>47</v>
      </c>
      <c r="B81" s="20"/>
      <c r="C81" s="20"/>
      <c r="D81" s="22">
        <v>0</v>
      </c>
      <c r="E81" s="22"/>
      <c r="F81" s="22">
        <v>0</v>
      </c>
      <c r="G81" s="22"/>
      <c r="H81" s="22">
        <v>0</v>
      </c>
      <c r="I81" s="22"/>
      <c r="J81" s="22">
        <v>0</v>
      </c>
      <c r="K81" s="22"/>
      <c r="L81" s="22">
        <v>0</v>
      </c>
      <c r="M81" s="22"/>
      <c r="N81" s="22">
        <v>0</v>
      </c>
    </row>
    <row r="82" spans="1:14" x14ac:dyDescent="0.4">
      <c r="A82" s="20" t="s">
        <v>48</v>
      </c>
      <c r="B82" s="20"/>
      <c r="C82" s="20"/>
      <c r="D82" s="22">
        <v>76.781000000000006</v>
      </c>
      <c r="E82" s="22"/>
      <c r="F82" s="22">
        <v>61.734999999999999</v>
      </c>
      <c r="G82" s="22"/>
      <c r="H82" s="22">
        <v>67.311000000000007</v>
      </c>
      <c r="I82" s="22"/>
      <c r="J82" s="22">
        <v>-55.622999999999998</v>
      </c>
      <c r="K82" s="22"/>
      <c r="L82" s="22">
        <v>58.895000000000003</v>
      </c>
      <c r="M82" s="22"/>
      <c r="N82" s="22">
        <v>53.703000000000003</v>
      </c>
    </row>
    <row r="83" spans="1:14" x14ac:dyDescent="0.4">
      <c r="A83" s="20" t="s">
        <v>49</v>
      </c>
      <c r="B83" s="20"/>
      <c r="C83" s="20"/>
      <c r="D83" s="22">
        <v>103.68300000000001</v>
      </c>
      <c r="E83" s="22"/>
      <c r="F83" s="22">
        <v>91.495999999999995</v>
      </c>
      <c r="G83" s="22"/>
      <c r="H83" s="22">
        <v>85.156000000000006</v>
      </c>
      <c r="I83" s="22"/>
      <c r="J83" s="22">
        <v>85.578000000000003</v>
      </c>
      <c r="K83" s="22"/>
      <c r="L83" s="22">
        <v>82.289000000000001</v>
      </c>
      <c r="M83" s="22"/>
      <c r="N83" s="22">
        <v>80.923000000000002</v>
      </c>
    </row>
    <row r="84" spans="1:14" x14ac:dyDescent="0.4">
      <c r="A84" s="20" t="s">
        <v>50</v>
      </c>
      <c r="B84" s="20"/>
      <c r="C84" s="20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x14ac:dyDescent="0.4">
      <c r="A85" s="20" t="s">
        <v>51</v>
      </c>
      <c r="B85" s="20"/>
      <c r="C85" s="20"/>
      <c r="D85" s="22">
        <v>18.667000000000002</v>
      </c>
      <c r="E85" s="22"/>
      <c r="F85" s="22">
        <v>6.3170000000000002</v>
      </c>
      <c r="G85" s="22"/>
      <c r="H85" s="22">
        <v>14.356</v>
      </c>
      <c r="I85" s="22"/>
      <c r="J85" s="22">
        <v>-52.414000000000001</v>
      </c>
      <c r="K85" s="22"/>
      <c r="L85" s="22">
        <v>32.055999999999997</v>
      </c>
      <c r="M85" s="22"/>
      <c r="N85" s="22">
        <v>26.972000000000001</v>
      </c>
    </row>
    <row r="86" spans="1:14" x14ac:dyDescent="0.4">
      <c r="A86" s="20" t="s">
        <v>52</v>
      </c>
      <c r="B86" s="20"/>
      <c r="C86" s="20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 x14ac:dyDescent="0.4">
      <c r="A87" s="20" t="s">
        <v>53</v>
      </c>
      <c r="B87" s="20"/>
      <c r="C87" s="20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 x14ac:dyDescent="0.4">
      <c r="A88" s="20" t="s">
        <v>69</v>
      </c>
      <c r="B88" s="20"/>
      <c r="C88" s="20"/>
      <c r="D88" s="22">
        <f>17.779+18.37-28.98-27.871+9.691-5.902-6.942</f>
        <v>-23.854999999999997</v>
      </c>
      <c r="E88" s="22"/>
      <c r="F88" s="22">
        <f>19.172+16.497-10.97-16.226+12.337+0.853+10.5+13.907</f>
        <v>46.069999999999993</v>
      </c>
      <c r="G88" s="22"/>
      <c r="H88" s="22">
        <v>15.375999999999999</v>
      </c>
      <c r="I88" s="22"/>
      <c r="J88" s="22">
        <v>198.46700000000001</v>
      </c>
      <c r="K88" s="22"/>
      <c r="L88" s="22">
        <v>15.67</v>
      </c>
      <c r="M88" s="22"/>
      <c r="N88" s="22">
        <v>15.9</v>
      </c>
    </row>
    <row r="89" spans="1:14" x14ac:dyDescent="0.4">
      <c r="A89" s="20" t="s">
        <v>54</v>
      </c>
      <c r="B89" s="20"/>
      <c r="C89" s="20"/>
      <c r="D89" s="22">
        <v>273.01600000000002</v>
      </c>
      <c r="E89" s="22"/>
      <c r="F89" s="22">
        <v>223.471</v>
      </c>
      <c r="G89" s="22"/>
      <c r="H89" s="22">
        <v>214.636</v>
      </c>
      <c r="I89" s="22"/>
      <c r="J89" s="22">
        <v>213.595</v>
      </c>
      <c r="K89" s="22"/>
      <c r="L89" s="22">
        <v>139.511</v>
      </c>
      <c r="M89" s="22"/>
      <c r="N89" s="22">
        <v>118.32</v>
      </c>
    </row>
    <row r="90" spans="1:14" x14ac:dyDescent="0.4">
      <c r="A90" s="20" t="s">
        <v>55</v>
      </c>
      <c r="B90" s="20"/>
      <c r="C90" s="20"/>
      <c r="D90" s="22">
        <v>55.42</v>
      </c>
      <c r="E90" s="22"/>
      <c r="F90" s="22">
        <v>53.338999999999999</v>
      </c>
      <c r="G90" s="22"/>
      <c r="H90" s="22">
        <v>51.311</v>
      </c>
      <c r="I90" s="22"/>
      <c r="J90" s="22">
        <v>53.957000000000001</v>
      </c>
      <c r="K90" s="22"/>
      <c r="L90" s="22">
        <v>51.508000000000003</v>
      </c>
      <c r="M90" s="22"/>
      <c r="N90" s="22">
        <v>49.243000000000002</v>
      </c>
    </row>
    <row r="91" spans="1:14" x14ac:dyDescent="0.4">
      <c r="A91" s="20" t="s">
        <v>56</v>
      </c>
      <c r="B91" s="20"/>
      <c r="C91" s="20"/>
      <c r="D91" s="22">
        <v>0</v>
      </c>
      <c r="E91" s="22"/>
      <c r="F91" s="22">
        <v>0</v>
      </c>
      <c r="G91" s="22"/>
      <c r="H91" s="22">
        <v>0</v>
      </c>
      <c r="I91" s="22"/>
      <c r="J91" s="22">
        <v>0</v>
      </c>
      <c r="K91" s="22"/>
      <c r="L91" s="22">
        <v>0</v>
      </c>
      <c r="M91" s="22"/>
      <c r="N91" s="22">
        <v>0</v>
      </c>
    </row>
    <row r="92" spans="1:14" x14ac:dyDescent="0.4">
      <c r="A92" s="20" t="s">
        <v>57</v>
      </c>
      <c r="B92" s="20"/>
      <c r="C92" s="20"/>
      <c r="D92" s="22">
        <v>42.651000000000003</v>
      </c>
      <c r="E92" s="22"/>
      <c r="F92" s="22">
        <v>41.231000000000002</v>
      </c>
      <c r="G92" s="22"/>
      <c r="H92" s="22">
        <v>35.323999999999998</v>
      </c>
      <c r="I92" s="22"/>
      <c r="J92" s="22">
        <v>34.786999999999999</v>
      </c>
      <c r="K92" s="22"/>
      <c r="L92" s="22">
        <v>36.023000000000003</v>
      </c>
      <c r="M92" s="22"/>
      <c r="N92" s="22">
        <v>39.634</v>
      </c>
    </row>
    <row r="93" spans="1:14" x14ac:dyDescent="0.4">
      <c r="A93" s="20" t="s">
        <v>58</v>
      </c>
      <c r="B93" s="20"/>
      <c r="C93" s="20"/>
      <c r="D93" s="22">
        <v>13.644</v>
      </c>
      <c r="E93" s="22"/>
      <c r="F93" s="22">
        <v>-9.6000000000000002E-2</v>
      </c>
      <c r="G93" s="22"/>
      <c r="H93" s="22">
        <v>27.37</v>
      </c>
      <c r="I93" s="22"/>
      <c r="J93" s="22">
        <v>14.78</v>
      </c>
      <c r="K93" s="22"/>
      <c r="L93" s="22">
        <v>-7.157</v>
      </c>
      <c r="M93" s="22"/>
      <c r="N93" s="22">
        <v>17.306000000000001</v>
      </c>
    </row>
    <row r="94" spans="1:14" x14ac:dyDescent="0.4">
      <c r="A94" s="20" t="s">
        <v>67</v>
      </c>
      <c r="B94" s="20"/>
      <c r="C94" s="20"/>
      <c r="D94" s="22">
        <v>1</v>
      </c>
      <c r="E94" s="22"/>
      <c r="F94" s="22">
        <v>1</v>
      </c>
      <c r="G94" s="22"/>
      <c r="H94" s="22">
        <v>1</v>
      </c>
      <c r="I94" s="22"/>
      <c r="J94" s="22">
        <v>1</v>
      </c>
      <c r="K94" s="22"/>
      <c r="L94" s="22">
        <v>1</v>
      </c>
      <c r="M94" s="22"/>
      <c r="N94" s="22">
        <v>1</v>
      </c>
    </row>
    <row r="95" spans="1:14" x14ac:dyDescent="0.4">
      <c r="A95" s="20" t="s">
        <v>68</v>
      </c>
      <c r="B95" s="20"/>
      <c r="C95" s="20"/>
      <c r="D95" s="22">
        <v>1</v>
      </c>
      <c r="E95" s="22"/>
      <c r="F95" s="22">
        <v>1</v>
      </c>
      <c r="G95" s="22"/>
      <c r="H95" s="22">
        <v>1</v>
      </c>
      <c r="I95" s="22"/>
      <c r="J95" s="22">
        <v>1</v>
      </c>
      <c r="K95" s="22"/>
      <c r="L95" s="22">
        <v>1</v>
      </c>
      <c r="M95" s="22"/>
      <c r="N95" s="22">
        <v>1</v>
      </c>
    </row>
    <row r="96" spans="1:14" x14ac:dyDescent="0.4">
      <c r="A96" s="20" t="s">
        <v>59</v>
      </c>
      <c r="B96" s="20"/>
      <c r="C96" s="20"/>
      <c r="D96" s="22">
        <v>58.707999999999998</v>
      </c>
      <c r="E96" s="22"/>
      <c r="F96" s="22">
        <v>56.832999999999998</v>
      </c>
      <c r="G96" s="22"/>
      <c r="H96" s="22">
        <v>54.735999999999997</v>
      </c>
      <c r="I96" s="22"/>
      <c r="J96" s="22">
        <v>54.289000000000001</v>
      </c>
      <c r="K96" s="22"/>
      <c r="L96" s="22">
        <v>51.624000000000002</v>
      </c>
      <c r="M96" s="22"/>
      <c r="N96" s="22">
        <v>50.993000000000002</v>
      </c>
    </row>
    <row r="97" spans="1:14" x14ac:dyDescent="0.4">
      <c r="A97" s="20" t="s">
        <v>60</v>
      </c>
      <c r="B97" s="20"/>
      <c r="C97" s="20"/>
      <c r="D97" s="22">
        <v>1.91</v>
      </c>
      <c r="E97" s="22"/>
      <c r="F97" s="22">
        <v>1.9</v>
      </c>
      <c r="G97" s="22"/>
      <c r="H97" s="22">
        <v>1.893</v>
      </c>
      <c r="I97" s="22"/>
      <c r="J97" s="22">
        <v>1.883</v>
      </c>
      <c r="K97" s="22"/>
      <c r="L97" s="22">
        <v>1.873</v>
      </c>
      <c r="M97" s="22"/>
      <c r="N97" s="22">
        <v>1.863</v>
      </c>
    </row>
    <row r="98" spans="1:14" x14ac:dyDescent="0.4">
      <c r="A98" s="20" t="s">
        <v>61</v>
      </c>
      <c r="B98" s="20"/>
      <c r="C98" s="20"/>
      <c r="D98" s="22">
        <v>1.91</v>
      </c>
      <c r="E98" s="22"/>
      <c r="F98" s="22">
        <v>1.9</v>
      </c>
      <c r="G98" s="22"/>
      <c r="H98" s="22">
        <v>1.893</v>
      </c>
      <c r="I98" s="22"/>
      <c r="J98" s="22">
        <v>1.883</v>
      </c>
      <c r="K98" s="22"/>
      <c r="L98" s="22">
        <v>1.873</v>
      </c>
      <c r="M98" s="22"/>
      <c r="N98" s="22">
        <v>1.863</v>
      </c>
    </row>
    <row r="99" spans="1:14" x14ac:dyDescent="0.4">
      <c r="A99" s="20" t="s">
        <v>62</v>
      </c>
      <c r="B99" s="20"/>
      <c r="C99" s="20"/>
      <c r="D99" s="22">
        <v>77.260000000000005</v>
      </c>
      <c r="E99" s="22"/>
      <c r="F99" s="22">
        <v>74.13</v>
      </c>
      <c r="G99" s="22"/>
      <c r="H99" s="22">
        <v>71.81</v>
      </c>
      <c r="I99" s="22"/>
      <c r="J99" s="22">
        <v>69.5</v>
      </c>
      <c r="K99" s="22"/>
      <c r="L99" s="22">
        <v>66.17</v>
      </c>
      <c r="M99" s="22"/>
      <c r="N99" s="22">
        <v>52.25</v>
      </c>
    </row>
    <row r="100" spans="1:14" x14ac:dyDescent="0.4">
      <c r="A100" s="20" t="s">
        <v>63</v>
      </c>
      <c r="B100" s="20"/>
      <c r="C100" s="20"/>
      <c r="D100" s="22">
        <v>42.33</v>
      </c>
      <c r="E100" s="22"/>
      <c r="F100" s="22">
        <v>57.2</v>
      </c>
      <c r="G100" s="22"/>
      <c r="H100" s="22">
        <v>51.5</v>
      </c>
      <c r="I100" s="22"/>
      <c r="J100" s="22">
        <v>56.534999999999997</v>
      </c>
      <c r="K100" s="22"/>
      <c r="L100" s="22">
        <v>48.9</v>
      </c>
      <c r="M100" s="22"/>
      <c r="N100" s="22">
        <v>42</v>
      </c>
    </row>
    <row r="101" spans="1:14" x14ac:dyDescent="0.4">
      <c r="A101" s="20" t="s">
        <v>64</v>
      </c>
      <c r="B101" s="20"/>
      <c r="C101" s="20"/>
      <c r="D101" s="38">
        <v>45.99</v>
      </c>
      <c r="E101" s="22"/>
      <c r="F101" s="22">
        <v>73.73</v>
      </c>
      <c r="G101" s="22"/>
      <c r="H101" s="22">
        <v>60.46</v>
      </c>
      <c r="I101" s="22"/>
      <c r="J101" s="22">
        <v>59.65</v>
      </c>
      <c r="K101" s="22"/>
      <c r="L101" s="22">
        <v>59.8</v>
      </c>
      <c r="M101" s="22"/>
      <c r="N101" s="22">
        <v>50.61</v>
      </c>
    </row>
    <row r="102" spans="1:14" x14ac:dyDescent="0.4">
      <c r="A102" s="20" t="s">
        <v>65</v>
      </c>
      <c r="B102" s="20"/>
      <c r="C102" s="20"/>
      <c r="D102" s="22">
        <v>30.588999999999999</v>
      </c>
      <c r="E102" s="22"/>
      <c r="F102" s="22">
        <v>30.472000000000001</v>
      </c>
      <c r="G102" s="22"/>
      <c r="H102" s="22">
        <v>28.88</v>
      </c>
      <c r="I102" s="22"/>
      <c r="J102" s="22">
        <v>28.736000000000001</v>
      </c>
      <c r="K102" s="22"/>
      <c r="L102" s="22">
        <v>28.63</v>
      </c>
      <c r="M102" s="22"/>
      <c r="N102" s="22">
        <v>27.427</v>
      </c>
    </row>
    <row r="103" spans="1:14" x14ac:dyDescent="0.4">
      <c r="A103" s="20" t="s">
        <v>77</v>
      </c>
      <c r="B103" s="20"/>
      <c r="C103" s="20"/>
      <c r="D103" s="22">
        <v>-12.901999999999999</v>
      </c>
      <c r="E103" s="22"/>
      <c r="F103" s="22">
        <v>-10.733000000000001</v>
      </c>
      <c r="G103" s="22"/>
      <c r="H103" s="22">
        <v>-7.1879999999999997</v>
      </c>
      <c r="I103" s="22"/>
      <c r="J103" s="22">
        <v>-8.4380000000000006</v>
      </c>
      <c r="K103" s="22"/>
      <c r="L103" s="22">
        <v>-6.9509999999999996</v>
      </c>
      <c r="M103" s="22"/>
      <c r="N103" s="22">
        <v>-7.165</v>
      </c>
    </row>
    <row r="104" spans="1:14" x14ac:dyDescent="0.4">
      <c r="A104" t="s">
        <v>71</v>
      </c>
    </row>
    <row r="105" spans="1:14" x14ac:dyDescent="0.4">
      <c r="B105" t="s">
        <v>70</v>
      </c>
      <c r="D105" s="15">
        <f>D67/D94</f>
        <v>2.2999999999999998</v>
      </c>
      <c r="F105" s="15">
        <f>F67/F94</f>
        <v>2.19</v>
      </c>
      <c r="H105" s="15">
        <f>H67/H94</f>
        <v>2.34</v>
      </c>
      <c r="J105" s="15">
        <f>J67/J94</f>
        <v>-1.94</v>
      </c>
      <c r="L105" s="15">
        <f>L67/L94</f>
        <v>2.13</v>
      </c>
      <c r="N105" s="15">
        <f>N67/N94</f>
        <v>1.96</v>
      </c>
    </row>
    <row r="106" spans="1:14" x14ac:dyDescent="0.4">
      <c r="B106" t="s">
        <v>60</v>
      </c>
      <c r="D106" s="15">
        <f>D97/D94</f>
        <v>1.91</v>
      </c>
      <c r="F106" s="15">
        <f>F97/F94</f>
        <v>1.9</v>
      </c>
      <c r="H106" s="15">
        <f>H97/H94</f>
        <v>1.893</v>
      </c>
      <c r="J106" s="15">
        <f>J97/J94</f>
        <v>1.883</v>
      </c>
      <c r="L106" s="15">
        <f>L97/L94</f>
        <v>1.873</v>
      </c>
      <c r="N106" s="15">
        <f>N97/N94</f>
        <v>1.863</v>
      </c>
    </row>
    <row r="107" spans="1:14" x14ac:dyDescent="0.4">
      <c r="B107" t="s">
        <v>61</v>
      </c>
      <c r="D107" s="15">
        <f>D98/D94</f>
        <v>1.91</v>
      </c>
      <c r="F107" s="15">
        <f>F98/F94</f>
        <v>1.9</v>
      </c>
      <c r="H107" s="15">
        <f>H98/H94</f>
        <v>1.893</v>
      </c>
      <c r="J107" s="15">
        <f>J98/J94</f>
        <v>1.883</v>
      </c>
      <c r="L107" s="15">
        <f>L98/L94</f>
        <v>1.873</v>
      </c>
      <c r="N107" s="15">
        <f>N98/N94</f>
        <v>1.863</v>
      </c>
    </row>
    <row r="108" spans="1:14" x14ac:dyDescent="0.4">
      <c r="B108" t="s">
        <v>62</v>
      </c>
      <c r="D108" s="15">
        <f>D99/D94</f>
        <v>77.260000000000005</v>
      </c>
      <c r="F108" s="15">
        <f>F99/F94</f>
        <v>74.13</v>
      </c>
      <c r="H108" s="15">
        <f>H99/H94</f>
        <v>71.81</v>
      </c>
      <c r="J108" s="15">
        <f>J99/J94</f>
        <v>69.5</v>
      </c>
      <c r="L108" s="15">
        <f>L99/L94</f>
        <v>66.17</v>
      </c>
      <c r="N108" s="15">
        <f>N99/N94</f>
        <v>52.25</v>
      </c>
    </row>
    <row r="109" spans="1:14" x14ac:dyDescent="0.4">
      <c r="B109" t="s">
        <v>63</v>
      </c>
      <c r="D109" s="15">
        <f>D100/D94</f>
        <v>42.33</v>
      </c>
      <c r="F109" s="15">
        <f>F100/F94</f>
        <v>57.2</v>
      </c>
      <c r="H109" s="15">
        <f>H100/H94</f>
        <v>51.5</v>
      </c>
      <c r="J109" s="15">
        <f>J100/J94</f>
        <v>56.534999999999997</v>
      </c>
      <c r="L109" s="15">
        <f>L100/L94</f>
        <v>48.9</v>
      </c>
      <c r="N109" s="15">
        <f>N100/N94</f>
        <v>42</v>
      </c>
    </row>
    <row r="110" spans="1:14" x14ac:dyDescent="0.4">
      <c r="B110" t="s">
        <v>64</v>
      </c>
      <c r="D110" s="15">
        <f>D101/D94</f>
        <v>45.99</v>
      </c>
      <c r="F110" s="15">
        <f>F101/F94</f>
        <v>73.73</v>
      </c>
      <c r="H110" s="15">
        <f>H101/H94</f>
        <v>60.46</v>
      </c>
      <c r="J110" s="15">
        <f>J101/J94</f>
        <v>59.65</v>
      </c>
      <c r="L110" s="15">
        <f>L101/L94</f>
        <v>59.8</v>
      </c>
      <c r="N110" s="15">
        <f>N101/N94</f>
        <v>50.61</v>
      </c>
    </row>
    <row r="111" spans="1:14" x14ac:dyDescent="0.4">
      <c r="B111" t="s">
        <v>65</v>
      </c>
      <c r="D111" s="16">
        <f>D102*D94</f>
        <v>30.588999999999999</v>
      </c>
      <c r="E111" s="16"/>
      <c r="F111" s="16">
        <f>F102*F94</f>
        <v>30.472000000000001</v>
      </c>
      <c r="G111" s="16"/>
      <c r="H111" s="16">
        <f>H102*H94</f>
        <v>28.88</v>
      </c>
      <c r="I111" s="16"/>
      <c r="J111" s="16">
        <f>J102*J94</f>
        <v>28.736000000000001</v>
      </c>
      <c r="K111" s="16"/>
      <c r="L111" s="16">
        <f>L102*L94</f>
        <v>28.63</v>
      </c>
      <c r="M111" s="16"/>
      <c r="N111" s="16">
        <f>N102*N94</f>
        <v>27.427</v>
      </c>
    </row>
    <row r="112" spans="1:14" x14ac:dyDescent="0.4">
      <c r="B112" t="s">
        <v>66</v>
      </c>
      <c r="D112" s="15">
        <f>ROUND(D68/D111,2)</f>
        <v>29.05</v>
      </c>
      <c r="F112" s="15">
        <f>ROUND(F68/F111,2)</f>
        <v>28.42</v>
      </c>
      <c r="H112" s="15">
        <f>ROUND(H68/H111,2)</f>
        <v>26.41</v>
      </c>
      <c r="J112" s="15">
        <f>ROUND(J68/J111,2)</f>
        <v>25.85</v>
      </c>
      <c r="L112" s="15">
        <f>ROUND(L68/L111,2)</f>
        <v>29.71</v>
      </c>
      <c r="N112" s="15">
        <f>ROUND(N68/N111,2)</f>
        <v>28.47</v>
      </c>
    </row>
  </sheetData>
  <mergeCells count="4">
    <mergeCell ref="D6:L6"/>
    <mergeCell ref="A1:O1"/>
    <mergeCell ref="A2:O2"/>
    <mergeCell ref="A3:O3"/>
  </mergeCells>
  <phoneticPr fontId="0" type="noConversion"/>
  <pageMargins left="1.25" right="0" top="1.5" bottom="1" header="0.5" footer="0.5"/>
  <pageSetup scale="60" orientation="portrait" r:id="rId1"/>
  <headerFooter alignWithMargins="0"/>
  <rowBreaks count="1" manualBreakCount="1"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6"/>
  <dimension ref="A1:R112"/>
  <sheetViews>
    <sheetView zoomScale="85" zoomScaleNormal="85" workbookViewId="0">
      <selection sqref="A1:O1"/>
    </sheetView>
  </sheetViews>
  <sheetFormatPr defaultRowHeight="15" x14ac:dyDescent="0.4"/>
  <cols>
    <col min="1" max="1" width="2.6640625" customWidth="1"/>
    <col min="2" max="2" width="24.71875" customWidth="1"/>
    <col min="4" max="4" width="10.21875" customWidth="1"/>
    <col min="5" max="5" width="3.71875" customWidth="1"/>
    <col min="6" max="6" width="10.21875" customWidth="1"/>
    <col min="7" max="7" width="3.71875" customWidth="1"/>
    <col min="8" max="8" width="10.21875" customWidth="1"/>
    <col min="9" max="9" width="3.71875" customWidth="1"/>
    <col min="10" max="10" width="10.21875" customWidth="1"/>
    <col min="11" max="11" width="3.71875" customWidth="1"/>
    <col min="12" max="12" width="10.21875" customWidth="1"/>
    <col min="13" max="13" width="3.71875" customWidth="1"/>
    <col min="14" max="14" width="8.71875" customWidth="1"/>
    <col min="15" max="15" width="2.71875" customWidth="1"/>
  </cols>
  <sheetData>
    <row r="1" spans="1:15" x14ac:dyDescent="0.4">
      <c r="A1" s="46" t="str">
        <f>A54</f>
        <v>ONE GAS INC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x14ac:dyDescent="0.4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x14ac:dyDescent="0.4">
      <c r="A3" s="42" t="str">
        <f>'Page 1'!A3:N3</f>
        <v>2016-2020, Inclusive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5" spans="1:15" s="1" customFormat="1" x14ac:dyDescent="0.4">
      <c r="D5" s="2">
        <f>D55</f>
        <v>2020</v>
      </c>
      <c r="F5" s="2">
        <f>F55</f>
        <v>2019</v>
      </c>
      <c r="H5" s="2">
        <f>H55</f>
        <v>2018</v>
      </c>
      <c r="J5" s="2">
        <f>J55</f>
        <v>2017</v>
      </c>
      <c r="L5" s="2">
        <f>L55</f>
        <v>2016</v>
      </c>
    </row>
    <row r="6" spans="1:15" s="1" customFormat="1" x14ac:dyDescent="0.4">
      <c r="D6" s="45" t="s">
        <v>18</v>
      </c>
      <c r="E6" s="45"/>
      <c r="F6" s="45"/>
      <c r="G6" s="45"/>
      <c r="H6" s="45"/>
      <c r="I6" s="45"/>
      <c r="J6" s="45"/>
      <c r="K6" s="45"/>
      <c r="L6" s="45"/>
    </row>
    <row r="7" spans="1:15" x14ac:dyDescent="0.4">
      <c r="A7" t="s">
        <v>1</v>
      </c>
    </row>
    <row r="8" spans="1:15" x14ac:dyDescent="0.4">
      <c r="B8" t="s">
        <v>6</v>
      </c>
      <c r="D8" s="37">
        <f>D78+D79+D81-D103</f>
        <v>3823.5160000000005</v>
      </c>
      <c r="F8" s="37">
        <f>F78+F79+F81-F103</f>
        <v>3422.1929999999998</v>
      </c>
      <c r="H8" s="37">
        <f>H78+H79+H81-H103</f>
        <v>3332.2249999999999</v>
      </c>
      <c r="J8" s="37">
        <f>J78+J79+J81-J103</f>
        <v>3158.9589999999998</v>
      </c>
      <c r="L8" s="37">
        <f>L78+L79+L81-L103</f>
        <v>3085.4480000000003</v>
      </c>
    </row>
    <row r="9" spans="1:15" x14ac:dyDescent="0.4">
      <c r="B9" t="s">
        <v>5</v>
      </c>
      <c r="D9" s="11">
        <f>D80</f>
        <v>418.22500000000002</v>
      </c>
      <c r="F9" s="11">
        <f>F80</f>
        <v>516.5</v>
      </c>
      <c r="H9" s="11">
        <f>H80</f>
        <v>299.5</v>
      </c>
      <c r="J9" s="11">
        <f>J80</f>
        <v>357.21499999999997</v>
      </c>
      <c r="L9" s="11">
        <f>L80</f>
        <v>145</v>
      </c>
    </row>
    <row r="10" spans="1:15" ht="15.4" thickBot="1" x14ac:dyDescent="0.45">
      <c r="B10" t="s">
        <v>7</v>
      </c>
      <c r="D10" s="12">
        <f>D8+D9</f>
        <v>4241.7410000000009</v>
      </c>
      <c r="F10" s="12">
        <f>F8+F9</f>
        <v>3938.6929999999998</v>
      </c>
      <c r="H10" s="12">
        <f>H8+H9</f>
        <v>3631.7249999999999</v>
      </c>
      <c r="J10" s="12">
        <f>J8+J9</f>
        <v>3516.174</v>
      </c>
      <c r="L10" s="12">
        <f>L8+L9</f>
        <v>3230.4480000000003</v>
      </c>
    </row>
    <row r="11" spans="1:15" ht="15.4" thickTop="1" x14ac:dyDescent="0.4"/>
    <row r="12" spans="1:15" x14ac:dyDescent="0.4">
      <c r="A12" t="s">
        <v>8</v>
      </c>
      <c r="N12" s="2" t="s">
        <v>19</v>
      </c>
    </row>
    <row r="13" spans="1:15" x14ac:dyDescent="0.4">
      <c r="B13" s="24" t="s">
        <v>73</v>
      </c>
      <c r="D13" s="32">
        <f>ROUND(AVERAGE(D108:D109)/D105,0)</f>
        <v>22</v>
      </c>
      <c r="E13" s="7" t="s">
        <v>3</v>
      </c>
      <c r="F13" s="32">
        <f>ROUND(AVERAGE(F108:F109)/F105,0)</f>
        <v>24</v>
      </c>
      <c r="G13" s="7" t="s">
        <v>3</v>
      </c>
      <c r="H13" s="32">
        <f>ROUND(AVERAGE(H108:H109)/H105,0)</f>
        <v>23</v>
      </c>
      <c r="I13" s="7" t="s">
        <v>3</v>
      </c>
      <c r="J13" s="32">
        <f>ROUND(AVERAGE(J108:J109)/J105,0)</f>
        <v>23</v>
      </c>
      <c r="K13" s="7" t="s">
        <v>3</v>
      </c>
      <c r="L13" s="32">
        <f>ROUND(AVERAGE(L108:L109)/L105,0)</f>
        <v>22</v>
      </c>
      <c r="M13" s="7" t="s">
        <v>3</v>
      </c>
      <c r="N13" s="33">
        <f>AVERAGE(D13,F13,H13,J13,L13)</f>
        <v>22.8</v>
      </c>
      <c r="O13" s="7" t="s">
        <v>3</v>
      </c>
    </row>
    <row r="14" spans="1:15" x14ac:dyDescent="0.4">
      <c r="B14" t="s">
        <v>20</v>
      </c>
      <c r="D14" s="3">
        <f>ROUND(AVERAGE(D108:D109)/AVERAGE(D112,F112),3)</f>
        <v>1.95</v>
      </c>
      <c r="E14" s="3"/>
      <c r="F14" s="3">
        <f>ROUND(AVERAGE(F108:F109)/AVERAGE(F112,H112),3)</f>
        <v>2.1779999999999999</v>
      </c>
      <c r="G14" s="3"/>
      <c r="H14" s="3">
        <f>ROUND(AVERAGE(H108:H109)/AVERAGE(H112,J112),3)</f>
        <v>1.964</v>
      </c>
      <c r="I14" s="3"/>
      <c r="J14" s="3">
        <f>ROUND(AVERAGE(J108:J109)/AVERAGE(J112,L112),3)</f>
        <v>1.915</v>
      </c>
      <c r="K14" s="3"/>
      <c r="L14" s="3">
        <f>ROUND(AVERAGE(L108:L109)/AVERAGE(L112,N112),3)</f>
        <v>1.617</v>
      </c>
      <c r="M14" s="3"/>
      <c r="N14" s="6">
        <f>AVERAGE(D14,F14,H14,J14,L14)</f>
        <v>1.9248000000000005</v>
      </c>
    </row>
    <row r="15" spans="1:15" x14ac:dyDescent="0.4">
      <c r="B15" t="s">
        <v>9</v>
      </c>
      <c r="D15" s="3">
        <f>ROUND(D106/AVERAGE(D108:D109),3)</f>
        <v>2.7E-2</v>
      </c>
      <c r="E15" s="3"/>
      <c r="F15" s="3">
        <f>ROUND(F106/AVERAGE(F108:F109),3)</f>
        <v>2.3E-2</v>
      </c>
      <c r="G15" s="3"/>
      <c r="H15" s="3">
        <f>ROUND(H106/AVERAGE(H108:H109),3)</f>
        <v>2.5000000000000001E-2</v>
      </c>
      <c r="I15" s="3"/>
      <c r="J15" s="3">
        <f>ROUND(J106/AVERAGE(J108:J109),3)</f>
        <v>2.4E-2</v>
      </c>
      <c r="K15" s="3"/>
      <c r="L15" s="3">
        <f>ROUND(L106/AVERAGE(L108:L109),3)</f>
        <v>2.4E-2</v>
      </c>
      <c r="M15" s="3"/>
      <c r="N15" s="6">
        <f>AVERAGE(D15,F15,H15,J15,L15)</f>
        <v>2.46E-2</v>
      </c>
    </row>
    <row r="16" spans="1:15" x14ac:dyDescent="0.4">
      <c r="B16" t="s">
        <v>10</v>
      </c>
      <c r="D16" s="3">
        <f>ROUND(D96/D66,3)</f>
        <v>0.58699999999999997</v>
      </c>
      <c r="E16" s="3"/>
      <c r="F16" s="3">
        <f>ROUND(F96/F66,3)</f>
        <v>0.56899999999999995</v>
      </c>
      <c r="G16" s="3"/>
      <c r="H16" s="3">
        <f>ROUND(H96/H66,3)</f>
        <v>0.56599999999999995</v>
      </c>
      <c r="I16" s="3"/>
      <c r="J16" s="3">
        <f>ROUND(J96/J66,3)</f>
        <v>0.54500000000000004</v>
      </c>
      <c r="K16" s="3"/>
      <c r="L16" s="3">
        <f>ROUND(L96/L66,3)</f>
        <v>0.52900000000000003</v>
      </c>
      <c r="M16" s="3"/>
      <c r="N16" s="6">
        <f>AVERAGE(D16,F16,H16,J16,L16)</f>
        <v>0.55919999999999992</v>
      </c>
    </row>
    <row r="18" spans="1:14" x14ac:dyDescent="0.4">
      <c r="A18" t="s">
        <v>2</v>
      </c>
    </row>
    <row r="19" spans="1:14" x14ac:dyDescent="0.4">
      <c r="B19" t="s">
        <v>72</v>
      </c>
    </row>
    <row r="20" spans="1:14" x14ac:dyDescent="0.4">
      <c r="B20" s="34" t="s">
        <v>78</v>
      </c>
      <c r="D20" s="3">
        <f>ROUND((+D76+D79)/D8,3)</f>
        <v>0.41399999999999998</v>
      </c>
      <c r="E20" s="3"/>
      <c r="F20" s="3">
        <f>ROUND((+F76+F79)/F8,3)</f>
        <v>0.376</v>
      </c>
      <c r="G20" s="3"/>
      <c r="H20" s="3">
        <f>ROUND((+H76+H79)/H8,3)</f>
        <v>0.38600000000000001</v>
      </c>
      <c r="I20" s="3"/>
      <c r="J20" s="3">
        <f>ROUND((+J76+J79)/J8,3)</f>
        <v>0.378</v>
      </c>
      <c r="K20" s="3"/>
      <c r="L20" s="3">
        <f>ROUND((+L76+L79)/L8,3)</f>
        <v>0.38600000000000001</v>
      </c>
      <c r="M20" s="3"/>
      <c r="N20" s="6">
        <f>AVERAGE(D20,F20,H20,J20,L20)</f>
        <v>0.38800000000000007</v>
      </c>
    </row>
    <row r="21" spans="1:14" x14ac:dyDescent="0.4">
      <c r="B21" s="34" t="s">
        <v>79</v>
      </c>
      <c r="D21" s="3">
        <f>ROUND((SUM(D69:D75)+D81)/D8,3)</f>
        <v>0</v>
      </c>
      <c r="E21" s="3"/>
      <c r="F21" s="3">
        <f>ROUND((SUM(F69:F75)+F81)/F8,3)</f>
        <v>0</v>
      </c>
      <c r="G21" s="3"/>
      <c r="H21" s="3">
        <f>ROUND((SUM(H69:H75)+H81)/H8,3)</f>
        <v>0</v>
      </c>
      <c r="I21" s="3"/>
      <c r="J21" s="3">
        <f>ROUND((SUM(J69:J75)+J81)/J8,3)</f>
        <v>0</v>
      </c>
      <c r="K21" s="3"/>
      <c r="L21" s="3">
        <f>ROUND((SUM(L69:L75)+L81)/L8,3)</f>
        <v>0</v>
      </c>
      <c r="M21" s="3"/>
      <c r="N21" s="6">
        <f>AVERAGE(D21,F21,H21,J21,L21)</f>
        <v>0</v>
      </c>
    </row>
    <row r="22" spans="1:14" ht="17.25" x14ac:dyDescent="0.4">
      <c r="B22" s="35" t="s">
        <v>80</v>
      </c>
      <c r="D22" s="4">
        <f>ROUND((D68-D103)/D8,3)</f>
        <v>0.58599999999999997</v>
      </c>
      <c r="E22" s="3"/>
      <c r="F22" s="4">
        <f>ROUND((F68-F103)/F8,3)</f>
        <v>0.624</v>
      </c>
      <c r="G22" s="3"/>
      <c r="H22" s="4">
        <f>ROUND((H68-H103)/H8,3)</f>
        <v>0.61399999999999999</v>
      </c>
      <c r="I22" s="3"/>
      <c r="J22" s="4">
        <f>ROUND((J68-J103)/J8,3)</f>
        <v>0.622</v>
      </c>
      <c r="K22" s="3"/>
      <c r="L22" s="4">
        <f>ROUND((L68-L103)/L8,3)</f>
        <v>0.61399999999999999</v>
      </c>
      <c r="M22" s="3"/>
      <c r="N22" s="8">
        <f>AVERAGE(D22,F22,H22,J22,L22)</f>
        <v>0.61199999999999988</v>
      </c>
    </row>
    <row r="23" spans="1:14" ht="15.4" thickBot="1" x14ac:dyDescent="0.45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9">
        <f>AVERAGE(D23,F23,H23,J23,L23)</f>
        <v>1</v>
      </c>
    </row>
    <row r="24" spans="1:14" ht="15.4" thickTop="1" x14ac:dyDescent="0.4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4">
      <c r="B25" s="34" t="s">
        <v>81</v>
      </c>
      <c r="D25" s="3">
        <f>ROUND((+D76+D79+D80)/D10,3)</f>
        <v>0.47199999999999998</v>
      </c>
      <c r="E25" s="3"/>
      <c r="F25" s="3">
        <f>ROUND((+F76+F79+F80)/F10,3)</f>
        <v>0.45800000000000002</v>
      </c>
      <c r="G25" s="3"/>
      <c r="H25" s="3">
        <f>ROUND((+H76+H79+H80)/H10,3)</f>
        <v>0.436</v>
      </c>
      <c r="I25" s="3"/>
      <c r="J25" s="3">
        <f>ROUND((+J76+J79+J80)/J10,3)</f>
        <v>0.441</v>
      </c>
      <c r="K25" s="3"/>
      <c r="L25" s="3">
        <f>ROUND((+L76+L79+L80)/L10,3)</f>
        <v>0.41399999999999998</v>
      </c>
      <c r="M25" s="3"/>
      <c r="N25" s="6">
        <f>AVERAGE(D25,F25,H25,J25,L25)</f>
        <v>0.44420000000000004</v>
      </c>
    </row>
    <row r="26" spans="1:14" x14ac:dyDescent="0.4">
      <c r="B26" s="34" t="s">
        <v>79</v>
      </c>
      <c r="D26" s="3">
        <f>ROUND((SUM(D69:D75)+D81)/D10,3)</f>
        <v>0</v>
      </c>
      <c r="E26" s="3"/>
      <c r="F26" s="3">
        <f>ROUND((SUM(F69:F75)+F81)/F10,3)</f>
        <v>0</v>
      </c>
      <c r="G26" s="3"/>
      <c r="H26" s="3">
        <f>ROUND((SUM(H69:H75)+H81)/H10,3)</f>
        <v>0</v>
      </c>
      <c r="I26" s="3"/>
      <c r="J26" s="3">
        <f>ROUND((SUM(J69:J75)+J81)/J10,3)</f>
        <v>0</v>
      </c>
      <c r="K26" s="3"/>
      <c r="L26" s="3">
        <f>ROUND((SUM(L69:L75)+L81)/L10,3)</f>
        <v>0</v>
      </c>
      <c r="M26" s="3"/>
      <c r="N26" s="6">
        <f>AVERAGE(D26,F26,H26,J26,L26)</f>
        <v>0</v>
      </c>
    </row>
    <row r="27" spans="1:14" ht="17.25" x14ac:dyDescent="0.4">
      <c r="B27" s="35" t="s">
        <v>80</v>
      </c>
      <c r="D27" s="4">
        <f>ROUND((D68-D103)/D10,3)</f>
        <v>0.52800000000000002</v>
      </c>
      <c r="E27" s="3"/>
      <c r="F27" s="4">
        <f>ROUND((F68-F103)/F10,3)</f>
        <v>0.54200000000000004</v>
      </c>
      <c r="G27" s="3"/>
      <c r="H27" s="4">
        <f>ROUND((H68-H103)/H10,3)</f>
        <v>0.56399999999999995</v>
      </c>
      <c r="I27" s="3"/>
      <c r="J27" s="4">
        <f>ROUND((J68-J103)/J10,3)</f>
        <v>0.55900000000000005</v>
      </c>
      <c r="K27" s="3"/>
      <c r="L27" s="4">
        <f>ROUND((L68-L103)/L10,3)</f>
        <v>0.58599999999999997</v>
      </c>
      <c r="M27" s="3"/>
      <c r="N27" s="8">
        <f>AVERAGE(D27,F27,H27,J27,L27)</f>
        <v>0.55579999999999996</v>
      </c>
    </row>
    <row r="28" spans="1:14" ht="15.4" thickBot="1" x14ac:dyDescent="0.45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9">
        <f>AVERAGE(D28,F28,H28,J28,L28)</f>
        <v>1</v>
      </c>
    </row>
    <row r="29" spans="1:14" ht="15.4" thickTop="1" x14ac:dyDescent="0.4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7.25" x14ac:dyDescent="0.4">
      <c r="A30" s="36" t="s">
        <v>82</v>
      </c>
      <c r="D30" s="3">
        <f>ROUND(+D66/(((D68-D103)+(F68-F103))/2),3)</f>
        <v>0.09</v>
      </c>
      <c r="E30" s="3"/>
      <c r="F30" s="3">
        <f>ROUND(+F66/(((F68-F103)+(H68-H103))/2),3)</f>
        <v>8.8999999999999996E-2</v>
      </c>
      <c r="G30" s="3"/>
      <c r="H30" s="3">
        <f>ROUND(+H66/(((H68-H103)+(J68-J103))/2),3)</f>
        <v>8.5999999999999993E-2</v>
      </c>
      <c r="I30" s="3"/>
      <c r="J30" s="3">
        <f>ROUND(+J66/(((J68-J103)+(L68-L103))/2),3)</f>
        <v>8.4000000000000005E-2</v>
      </c>
      <c r="K30" s="3"/>
      <c r="L30" s="3">
        <f>ROUND(+L66/(((L68-L103)+(N68-N103))/2),3)</f>
        <v>7.4999999999999997E-2</v>
      </c>
      <c r="M30" s="3"/>
      <c r="N30" s="6">
        <f>AVERAGE(D30,F30,H30,J30,L30)</f>
        <v>8.4800000000000014E-2</v>
      </c>
    </row>
    <row r="31" spans="1:14" x14ac:dyDescent="0.4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 x14ac:dyDescent="0.4">
      <c r="A32" s="36" t="s">
        <v>83</v>
      </c>
      <c r="D32" s="3">
        <f>ROUND((+D58-D57)/D56,3)</f>
        <v>0.80200000000000005</v>
      </c>
      <c r="E32" s="3"/>
      <c r="F32" s="3">
        <f>ROUND((+F58-F57)/F56,3)</f>
        <v>0.82099999999999995</v>
      </c>
      <c r="G32" s="3"/>
      <c r="H32" s="3">
        <f>ROUND((+H58-H57)/H56,3)</f>
        <v>0.82299999999999995</v>
      </c>
      <c r="I32" s="3"/>
      <c r="J32" s="3">
        <f>ROUND((+J58-J57)/J56,3)</f>
        <v>0.80500000000000005</v>
      </c>
      <c r="K32" s="3"/>
      <c r="L32" s="3">
        <f>ROUND((+L58-L57)/L56,3)</f>
        <v>0.81100000000000005</v>
      </c>
      <c r="M32" s="3"/>
      <c r="N32" s="6">
        <f>AVERAGE(D32,F32,H32,J32,L32)</f>
        <v>0.81240000000000001</v>
      </c>
    </row>
    <row r="34" spans="1:15" ht="17.25" x14ac:dyDescent="0.4">
      <c r="A34" s="36" t="s">
        <v>84</v>
      </c>
    </row>
    <row r="35" spans="1:15" x14ac:dyDescent="0.4">
      <c r="B35" t="s">
        <v>13</v>
      </c>
      <c r="D35" s="7">
        <f>ROUND(((+D66+D65+D64+D63+D61+D59+D57)/D61),2)</f>
        <v>4.8099999999999996</v>
      </c>
      <c r="E35" s="7" t="s">
        <v>3</v>
      </c>
      <c r="F35" s="7">
        <f>ROUND(((+F66+F65+F64+F63+F61+F59+F57)/F61),2)</f>
        <v>4.66</v>
      </c>
      <c r="G35" s="7" t="s">
        <v>3</v>
      </c>
      <c r="H35" s="7">
        <f>ROUND(((+H66+H65+H64+H63+H61+H59+H57)/H61),2)</f>
        <v>5.13</v>
      </c>
      <c r="I35" s="7" t="s">
        <v>3</v>
      </c>
      <c r="J35" s="7">
        <f>ROUND(((+J66+J65+J64+J63+J61+J59+J57)/J61),2)</f>
        <v>6.22</v>
      </c>
      <c r="K35" s="7" t="s">
        <v>3</v>
      </c>
      <c r="L35" s="7">
        <f>ROUND(((+L66+L65+L64+L63+L61+L59+L57)/L61),2)</f>
        <v>5.76</v>
      </c>
      <c r="M35" s="7" t="s">
        <v>3</v>
      </c>
      <c r="N35" s="27">
        <f>AVERAGE(D35,F35,H35,J35,L35)</f>
        <v>5.3159999999999998</v>
      </c>
      <c r="O35" t="s">
        <v>3</v>
      </c>
    </row>
    <row r="36" spans="1:15" x14ac:dyDescent="0.4">
      <c r="B36" t="s">
        <v>21</v>
      </c>
      <c r="D36" s="7">
        <f>ROUND(((+D66+D65+D64+D63+D61)/(D61)),2)</f>
        <v>4.1399999999999997</v>
      </c>
      <c r="E36" s="7" t="s">
        <v>3</v>
      </c>
      <c r="F36" s="7">
        <f>ROUND(((+F66+F65+F64+F63+F61)/(F61)),2)</f>
        <v>3.98</v>
      </c>
      <c r="G36" s="7" t="s">
        <v>3</v>
      </c>
      <c r="H36" s="7">
        <f>ROUND(((+H66+H65+H64+H63+H61)/(H61)),2)</f>
        <v>4.1500000000000004</v>
      </c>
      <c r="I36" s="7" t="s">
        <v>3</v>
      </c>
      <c r="J36" s="7">
        <f>ROUND(((+J66+J65+J64+J63+J61)/(J61)),2)</f>
        <v>4.32</v>
      </c>
      <c r="K36" s="7" t="s">
        <v>3</v>
      </c>
      <c r="L36" s="7">
        <f>ROUND(((+L66+L65+L64+L63+L61)/(L61)),2)</f>
        <v>3.96</v>
      </c>
      <c r="M36" s="7" t="s">
        <v>3</v>
      </c>
      <c r="N36" s="27">
        <f>AVERAGE(D36,F36,H36,J36,L36)</f>
        <v>4.1100000000000003</v>
      </c>
      <c r="O36" t="s">
        <v>3</v>
      </c>
    </row>
    <row r="37" spans="1:15" x14ac:dyDescent="0.4">
      <c r="B37" t="s">
        <v>14</v>
      </c>
      <c r="D37" s="7">
        <f>ROUND(((+D66+D65+D64+D63+D61)/(D61+D63+D64+D65)),2)</f>
        <v>4.1399999999999997</v>
      </c>
      <c r="E37" s="7" t="s">
        <v>3</v>
      </c>
      <c r="F37" s="7">
        <f>ROUND(((+F66+F65+F64+F63+F61)/(F61+F63+F64+F65)),2)</f>
        <v>3.98</v>
      </c>
      <c r="G37" s="7" t="s">
        <v>3</v>
      </c>
      <c r="H37" s="7">
        <f>ROUND(((+H66+H65+H64+H63+H61)/(H61+H63+H64+H65)),2)</f>
        <v>4.1500000000000004</v>
      </c>
      <c r="I37" s="7" t="s">
        <v>3</v>
      </c>
      <c r="J37" s="7">
        <f>ROUND(((+J66+J65+J64+J63+J61)/(J61+J63+J64+J65)),2)</f>
        <v>4.32</v>
      </c>
      <c r="K37" s="7" t="s">
        <v>3</v>
      </c>
      <c r="L37" s="7">
        <f>ROUND(((+L66+L65+L64+L63+L61)/(L61+L63+L64+L65)),2)</f>
        <v>3.96</v>
      </c>
      <c r="M37" s="7" t="s">
        <v>3</v>
      </c>
      <c r="N37" s="27">
        <f>AVERAGE(D37,F37,H37,J37,L37)</f>
        <v>4.1100000000000003</v>
      </c>
      <c r="O37" t="s">
        <v>3</v>
      </c>
    </row>
    <row r="38" spans="1:1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7.25" x14ac:dyDescent="0.4">
      <c r="A39" s="36" t="s">
        <v>85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x14ac:dyDescent="0.4">
      <c r="B40" t="s">
        <v>13</v>
      </c>
      <c r="D40" s="7">
        <f>ROUND(((+D66+D65+D64+D63-D62+D61+D59+D57)/D61),2)</f>
        <v>4.8099999999999996</v>
      </c>
      <c r="E40" s="7" t="s">
        <v>3</v>
      </c>
      <c r="F40" s="7">
        <f>ROUND(((+F66+F65+F64+F63-F62+F61+F59+F57)/F61),2)</f>
        <v>4.66</v>
      </c>
      <c r="G40" s="7" t="s">
        <v>3</v>
      </c>
      <c r="H40" s="7">
        <f>ROUND(((+H66+H65+H64+H63-H62+H61+H59+H57)/H61),2)</f>
        <v>5.13</v>
      </c>
      <c r="I40" s="7" t="s">
        <v>3</v>
      </c>
      <c r="J40" s="7">
        <f>ROUND(((+J66+J65+J64+J63-J62+J61+J59+J57)/J61),2)</f>
        <v>6.22</v>
      </c>
      <c r="K40" s="7" t="s">
        <v>3</v>
      </c>
      <c r="L40" s="7">
        <f>ROUND(((+L66+L65+L64+L63-L62+L61+L59+L57)/L61),2)</f>
        <v>5.76</v>
      </c>
      <c r="M40" s="7" t="s">
        <v>3</v>
      </c>
      <c r="N40" s="27">
        <f>AVERAGE(D40,F40,H40,J40,L40)</f>
        <v>5.3159999999999998</v>
      </c>
      <c r="O40" t="s">
        <v>3</v>
      </c>
    </row>
    <row r="41" spans="1:15" x14ac:dyDescent="0.4">
      <c r="B41" t="s">
        <v>21</v>
      </c>
      <c r="D41" s="7">
        <f>ROUND(((+D66+D65+D64+D63-D62+D61)/D61),2)</f>
        <v>4.1399999999999997</v>
      </c>
      <c r="E41" s="7" t="s">
        <v>3</v>
      </c>
      <c r="F41" s="7">
        <f>ROUND(((+F66+F65+F64+F63-F62+F61)/F61),2)</f>
        <v>3.98</v>
      </c>
      <c r="G41" s="7" t="s">
        <v>3</v>
      </c>
      <c r="H41" s="7">
        <f>ROUND(((+H66+H65+H64+H63-H62+H61)/H61),2)</f>
        <v>4.1500000000000004</v>
      </c>
      <c r="I41" s="7" t="s">
        <v>3</v>
      </c>
      <c r="J41" s="7">
        <f>ROUND(((+J66+J65+J64+J63-J62+J61)/J61),2)</f>
        <v>4.32</v>
      </c>
      <c r="K41" s="7" t="s">
        <v>3</v>
      </c>
      <c r="L41" s="7">
        <f>ROUND(((+L66+L65+L64+L63-L62+L61)/L61),2)</f>
        <v>3.96</v>
      </c>
      <c r="M41" s="7" t="s">
        <v>3</v>
      </c>
      <c r="N41" s="27">
        <f>AVERAGE(D41,F41,H41,J41,L41)</f>
        <v>4.1100000000000003</v>
      </c>
      <c r="O41" t="s">
        <v>3</v>
      </c>
    </row>
    <row r="42" spans="1:15" x14ac:dyDescent="0.4">
      <c r="B42" t="s">
        <v>14</v>
      </c>
      <c r="D42" s="7">
        <f>ROUND(((+D66+D65+D64+D63-D62+D61)/(D61+D63+D64+D65)),2)</f>
        <v>4.1399999999999997</v>
      </c>
      <c r="E42" s="7" t="s">
        <v>3</v>
      </c>
      <c r="F42" s="7">
        <f>ROUND(((+F66+F65+F64+F63-F62+F61)/(F61+F63+F64+F65)),2)</f>
        <v>3.98</v>
      </c>
      <c r="G42" s="7" t="s">
        <v>3</v>
      </c>
      <c r="H42" s="7">
        <f>ROUND(((+H66+H65+H64+H63-H62+H61)/(H61+H63+H64+H65)),2)</f>
        <v>4.1500000000000004</v>
      </c>
      <c r="I42" s="7" t="s">
        <v>3</v>
      </c>
      <c r="J42" s="7">
        <f>ROUND(((+J66+J65+J64+J63-J62+J61)/(J61+J63+J64+J65)),2)</f>
        <v>4.32</v>
      </c>
      <c r="K42" s="7" t="s">
        <v>3</v>
      </c>
      <c r="L42" s="7">
        <f>ROUND(((+L66+L65+L64+L63-L62+L61)/(L61+L63+L64+L65)),2)</f>
        <v>3.96</v>
      </c>
      <c r="M42" s="7" t="s">
        <v>3</v>
      </c>
      <c r="N42" s="27">
        <f>AVERAGE(D42,F42,H42,J42,L42)</f>
        <v>4.1100000000000003</v>
      </c>
      <c r="O42" t="s">
        <v>3</v>
      </c>
    </row>
    <row r="44" spans="1:15" x14ac:dyDescent="0.4">
      <c r="A44" t="s">
        <v>15</v>
      </c>
    </row>
    <row r="45" spans="1:15" x14ac:dyDescent="0.4">
      <c r="B45" t="s">
        <v>16</v>
      </c>
      <c r="D45" s="13">
        <f>ROUND(D62/D66,3)</f>
        <v>0</v>
      </c>
      <c r="E45" s="13"/>
      <c r="F45" s="13">
        <f>ROUND(F62/F66,3)</f>
        <v>0</v>
      </c>
      <c r="G45" s="13"/>
      <c r="H45" s="13">
        <f>ROUND(H62/H66,3)</f>
        <v>0</v>
      </c>
      <c r="I45" s="13"/>
      <c r="J45" s="13">
        <f>ROUND(J62/J66,3)</f>
        <v>0</v>
      </c>
      <c r="K45" s="13"/>
      <c r="L45" s="13">
        <f>ROUND(L62/L66,3)</f>
        <v>0</v>
      </c>
      <c r="M45" s="3"/>
      <c r="N45" s="6">
        <f t="shared" ref="N45:N50" si="0">AVERAGE(D45,F45,H45,J45,L45)</f>
        <v>0</v>
      </c>
    </row>
    <row r="46" spans="1:15" x14ac:dyDescent="0.4">
      <c r="B46" t="s">
        <v>17</v>
      </c>
      <c r="D46" s="17">
        <f>ROUND((D57+D59)/(D57+D59+D66+D63+D64+D65),3)</f>
        <v>0.17499999999999999</v>
      </c>
      <c r="E46" s="18"/>
      <c r="F46" s="17">
        <f>ROUND((F57+F59)/(F57+F59+F66+F63+F64+F65),3)</f>
        <v>0.187</v>
      </c>
      <c r="G46" s="18"/>
      <c r="H46" s="17">
        <f>ROUND((H57+H59)/(H57+H59+H66+H63+H64+H65),3)</f>
        <v>0.23699999999999999</v>
      </c>
      <c r="I46" s="18"/>
      <c r="J46" s="17">
        <f>ROUND((J57+J59)/(J57+J59+J66+J63+J64+J65),3)</f>
        <v>0.36399999999999999</v>
      </c>
      <c r="K46" s="18"/>
      <c r="L46" s="17">
        <f>ROUND((L57+L59)/(L57+L59+L66+L63+L64+L65),3)</f>
        <v>0.378</v>
      </c>
      <c r="N46" s="6">
        <f t="shared" si="0"/>
        <v>0.26819999999999999</v>
      </c>
    </row>
    <row r="47" spans="1:15" ht="17.25" x14ac:dyDescent="0.4">
      <c r="B47" s="36" t="s">
        <v>86</v>
      </c>
      <c r="D47" s="13">
        <f>ROUND(((+D82+D83+D84+D85+D86-D87+D88-D90-D91)/(+D89-D87)),3)</f>
        <v>0.68</v>
      </c>
      <c r="E47" s="14"/>
      <c r="F47" s="13">
        <f>ROUND(((+F82+F83+F84+F85+F86-F87+F88-F90-F91)/(+F89-F87)),3)</f>
        <v>0.70299999999999996</v>
      </c>
      <c r="G47" s="14"/>
      <c r="H47" s="13">
        <f>ROUND(((+H82+H83+H84+H85+H86-H87+H88-H90-H91)/(+H89-H87)),3)</f>
        <v>0.77500000000000002</v>
      </c>
      <c r="I47" s="14"/>
      <c r="J47" s="13">
        <f>ROUND(((+J82+J83+J84+J85+J86-J87+J88-J90-J91)/(+J89-J87)),3)</f>
        <v>0.94199999999999995</v>
      </c>
      <c r="K47" s="14"/>
      <c r="L47" s="13">
        <f>ROUND(((+L82+L83+L84+L85+L86-L87+L88-L90-L91)/(+L89-L87)),3)</f>
        <v>1.016</v>
      </c>
      <c r="N47" s="6">
        <f t="shared" si="0"/>
        <v>0.82319999999999993</v>
      </c>
    </row>
    <row r="48" spans="1:15" ht="17.25" x14ac:dyDescent="0.4">
      <c r="B48" s="36" t="s">
        <v>87</v>
      </c>
      <c r="D48" s="13">
        <f>ROUND(((+D82+D83+D84+D85+D86-D87+D88)/(AVERAGE(D76,F76)+AVERAGE(D79,F79)+AVERAGE(D80,F80))),3)</f>
        <v>0.22900000000000001</v>
      </c>
      <c r="E48" s="14"/>
      <c r="F48" s="13">
        <f>ROUND(((+F82+F83+F84+F85+F86-F87+F88)/(AVERAGE(F76,H76)+AVERAGE(F79,H79)+AVERAGE(F80,H80))),3)</f>
        <v>0.23499999999999999</v>
      </c>
      <c r="G48" s="14"/>
      <c r="H48" s="13">
        <f>ROUND(((+H82+H83+H84+H85+H86-H87+H88)/(AVERAGE(H76,J76)+AVERAGE(H79,J79)+AVERAGE(H80,J80))),3)</f>
        <v>0.25700000000000001</v>
      </c>
      <c r="I48" s="14"/>
      <c r="J48" s="13">
        <f>ROUND(((+J82+J83+J84+J85+J86-J87+J88)/(AVERAGE(J76,L76)+AVERAGE(J79,L79)+AVERAGE(J80,L80))),3)</f>
        <v>0.29299999999999998</v>
      </c>
      <c r="K48" s="14"/>
      <c r="L48" s="13">
        <f>ROUND(((+L82+L83+L84+L85+L86-L87+L88)/(AVERAGE(L76,N76)+AVERAGE(L79,N79)+AVERAGE(L80,N80))),3)</f>
        <v>0.30399999999999999</v>
      </c>
      <c r="N48" s="6">
        <f t="shared" si="0"/>
        <v>0.2636</v>
      </c>
    </row>
    <row r="49" spans="1:15" ht="17.25" x14ac:dyDescent="0.4">
      <c r="B49" s="36" t="s">
        <v>88</v>
      </c>
      <c r="D49" s="28">
        <f>ROUND(((+D82+D83+D84+D85+D86-D87+D88+D92)/D61),2)</f>
        <v>7.92</v>
      </c>
      <c r="E49" t="s">
        <v>3</v>
      </c>
      <c r="F49" s="28">
        <f>ROUND(((+F82+F83+F84+F85+F86-F87+F88+F92)/F61),2)</f>
        <v>7.34</v>
      </c>
      <c r="G49" t="s">
        <v>3</v>
      </c>
      <c r="H49" s="28">
        <f>ROUND(((+H82+H83+H84+H85+H86-H87+H88+H92)/H61),2)</f>
        <v>8.26</v>
      </c>
      <c r="I49" t="s">
        <v>3</v>
      </c>
      <c r="J49" s="28">
        <f>ROUND(((+J82+J83+J84+J85+J86-J87+J88+J92)/J61),2)</f>
        <v>9.5399999999999991</v>
      </c>
      <c r="K49" t="s">
        <v>3</v>
      </c>
      <c r="L49" s="28">
        <f>ROUND(((+L82+L83+L84+L85+L86-L87+L88+L92)/L61),2)</f>
        <v>9.07</v>
      </c>
      <c r="M49" t="s">
        <v>3</v>
      </c>
      <c r="N49" s="29">
        <f t="shared" si="0"/>
        <v>8.4260000000000002</v>
      </c>
      <c r="O49" t="s">
        <v>3</v>
      </c>
    </row>
    <row r="50" spans="1:15" ht="17.25" x14ac:dyDescent="0.4">
      <c r="B50" s="36" t="s">
        <v>89</v>
      </c>
      <c r="D50" s="28">
        <f>ROUND(((+D82+D83+D84+D85+D86-D87+D88-D91)/+D90),2)</f>
        <v>3.8</v>
      </c>
      <c r="E50" t="s">
        <v>3</v>
      </c>
      <c r="F50" s="28">
        <f>ROUND(((+F82+F83+F84+F85+F86-F87+F88-F91)/+F90),2)</f>
        <v>3.78</v>
      </c>
      <c r="G50" t="s">
        <v>3</v>
      </c>
      <c r="H50" s="28">
        <f>ROUND(((+H82+H83+H84+H85+H86-H87+H88-H91)/+H90),2)</f>
        <v>4.16</v>
      </c>
      <c r="I50" t="s">
        <v>3</v>
      </c>
      <c r="J50" s="28">
        <f>ROUND(((+J82+J83+J84+J85+J86-J87+J88-J91)/+J90),2)</f>
        <v>4.8099999999999996</v>
      </c>
      <c r="K50" t="s">
        <v>3</v>
      </c>
      <c r="L50" s="28">
        <f>ROUND(((+L82+L83+L84+L85+L86-L87+L88-L91)/+L90),2)</f>
        <v>5.29</v>
      </c>
      <c r="M50" t="s">
        <v>3</v>
      </c>
      <c r="N50" s="29">
        <f t="shared" si="0"/>
        <v>4.3680000000000003</v>
      </c>
      <c r="O50" t="s">
        <v>3</v>
      </c>
    </row>
    <row r="52" spans="1:15" x14ac:dyDescent="0.4">
      <c r="A52" t="s">
        <v>4</v>
      </c>
    </row>
    <row r="53" spans="1:15" x14ac:dyDescent="0.4">
      <c r="D53" s="38"/>
    </row>
    <row r="54" spans="1:15" x14ac:dyDescent="0.4">
      <c r="A54" s="19" t="s">
        <v>102</v>
      </c>
      <c r="B54" s="19"/>
      <c r="C54" s="19"/>
      <c r="D54" s="38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5" x14ac:dyDescent="0.4">
      <c r="A55" s="20"/>
      <c r="B55" s="20"/>
      <c r="C55" s="20"/>
      <c r="D55" s="21">
        <v>2020</v>
      </c>
      <c r="E55" s="19"/>
      <c r="F55" s="21">
        <v>2019</v>
      </c>
      <c r="G55" s="19"/>
      <c r="H55" s="21">
        <v>2018</v>
      </c>
      <c r="I55" s="19"/>
      <c r="J55" s="21">
        <v>2017</v>
      </c>
      <c r="K55" s="19"/>
      <c r="L55" s="21">
        <v>2016</v>
      </c>
      <c r="M55" s="19"/>
      <c r="N55" s="21">
        <v>2015</v>
      </c>
    </row>
    <row r="56" spans="1:15" x14ac:dyDescent="0.4">
      <c r="A56" s="20" t="s">
        <v>22</v>
      </c>
      <c r="B56" s="20"/>
      <c r="C56" s="20"/>
      <c r="D56" s="22">
        <v>1530.268</v>
      </c>
      <c r="E56" s="22"/>
      <c r="F56" s="22">
        <v>1652.73</v>
      </c>
      <c r="G56" s="22"/>
      <c r="H56" s="22">
        <v>1633.731</v>
      </c>
      <c r="I56" s="22"/>
      <c r="J56" s="22">
        <v>1539.633</v>
      </c>
      <c r="K56" s="22"/>
      <c r="L56" s="22">
        <v>1427.232</v>
      </c>
      <c r="M56" s="22"/>
      <c r="N56" s="22">
        <v>1547.692</v>
      </c>
    </row>
    <row r="57" spans="1:15" x14ac:dyDescent="0.4">
      <c r="A57" s="20" t="s">
        <v>23</v>
      </c>
      <c r="B57" s="20"/>
      <c r="C57" s="20"/>
      <c r="D57" s="22">
        <v>41.579000000000001</v>
      </c>
      <c r="E57" s="22"/>
      <c r="F57" s="22">
        <v>42.851999999999997</v>
      </c>
      <c r="G57" s="22"/>
      <c r="H57" s="22">
        <v>53.530999999999999</v>
      </c>
      <c r="I57" s="22"/>
      <c r="J57" s="22">
        <v>93.143000000000001</v>
      </c>
      <c r="K57" s="22"/>
      <c r="L57" s="22">
        <v>85.242999999999995</v>
      </c>
      <c r="M57" s="22"/>
      <c r="N57" s="22">
        <v>72.978999999999999</v>
      </c>
    </row>
    <row r="58" spans="1:15" x14ac:dyDescent="0.4">
      <c r="A58" s="20" t="s">
        <v>24</v>
      </c>
      <c r="B58" s="20"/>
      <c r="C58" s="20"/>
      <c r="D58" s="22">
        <f>537.445+689.307+D57</f>
        <v>1268.3309999999999</v>
      </c>
      <c r="E58" s="22"/>
      <c r="F58" s="22">
        <f>687.974+669.498+F57</f>
        <v>1400.3240000000003</v>
      </c>
      <c r="G58" s="22"/>
      <c r="H58" s="22">
        <v>1398.8330000000001</v>
      </c>
      <c r="I58" s="22"/>
      <c r="J58" s="22">
        <v>1333.3</v>
      </c>
      <c r="K58" s="22"/>
      <c r="L58" s="22">
        <v>1243.355</v>
      </c>
      <c r="M58" s="22"/>
      <c r="N58" s="22">
        <v>1381.5419999999999</v>
      </c>
    </row>
    <row r="59" spans="1:15" x14ac:dyDescent="0.4">
      <c r="A59" s="20" t="s">
        <v>25</v>
      </c>
      <c r="B59" s="20"/>
      <c r="C59" s="20"/>
      <c r="D59" s="22">
        <v>0</v>
      </c>
      <c r="E59" s="22"/>
      <c r="F59" s="22">
        <v>0</v>
      </c>
      <c r="G59" s="22"/>
      <c r="H59" s="22">
        <v>0</v>
      </c>
      <c r="I59" s="22"/>
      <c r="J59" s="22">
        <v>0</v>
      </c>
      <c r="K59" s="22"/>
      <c r="L59" s="22">
        <v>0</v>
      </c>
      <c r="M59" s="22"/>
      <c r="N59" s="22">
        <v>0</v>
      </c>
    </row>
    <row r="60" spans="1:15" x14ac:dyDescent="0.4">
      <c r="A60" s="20" t="s">
        <v>26</v>
      </c>
      <c r="B60" s="20"/>
      <c r="C60" s="20"/>
      <c r="D60" s="22">
        <f>303.516-D57-3.02</f>
        <v>258.91700000000003</v>
      </c>
      <c r="E60" s="22"/>
      <c r="F60" s="22">
        <f>295.258-F57-2.976</f>
        <v>249.42999999999998</v>
      </c>
      <c r="G60" s="22"/>
      <c r="H60" s="22">
        <v>223.53899999999999</v>
      </c>
      <c r="I60" s="22"/>
      <c r="J60" s="22">
        <v>209.06</v>
      </c>
      <c r="K60" s="22"/>
      <c r="L60" s="22">
        <v>183.834</v>
      </c>
      <c r="M60" s="22"/>
      <c r="N60" s="22">
        <v>163.6</v>
      </c>
    </row>
    <row r="61" spans="1:15" x14ac:dyDescent="0.4">
      <c r="A61" s="20" t="s">
        <v>27</v>
      </c>
      <c r="B61" s="20"/>
      <c r="C61" s="20"/>
      <c r="D61" s="22">
        <v>62.505000000000003</v>
      </c>
      <c r="E61" s="22"/>
      <c r="F61" s="22">
        <v>62.680999999999997</v>
      </c>
      <c r="G61" s="22"/>
      <c r="H61" s="22">
        <v>54.704999999999998</v>
      </c>
      <c r="I61" s="22"/>
      <c r="J61" s="22">
        <v>49.064999999999998</v>
      </c>
      <c r="K61" s="22"/>
      <c r="L61" s="22">
        <v>47.338999999999999</v>
      </c>
      <c r="M61" s="22"/>
      <c r="N61" s="22">
        <v>47.17</v>
      </c>
    </row>
    <row r="62" spans="1:15" x14ac:dyDescent="0.4">
      <c r="A62" s="20" t="s">
        <v>28</v>
      </c>
      <c r="B62" s="20"/>
      <c r="C62" s="20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1:15" x14ac:dyDescent="0.4">
      <c r="A63" s="20" t="s">
        <v>29</v>
      </c>
      <c r="B63" s="20"/>
      <c r="C63" s="20"/>
      <c r="D63" s="22">
        <v>0</v>
      </c>
      <c r="E63" s="22"/>
      <c r="F63" s="22">
        <v>0</v>
      </c>
      <c r="G63" s="22"/>
      <c r="H63" s="22">
        <v>0</v>
      </c>
      <c r="I63" s="22"/>
      <c r="J63" s="22">
        <v>0</v>
      </c>
      <c r="K63" s="22"/>
      <c r="L63" s="22">
        <v>0</v>
      </c>
      <c r="M63" s="22"/>
      <c r="N63" s="22">
        <v>0</v>
      </c>
    </row>
    <row r="64" spans="1:15" x14ac:dyDescent="0.4">
      <c r="A64" s="20" t="s">
        <v>30</v>
      </c>
      <c r="B64" s="20"/>
      <c r="C64" s="20"/>
      <c r="D64" s="22">
        <v>0</v>
      </c>
      <c r="E64" s="22"/>
      <c r="F64" s="22">
        <v>0</v>
      </c>
      <c r="G64" s="22"/>
      <c r="H64" s="22">
        <v>0</v>
      </c>
      <c r="I64" s="22"/>
      <c r="J64" s="22">
        <v>0</v>
      </c>
      <c r="K64" s="22"/>
      <c r="L64" s="22">
        <v>0</v>
      </c>
      <c r="M64" s="22"/>
      <c r="N64" s="22">
        <v>0</v>
      </c>
    </row>
    <row r="65" spans="1:14" x14ac:dyDescent="0.4">
      <c r="A65" s="20" t="s">
        <v>31</v>
      </c>
      <c r="B65" s="20"/>
      <c r="C65" s="20"/>
      <c r="D65" s="22">
        <v>0</v>
      </c>
      <c r="E65" s="22"/>
      <c r="F65" s="22">
        <v>0</v>
      </c>
      <c r="G65" s="22"/>
      <c r="H65" s="22">
        <v>0</v>
      </c>
      <c r="I65" s="22"/>
      <c r="J65" s="22">
        <v>0</v>
      </c>
      <c r="K65" s="22"/>
      <c r="L65" s="22">
        <v>0</v>
      </c>
      <c r="M65" s="22"/>
      <c r="N65" s="22">
        <v>0</v>
      </c>
    </row>
    <row r="66" spans="1:14" x14ac:dyDescent="0.4">
      <c r="A66" s="20" t="s">
        <v>32</v>
      </c>
      <c r="B66" s="20"/>
      <c r="C66" s="20"/>
      <c r="D66" s="22">
        <v>196.41200000000001</v>
      </c>
      <c r="E66" s="22"/>
      <c r="F66" s="22">
        <v>186.749</v>
      </c>
      <c r="G66" s="22"/>
      <c r="H66" s="22">
        <v>172.23400000000001</v>
      </c>
      <c r="I66" s="22"/>
      <c r="J66" s="22">
        <v>162.995</v>
      </c>
      <c r="K66" s="22"/>
      <c r="L66" s="22">
        <v>140.095</v>
      </c>
      <c r="M66" s="22"/>
      <c r="N66" s="22">
        <v>119.03</v>
      </c>
    </row>
    <row r="67" spans="1:14" x14ac:dyDescent="0.4">
      <c r="A67" s="20" t="s">
        <v>33</v>
      </c>
      <c r="B67" s="20"/>
      <c r="C67" s="20"/>
      <c r="D67" s="22">
        <v>3.7</v>
      </c>
      <c r="E67" s="22"/>
      <c r="F67" s="22">
        <v>3.53</v>
      </c>
      <c r="G67" s="22"/>
      <c r="H67" s="22">
        <v>3.27</v>
      </c>
      <c r="I67" s="22"/>
      <c r="J67" s="22">
        <v>3.1</v>
      </c>
      <c r="K67" s="22"/>
      <c r="L67" s="22">
        <v>2.67</v>
      </c>
      <c r="M67" s="22"/>
      <c r="N67" s="22">
        <v>2.2599999999999998</v>
      </c>
    </row>
    <row r="68" spans="1:14" x14ac:dyDescent="0.4">
      <c r="A68" s="20" t="s">
        <v>34</v>
      </c>
      <c r="B68" s="20"/>
      <c r="C68" s="20"/>
      <c r="D68" s="22">
        <v>2233.3110000000001</v>
      </c>
      <c r="E68" s="22"/>
      <c r="F68" s="22">
        <v>2129.39</v>
      </c>
      <c r="G68" s="22"/>
      <c r="H68" s="22">
        <v>2042.6559999999999</v>
      </c>
      <c r="I68" s="22"/>
      <c r="J68" s="22">
        <v>1960.2090000000001</v>
      </c>
      <c r="K68" s="22"/>
      <c r="L68" s="22">
        <v>1888.28</v>
      </c>
      <c r="M68" s="22"/>
      <c r="N68" s="22">
        <v>1841.5550000000001</v>
      </c>
    </row>
    <row r="69" spans="1:14" x14ac:dyDescent="0.4">
      <c r="A69" s="20" t="s">
        <v>35</v>
      </c>
      <c r="B69" s="20"/>
      <c r="C69" s="20"/>
      <c r="D69" s="22">
        <v>0</v>
      </c>
      <c r="E69" s="22"/>
      <c r="F69" s="22">
        <v>0</v>
      </c>
      <c r="G69" s="22"/>
      <c r="H69" s="22">
        <v>0</v>
      </c>
      <c r="I69" s="22"/>
      <c r="J69" s="22">
        <v>0</v>
      </c>
      <c r="K69" s="22"/>
      <c r="L69" s="22">
        <v>0</v>
      </c>
      <c r="M69" s="22"/>
      <c r="N69" s="22">
        <v>0</v>
      </c>
    </row>
    <row r="70" spans="1:14" x14ac:dyDescent="0.4">
      <c r="A70" s="20" t="s">
        <v>36</v>
      </c>
      <c r="B70" s="20"/>
      <c r="C70" s="20"/>
      <c r="D70" s="22">
        <v>0</v>
      </c>
      <c r="E70" s="22"/>
      <c r="F70" s="22">
        <v>0</v>
      </c>
      <c r="G70" s="22"/>
      <c r="H70" s="22">
        <v>0</v>
      </c>
      <c r="I70" s="22"/>
      <c r="J70" s="22">
        <v>0</v>
      </c>
      <c r="K70" s="22"/>
      <c r="L70" s="22">
        <v>0</v>
      </c>
      <c r="M70" s="22"/>
      <c r="N70" s="22">
        <v>0</v>
      </c>
    </row>
    <row r="71" spans="1:14" x14ac:dyDescent="0.4">
      <c r="A71" s="20" t="s">
        <v>37</v>
      </c>
      <c r="B71" s="20"/>
      <c r="C71" s="20"/>
      <c r="D71" s="22">
        <v>0</v>
      </c>
      <c r="E71" s="22"/>
      <c r="F71" s="22">
        <v>0</v>
      </c>
      <c r="G71" s="22"/>
      <c r="H71" s="22">
        <v>0</v>
      </c>
      <c r="I71" s="22"/>
      <c r="J71" s="22">
        <v>0</v>
      </c>
      <c r="K71" s="22"/>
      <c r="L71" s="22">
        <v>0</v>
      </c>
      <c r="M71" s="22"/>
      <c r="N71" s="22">
        <v>0</v>
      </c>
    </row>
    <row r="72" spans="1:14" x14ac:dyDescent="0.4">
      <c r="A72" s="20" t="s">
        <v>38</v>
      </c>
      <c r="B72" s="20"/>
      <c r="C72" s="20"/>
      <c r="D72" s="22">
        <v>0</v>
      </c>
      <c r="E72" s="22"/>
      <c r="F72" s="22">
        <v>0</v>
      </c>
      <c r="G72" s="22"/>
      <c r="H72" s="22">
        <v>0</v>
      </c>
      <c r="I72" s="22"/>
      <c r="J72" s="22">
        <v>0</v>
      </c>
      <c r="K72" s="22"/>
      <c r="L72" s="22">
        <v>0</v>
      </c>
      <c r="M72" s="22"/>
      <c r="N72" s="22">
        <v>0</v>
      </c>
    </row>
    <row r="73" spans="1:14" x14ac:dyDescent="0.4">
      <c r="A73" s="20" t="s">
        <v>39</v>
      </c>
      <c r="B73" s="20"/>
      <c r="C73" s="20"/>
      <c r="D73" s="22">
        <v>0</v>
      </c>
      <c r="E73" s="22"/>
      <c r="F73" s="22">
        <v>0</v>
      </c>
      <c r="G73" s="22"/>
      <c r="H73" s="22">
        <v>0</v>
      </c>
      <c r="I73" s="22"/>
      <c r="J73" s="22">
        <v>0</v>
      </c>
      <c r="K73" s="22"/>
      <c r="L73" s="22">
        <v>0</v>
      </c>
      <c r="M73" s="22"/>
      <c r="N73" s="22">
        <v>0</v>
      </c>
    </row>
    <row r="74" spans="1:14" x14ac:dyDescent="0.4">
      <c r="A74" s="20" t="s">
        <v>40</v>
      </c>
      <c r="B74" s="20"/>
      <c r="C74" s="20"/>
      <c r="D74" s="22">
        <v>0</v>
      </c>
      <c r="E74" s="22"/>
      <c r="F74" s="22">
        <v>0</v>
      </c>
      <c r="G74" s="22"/>
      <c r="H74" s="22">
        <v>0</v>
      </c>
      <c r="I74" s="22"/>
      <c r="J74" s="22">
        <v>0</v>
      </c>
      <c r="K74" s="22"/>
      <c r="L74" s="22">
        <v>0</v>
      </c>
      <c r="M74" s="22"/>
      <c r="N74" s="22">
        <v>0</v>
      </c>
    </row>
    <row r="75" spans="1:14" x14ac:dyDescent="0.4">
      <c r="A75" s="20" t="s">
        <v>41</v>
      </c>
      <c r="B75" s="20"/>
      <c r="C75" s="20"/>
      <c r="D75" s="22">
        <v>0</v>
      </c>
      <c r="E75" s="22"/>
      <c r="F75" s="22">
        <v>0</v>
      </c>
      <c r="G75" s="22"/>
      <c r="H75" s="22">
        <v>0</v>
      </c>
      <c r="I75" s="22"/>
      <c r="J75" s="22">
        <v>0</v>
      </c>
      <c r="K75" s="22"/>
      <c r="L75" s="22">
        <v>0</v>
      </c>
      <c r="M75" s="22"/>
      <c r="N75" s="22">
        <v>0</v>
      </c>
    </row>
    <row r="76" spans="1:14" x14ac:dyDescent="0.4">
      <c r="A76" s="20" t="s">
        <v>42</v>
      </c>
      <c r="B76" s="20"/>
      <c r="C76" s="20"/>
      <c r="D76" s="22">
        <v>1582.4280000000001</v>
      </c>
      <c r="E76" s="22"/>
      <c r="F76" s="22">
        <v>1286.0640000000001</v>
      </c>
      <c r="G76" s="22"/>
      <c r="H76" s="22">
        <v>1285.4829999999999</v>
      </c>
      <c r="I76" s="22"/>
      <c r="J76" s="22">
        <v>1193.2570000000001</v>
      </c>
      <c r="K76" s="22"/>
      <c r="L76" s="22">
        <v>1192.4459999999999</v>
      </c>
      <c r="M76" s="22"/>
      <c r="N76" s="22">
        <v>1201.3050000000001</v>
      </c>
    </row>
    <row r="77" spans="1:14" x14ac:dyDescent="0.4">
      <c r="A77" s="20" t="s">
        <v>43</v>
      </c>
      <c r="B77" s="20"/>
      <c r="C77" s="20"/>
      <c r="D77" s="22">
        <v>0</v>
      </c>
      <c r="E77" s="22"/>
      <c r="F77" s="22">
        <v>0</v>
      </c>
      <c r="G77" s="22"/>
      <c r="H77" s="22">
        <v>0</v>
      </c>
      <c r="I77" s="22"/>
      <c r="J77" s="22">
        <v>0</v>
      </c>
      <c r="K77" s="22"/>
      <c r="L77" s="22">
        <v>0</v>
      </c>
      <c r="M77" s="22"/>
      <c r="N77" s="22">
        <v>0</v>
      </c>
    </row>
    <row r="78" spans="1:14" x14ac:dyDescent="0.4">
      <c r="A78" s="20" t="s">
        <v>44</v>
      </c>
      <c r="B78" s="20"/>
      <c r="C78" s="20"/>
      <c r="D78" s="22">
        <f>SUM(D68:D77)</f>
        <v>3815.7390000000005</v>
      </c>
      <c r="E78" s="22"/>
      <c r="F78" s="22">
        <f>SUM(F68:F77)</f>
        <v>3415.4539999999997</v>
      </c>
      <c r="G78" s="22"/>
      <c r="H78" s="22">
        <v>3328.1390000000001</v>
      </c>
      <c r="I78" s="22"/>
      <c r="J78" s="22">
        <v>3153.4659999999999</v>
      </c>
      <c r="K78" s="22"/>
      <c r="L78" s="22">
        <v>3080.7260000000001</v>
      </c>
      <c r="M78" s="22"/>
      <c r="N78" s="22">
        <v>3042.86</v>
      </c>
    </row>
    <row r="79" spans="1:14" x14ac:dyDescent="0.4">
      <c r="A79" s="20" t="s">
        <v>45</v>
      </c>
      <c r="B79" s="20"/>
      <c r="C79" s="20"/>
      <c r="D79" s="22">
        <v>0</v>
      </c>
      <c r="E79" s="22"/>
      <c r="F79" s="22">
        <v>0</v>
      </c>
      <c r="G79" s="22"/>
      <c r="H79" s="22">
        <v>0</v>
      </c>
      <c r="I79" s="22"/>
      <c r="J79" s="22">
        <v>0</v>
      </c>
      <c r="K79" s="22"/>
      <c r="L79" s="22">
        <v>7.0000000000000001E-3</v>
      </c>
      <c r="M79" s="22"/>
      <c r="N79" s="22">
        <v>7.0000000000000001E-3</v>
      </c>
    </row>
    <row r="80" spans="1:14" x14ac:dyDescent="0.4">
      <c r="A80" s="20" t="s">
        <v>46</v>
      </c>
      <c r="B80" s="20"/>
      <c r="C80" s="20"/>
      <c r="D80" s="22">
        <v>418.22500000000002</v>
      </c>
      <c r="E80" s="22"/>
      <c r="F80" s="22">
        <v>516.5</v>
      </c>
      <c r="G80" s="22"/>
      <c r="H80" s="22">
        <v>299.5</v>
      </c>
      <c r="I80" s="22"/>
      <c r="J80" s="22">
        <v>357.21499999999997</v>
      </c>
      <c r="K80" s="22"/>
      <c r="L80" s="22">
        <v>145</v>
      </c>
      <c r="M80" s="22"/>
      <c r="N80" s="22">
        <v>12.5</v>
      </c>
    </row>
    <row r="81" spans="1:14" x14ac:dyDescent="0.4">
      <c r="A81" s="20" t="s">
        <v>47</v>
      </c>
      <c r="B81" s="20"/>
      <c r="C81" s="20"/>
      <c r="D81" s="22">
        <v>0</v>
      </c>
      <c r="E81" s="22"/>
      <c r="F81" s="22">
        <v>0</v>
      </c>
      <c r="G81" s="22"/>
      <c r="H81" s="22">
        <v>0</v>
      </c>
      <c r="I81" s="22"/>
      <c r="J81" s="22">
        <v>0</v>
      </c>
      <c r="K81" s="22"/>
      <c r="L81" s="22">
        <v>0</v>
      </c>
      <c r="M81" s="22"/>
      <c r="N81" s="22">
        <v>0</v>
      </c>
    </row>
    <row r="82" spans="1:14" x14ac:dyDescent="0.4">
      <c r="A82" s="20" t="s">
        <v>48</v>
      </c>
      <c r="B82" s="20"/>
      <c r="C82" s="20"/>
      <c r="D82" s="22">
        <v>196.41200000000001</v>
      </c>
      <c r="E82" s="22"/>
      <c r="F82" s="22">
        <v>186.749</v>
      </c>
      <c r="G82" s="22"/>
      <c r="H82" s="22">
        <v>172.23400000000001</v>
      </c>
      <c r="I82" s="22"/>
      <c r="J82" s="22">
        <v>162.995</v>
      </c>
      <c r="K82" s="22"/>
      <c r="L82" s="22">
        <v>140.095</v>
      </c>
      <c r="M82" s="22"/>
      <c r="N82" s="22">
        <v>119.03</v>
      </c>
    </row>
    <row r="83" spans="1:14" x14ac:dyDescent="0.4">
      <c r="A83" s="20" t="s">
        <v>49</v>
      </c>
      <c r="B83" s="20"/>
      <c r="C83" s="20"/>
      <c r="D83" s="22">
        <v>194.881</v>
      </c>
      <c r="E83" s="22"/>
      <c r="F83" s="22">
        <v>180.39500000000001</v>
      </c>
      <c r="G83" s="22"/>
      <c r="H83" s="22">
        <v>160.08600000000001</v>
      </c>
      <c r="I83" s="22"/>
      <c r="J83" s="22">
        <v>151.88900000000001</v>
      </c>
      <c r="K83" s="22"/>
      <c r="L83" s="22">
        <v>143.82900000000001</v>
      </c>
      <c r="M83" s="22"/>
      <c r="N83" s="22">
        <v>133.023</v>
      </c>
    </row>
    <row r="84" spans="1:14" x14ac:dyDescent="0.4">
      <c r="A84" s="20" t="s">
        <v>50</v>
      </c>
      <c r="B84" s="20"/>
      <c r="C84" s="20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x14ac:dyDescent="0.4">
      <c r="A85" s="20" t="s">
        <v>51</v>
      </c>
      <c r="B85" s="20"/>
      <c r="C85" s="20"/>
      <c r="D85" s="22">
        <v>18.484999999999999</v>
      </c>
      <c r="E85" s="22"/>
      <c r="F85" s="22">
        <v>13.307</v>
      </c>
      <c r="G85" s="22"/>
      <c r="H85" s="22">
        <v>53.241999999999997</v>
      </c>
      <c r="I85" s="22"/>
      <c r="J85" s="22">
        <v>92.393000000000001</v>
      </c>
      <c r="K85" s="22"/>
      <c r="L85" s="22">
        <v>86.787999999999997</v>
      </c>
      <c r="M85" s="22"/>
      <c r="N85" s="22">
        <v>63.789000000000001</v>
      </c>
    </row>
    <row r="86" spans="1:14" x14ac:dyDescent="0.4">
      <c r="A86" s="20" t="s">
        <v>52</v>
      </c>
      <c r="B86" s="20"/>
      <c r="C86" s="20"/>
      <c r="D86" s="22">
        <v>0</v>
      </c>
      <c r="E86" s="22"/>
      <c r="F86" s="22">
        <v>0</v>
      </c>
      <c r="G86" s="22"/>
      <c r="H86" s="22">
        <v>0</v>
      </c>
      <c r="I86" s="22"/>
      <c r="J86" s="22">
        <v>0</v>
      </c>
      <c r="K86" s="22"/>
      <c r="L86" s="22">
        <v>0</v>
      </c>
      <c r="M86" s="22"/>
      <c r="N86" s="22">
        <v>0</v>
      </c>
    </row>
    <row r="87" spans="1:14" x14ac:dyDescent="0.4">
      <c r="A87" s="20" t="s">
        <v>53</v>
      </c>
      <c r="B87" s="20"/>
      <c r="C87" s="20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 x14ac:dyDescent="0.4">
      <c r="A88" s="20" t="s">
        <v>69</v>
      </c>
      <c r="B88" s="20"/>
      <c r="C88" s="20"/>
      <c r="D88" s="22">
        <f>9.803+15.45</f>
        <v>25.253</v>
      </c>
      <c r="E88" s="22"/>
      <c r="F88" s="22">
        <f>9.314+8.994</f>
        <v>18.308</v>
      </c>
      <c r="G88" s="22"/>
      <c r="H88" s="22">
        <v>16.701000000000001</v>
      </c>
      <c r="I88" s="22"/>
      <c r="J88" s="22">
        <v>16.199000000000002</v>
      </c>
      <c r="K88" s="22"/>
      <c r="L88" s="22">
        <v>16.646000000000001</v>
      </c>
      <c r="M88" s="22"/>
      <c r="N88" s="22">
        <v>13.707000000000001</v>
      </c>
    </row>
    <row r="89" spans="1:14" x14ac:dyDescent="0.4">
      <c r="A89" s="20" t="s">
        <v>54</v>
      </c>
      <c r="B89" s="20"/>
      <c r="C89" s="20"/>
      <c r="D89" s="22">
        <v>471.34500000000003</v>
      </c>
      <c r="E89" s="22"/>
      <c r="F89" s="22">
        <v>417.322</v>
      </c>
      <c r="G89" s="22"/>
      <c r="H89" s="22">
        <v>394.45</v>
      </c>
      <c r="I89" s="22"/>
      <c r="J89" s="22">
        <v>356.36099999999999</v>
      </c>
      <c r="K89" s="22"/>
      <c r="L89" s="22">
        <v>309.07100000000003</v>
      </c>
      <c r="M89" s="22"/>
      <c r="N89" s="22">
        <v>294.32</v>
      </c>
    </row>
    <row r="90" spans="1:14" x14ac:dyDescent="0.4">
      <c r="A90" s="20" t="s">
        <v>55</v>
      </c>
      <c r="B90" s="20"/>
      <c r="C90" s="20"/>
      <c r="D90" s="22">
        <v>114.372</v>
      </c>
      <c r="E90" s="22"/>
      <c r="F90" s="22">
        <v>105.42400000000001</v>
      </c>
      <c r="G90" s="22"/>
      <c r="H90" s="22">
        <v>96.593999999999994</v>
      </c>
      <c r="I90" s="22"/>
      <c r="J90" s="22">
        <v>87.950999999999993</v>
      </c>
      <c r="K90" s="22"/>
      <c r="L90" s="22">
        <v>73.209000000000003</v>
      </c>
      <c r="M90" s="22"/>
      <c r="N90" s="22">
        <v>62.826000000000001</v>
      </c>
    </row>
    <row r="91" spans="1:14" x14ac:dyDescent="0.4">
      <c r="A91" s="20" t="s">
        <v>56</v>
      </c>
      <c r="B91" s="20"/>
      <c r="C91" s="20"/>
      <c r="D91" s="22">
        <v>0</v>
      </c>
      <c r="E91" s="22"/>
      <c r="F91" s="22">
        <v>0</v>
      </c>
      <c r="G91" s="22"/>
      <c r="H91" s="22">
        <v>0</v>
      </c>
      <c r="I91" s="22"/>
      <c r="J91" s="22">
        <v>0</v>
      </c>
      <c r="K91" s="22"/>
      <c r="L91" s="22">
        <v>0</v>
      </c>
      <c r="M91" s="22"/>
      <c r="N91" s="22">
        <v>0</v>
      </c>
    </row>
    <row r="92" spans="1:14" x14ac:dyDescent="0.4">
      <c r="A92" s="20" t="s">
        <v>57</v>
      </c>
      <c r="B92" s="20"/>
      <c r="C92" s="20"/>
      <c r="D92" s="22">
        <v>60.125999999999998</v>
      </c>
      <c r="E92" s="22"/>
      <c r="F92" s="22">
        <v>61.16</v>
      </c>
      <c r="G92" s="22"/>
      <c r="H92" s="22">
        <v>49.371000000000002</v>
      </c>
      <c r="I92" s="22"/>
      <c r="J92" s="22">
        <v>44.436</v>
      </c>
      <c r="K92" s="22"/>
      <c r="L92" s="22">
        <v>42.128999999999998</v>
      </c>
      <c r="M92" s="22"/>
      <c r="N92" s="22">
        <v>26.245999999999999</v>
      </c>
    </row>
    <row r="93" spans="1:14" x14ac:dyDescent="0.4">
      <c r="A93" s="20" t="s">
        <v>58</v>
      </c>
      <c r="B93" s="20"/>
      <c r="C93" s="20"/>
      <c r="D93" s="22">
        <v>30.361000000000001</v>
      </c>
      <c r="E93" s="22"/>
      <c r="F93" s="22">
        <v>30.152000000000001</v>
      </c>
      <c r="G93" s="22"/>
      <c r="H93" s="22">
        <v>0.8</v>
      </c>
      <c r="I93" s="22"/>
      <c r="J93" s="22">
        <v>-1.389</v>
      </c>
      <c r="K93" s="22"/>
      <c r="L93" s="22">
        <v>-35.701999999999998</v>
      </c>
      <c r="M93" s="22"/>
      <c r="N93" s="22">
        <v>-5.423</v>
      </c>
    </row>
    <row r="94" spans="1:14" x14ac:dyDescent="0.4">
      <c r="A94" s="20" t="s">
        <v>67</v>
      </c>
      <c r="B94" s="20"/>
      <c r="C94" s="20"/>
      <c r="D94" s="22">
        <v>1</v>
      </c>
      <c r="E94" s="22"/>
      <c r="F94" s="22">
        <v>1</v>
      </c>
      <c r="G94" s="22"/>
      <c r="H94" s="22">
        <v>1</v>
      </c>
      <c r="I94" s="22"/>
      <c r="J94" s="22">
        <v>1</v>
      </c>
      <c r="K94" s="22"/>
      <c r="L94" s="22">
        <v>1</v>
      </c>
      <c r="M94" s="22"/>
      <c r="N94" s="22">
        <v>1</v>
      </c>
    </row>
    <row r="95" spans="1:14" x14ac:dyDescent="0.4">
      <c r="A95" s="20" t="s">
        <v>68</v>
      </c>
      <c r="B95" s="20"/>
      <c r="C95" s="20"/>
      <c r="D95" s="22">
        <v>1</v>
      </c>
      <c r="E95" s="22"/>
      <c r="F95" s="22">
        <v>1</v>
      </c>
      <c r="G95" s="22"/>
      <c r="H95" s="22">
        <v>1</v>
      </c>
      <c r="I95" s="22"/>
      <c r="J95" s="22">
        <v>1</v>
      </c>
      <c r="K95" s="22"/>
      <c r="L95" s="22">
        <v>1</v>
      </c>
      <c r="M95" s="22"/>
      <c r="N95" s="22">
        <v>1</v>
      </c>
    </row>
    <row r="96" spans="1:14" x14ac:dyDescent="0.4">
      <c r="A96" s="20" t="s">
        <v>59</v>
      </c>
      <c r="B96" s="20"/>
      <c r="C96" s="20"/>
      <c r="D96" s="22">
        <v>115.286</v>
      </c>
      <c r="E96" s="22"/>
      <c r="F96" s="22">
        <v>106.327</v>
      </c>
      <c r="G96" s="22"/>
      <c r="H96" s="22">
        <v>97.486000000000004</v>
      </c>
      <c r="I96" s="22"/>
      <c r="J96" s="22">
        <v>88.876999999999995</v>
      </c>
      <c r="K96" s="22"/>
      <c r="L96" s="22">
        <v>74.12</v>
      </c>
      <c r="M96" s="22"/>
      <c r="N96" s="22">
        <v>63.878</v>
      </c>
    </row>
    <row r="97" spans="1:18" x14ac:dyDescent="0.4">
      <c r="A97" s="20" t="s">
        <v>60</v>
      </c>
      <c r="B97" s="20"/>
      <c r="C97" s="20"/>
      <c r="D97" s="22">
        <v>2.16</v>
      </c>
      <c r="E97" s="22"/>
      <c r="F97" s="22">
        <v>2</v>
      </c>
      <c r="G97" s="22"/>
      <c r="H97" s="22">
        <v>1.84</v>
      </c>
      <c r="I97" s="22"/>
      <c r="J97" s="22">
        <v>1.68</v>
      </c>
      <c r="K97" s="22"/>
      <c r="L97" s="22">
        <v>1.4</v>
      </c>
      <c r="M97" s="22"/>
      <c r="N97" s="22">
        <v>1.2</v>
      </c>
    </row>
    <row r="98" spans="1:18" x14ac:dyDescent="0.4">
      <c r="A98" s="20" t="s">
        <v>61</v>
      </c>
      <c r="B98" s="20"/>
      <c r="C98" s="20"/>
      <c r="D98" s="22">
        <v>2.16</v>
      </c>
      <c r="E98" s="22"/>
      <c r="F98" s="22">
        <v>2</v>
      </c>
      <c r="G98" s="22"/>
      <c r="H98" s="22">
        <v>1.84</v>
      </c>
      <c r="I98" s="22"/>
      <c r="J98" s="22">
        <v>1.68</v>
      </c>
      <c r="K98" s="22"/>
      <c r="L98" s="22">
        <v>1.4</v>
      </c>
      <c r="M98" s="22"/>
      <c r="N98" s="22">
        <v>1.2</v>
      </c>
    </row>
    <row r="99" spans="1:18" x14ac:dyDescent="0.4">
      <c r="A99" s="20" t="s">
        <v>62</v>
      </c>
      <c r="B99" s="20"/>
      <c r="C99" s="20"/>
      <c r="D99" s="22">
        <v>96.97</v>
      </c>
      <c r="E99" s="22"/>
      <c r="F99" s="22">
        <v>96.66</v>
      </c>
      <c r="G99" s="22"/>
      <c r="H99" s="22">
        <v>87.75</v>
      </c>
      <c r="I99" s="22"/>
      <c r="J99" s="22">
        <v>79.507999999999996</v>
      </c>
      <c r="K99" s="22"/>
      <c r="L99" s="22">
        <v>67.349999999999994</v>
      </c>
      <c r="M99" s="22"/>
      <c r="N99" s="22">
        <v>51.79</v>
      </c>
    </row>
    <row r="100" spans="1:18" x14ac:dyDescent="0.4">
      <c r="A100" s="20" t="s">
        <v>63</v>
      </c>
      <c r="B100" s="20"/>
      <c r="C100" s="20"/>
      <c r="D100" s="22">
        <v>63.67</v>
      </c>
      <c r="E100" s="22"/>
      <c r="F100" s="22">
        <v>75.819999999999993</v>
      </c>
      <c r="G100" s="22"/>
      <c r="H100" s="22">
        <v>62.2</v>
      </c>
      <c r="I100" s="22"/>
      <c r="J100" s="22">
        <v>61.42</v>
      </c>
      <c r="K100" s="22"/>
      <c r="L100" s="22">
        <v>48.01</v>
      </c>
      <c r="M100" s="22"/>
      <c r="N100" s="22">
        <v>38.880000000000003</v>
      </c>
    </row>
    <row r="101" spans="1:18" x14ac:dyDescent="0.4">
      <c r="A101" s="20" t="s">
        <v>64</v>
      </c>
      <c r="B101" s="20"/>
      <c r="C101" s="20"/>
      <c r="D101" s="22">
        <v>76.77</v>
      </c>
      <c r="E101" s="22"/>
      <c r="F101" s="22">
        <v>93.57</v>
      </c>
      <c r="G101" s="22"/>
      <c r="H101" s="22">
        <v>79.599999999999994</v>
      </c>
      <c r="I101" s="22"/>
      <c r="J101" s="22">
        <v>73.260000000000005</v>
      </c>
      <c r="K101" s="22"/>
      <c r="L101" s="22">
        <v>63.96</v>
      </c>
      <c r="M101" s="22"/>
      <c r="N101" s="22">
        <v>50.17</v>
      </c>
    </row>
    <row r="102" spans="1:18" x14ac:dyDescent="0.4">
      <c r="A102" s="20" t="s">
        <v>65</v>
      </c>
      <c r="B102" s="20"/>
      <c r="C102" s="20"/>
      <c r="D102" s="22">
        <v>53.166733000000001</v>
      </c>
      <c r="E102" s="22"/>
      <c r="F102" s="22">
        <v>52.771749</v>
      </c>
      <c r="G102" s="22"/>
      <c r="H102" s="22">
        <v>52.564999999999998</v>
      </c>
      <c r="I102" s="22"/>
      <c r="J102" s="22">
        <v>52.313000000000002</v>
      </c>
      <c r="K102" s="22"/>
      <c r="L102" s="22">
        <v>52.283000000000001</v>
      </c>
      <c r="M102" s="22"/>
      <c r="N102" s="22">
        <v>52.259</v>
      </c>
      <c r="R102" s="22"/>
    </row>
    <row r="103" spans="1:18" x14ac:dyDescent="0.4">
      <c r="A103" s="20" t="s">
        <v>77</v>
      </c>
      <c r="B103" s="20"/>
      <c r="C103" s="20"/>
      <c r="D103" s="22">
        <v>-7.7770000000000001</v>
      </c>
      <c r="E103" s="22"/>
      <c r="F103" s="22">
        <v>-6.7389999999999999</v>
      </c>
      <c r="G103" s="22"/>
      <c r="H103" s="22">
        <v>-4.0860000000000003</v>
      </c>
      <c r="I103" s="22"/>
      <c r="J103" s="22">
        <v>-5.4930000000000003</v>
      </c>
      <c r="K103" s="22"/>
      <c r="L103" s="22">
        <v>-4.7149999999999999</v>
      </c>
      <c r="M103" s="22"/>
      <c r="N103" s="22">
        <v>-4.4009999999999998</v>
      </c>
    </row>
    <row r="104" spans="1:18" x14ac:dyDescent="0.4">
      <c r="A104" t="s">
        <v>71</v>
      </c>
    </row>
    <row r="105" spans="1:18" x14ac:dyDescent="0.4">
      <c r="B105" t="s">
        <v>70</v>
      </c>
      <c r="D105" s="15">
        <f>D67/D94</f>
        <v>3.7</v>
      </c>
      <c r="F105" s="15">
        <f>F67/F94</f>
        <v>3.53</v>
      </c>
      <c r="H105" s="15">
        <f>H67/H94</f>
        <v>3.27</v>
      </c>
      <c r="J105" s="15">
        <f>J67/J94</f>
        <v>3.1</v>
      </c>
      <c r="L105" s="15">
        <f>L67/L94</f>
        <v>2.67</v>
      </c>
      <c r="N105" s="15">
        <f>N67/N94</f>
        <v>2.2599999999999998</v>
      </c>
    </row>
    <row r="106" spans="1:18" x14ac:dyDescent="0.4">
      <c r="B106" t="s">
        <v>60</v>
      </c>
      <c r="D106" s="15">
        <f>D97/D94</f>
        <v>2.16</v>
      </c>
      <c r="F106" s="15">
        <f>F97/F94</f>
        <v>2</v>
      </c>
      <c r="H106" s="15">
        <f>H97/H94</f>
        <v>1.84</v>
      </c>
      <c r="J106" s="15">
        <f>J97/J94</f>
        <v>1.68</v>
      </c>
      <c r="L106" s="15">
        <f>L97/L94</f>
        <v>1.4</v>
      </c>
      <c r="N106" s="15">
        <f>N97/N94</f>
        <v>1.2</v>
      </c>
    </row>
    <row r="107" spans="1:18" x14ac:dyDescent="0.4">
      <c r="B107" t="s">
        <v>61</v>
      </c>
      <c r="D107" s="15">
        <f>D98/D94</f>
        <v>2.16</v>
      </c>
      <c r="F107" s="15">
        <f>F98/F94</f>
        <v>2</v>
      </c>
      <c r="H107" s="15">
        <f>H98/H94</f>
        <v>1.84</v>
      </c>
      <c r="J107" s="15">
        <f>J98/J94</f>
        <v>1.68</v>
      </c>
      <c r="L107" s="15">
        <f>L98/L94</f>
        <v>1.4</v>
      </c>
      <c r="N107" s="15">
        <f>N98/N94</f>
        <v>1.2</v>
      </c>
    </row>
    <row r="108" spans="1:18" x14ac:dyDescent="0.4">
      <c r="B108" t="s">
        <v>62</v>
      </c>
      <c r="D108" s="15">
        <f>D99/D94</f>
        <v>96.97</v>
      </c>
      <c r="F108" s="15">
        <f>F99/F94</f>
        <v>96.66</v>
      </c>
      <c r="H108" s="15">
        <f>H99/H94</f>
        <v>87.75</v>
      </c>
      <c r="J108" s="15">
        <f>J99/J94</f>
        <v>79.507999999999996</v>
      </c>
      <c r="L108" s="15">
        <f>L99/L94</f>
        <v>67.349999999999994</v>
      </c>
      <c r="N108" s="15">
        <f>N99/N94</f>
        <v>51.79</v>
      </c>
    </row>
    <row r="109" spans="1:18" x14ac:dyDescent="0.4">
      <c r="B109" t="s">
        <v>63</v>
      </c>
      <c r="D109" s="15">
        <f>D100/D94</f>
        <v>63.67</v>
      </c>
      <c r="F109" s="15">
        <f>F100/F94</f>
        <v>75.819999999999993</v>
      </c>
      <c r="H109" s="15">
        <f>H100/H94</f>
        <v>62.2</v>
      </c>
      <c r="J109" s="15">
        <f>J100/J94</f>
        <v>61.42</v>
      </c>
      <c r="L109" s="15">
        <f>L100/L94</f>
        <v>48.01</v>
      </c>
      <c r="N109" s="15">
        <f>N100/N94</f>
        <v>38.880000000000003</v>
      </c>
    </row>
    <row r="110" spans="1:18" x14ac:dyDescent="0.4">
      <c r="B110" t="s">
        <v>64</v>
      </c>
      <c r="D110" s="15">
        <f>D101/D94</f>
        <v>76.77</v>
      </c>
      <c r="F110" s="15">
        <f>F101/F94</f>
        <v>93.57</v>
      </c>
      <c r="H110" s="15">
        <f>H101/H94</f>
        <v>79.599999999999994</v>
      </c>
      <c r="J110" s="15">
        <f>J101/J94</f>
        <v>73.260000000000005</v>
      </c>
      <c r="L110" s="15">
        <f>L101/L94</f>
        <v>63.96</v>
      </c>
      <c r="N110" s="15">
        <f>N101/N94</f>
        <v>50.17</v>
      </c>
    </row>
    <row r="111" spans="1:18" x14ac:dyDescent="0.4">
      <c r="B111" t="s">
        <v>65</v>
      </c>
      <c r="D111" s="16">
        <f>D102*D94</f>
        <v>53.166733000000001</v>
      </c>
      <c r="E111" s="16"/>
      <c r="F111" s="16">
        <f>F102*F94</f>
        <v>52.771749</v>
      </c>
      <c r="G111" s="16"/>
      <c r="H111" s="16">
        <f>H102*H94</f>
        <v>52.564999999999998</v>
      </c>
      <c r="I111" s="16"/>
      <c r="J111" s="16">
        <f>J102*J94</f>
        <v>52.313000000000002</v>
      </c>
      <c r="K111" s="16"/>
      <c r="L111" s="16">
        <f>L102*L94</f>
        <v>52.283000000000001</v>
      </c>
      <c r="M111" s="16"/>
      <c r="N111" s="16">
        <f>N102*N94</f>
        <v>52.259</v>
      </c>
    </row>
    <row r="112" spans="1:18" x14ac:dyDescent="0.4">
      <c r="B112" t="s">
        <v>66</v>
      </c>
      <c r="D112" s="15">
        <f>ROUND(D68/D111,2)</f>
        <v>42.01</v>
      </c>
      <c r="F112" s="15">
        <f>ROUND(F68/F111,2)</f>
        <v>40.35</v>
      </c>
      <c r="H112" s="15">
        <f>ROUND(H68/H111,2)</f>
        <v>38.86</v>
      </c>
      <c r="J112" s="15">
        <f>ROUND(J68/J111,2)</f>
        <v>37.47</v>
      </c>
      <c r="L112" s="15">
        <f>ROUND(L68/L111,2)</f>
        <v>36.119999999999997</v>
      </c>
      <c r="N112" s="15">
        <f>ROUND(N68/N111,2)</f>
        <v>35.24</v>
      </c>
    </row>
  </sheetData>
  <mergeCells count="4">
    <mergeCell ref="D6:L6"/>
    <mergeCell ref="A1:O1"/>
    <mergeCell ref="A2:O2"/>
    <mergeCell ref="A3:O3"/>
  </mergeCells>
  <phoneticPr fontId="0" type="noConversion"/>
  <pageMargins left="1.25" right="0" top="1.5" bottom="1" header="0.5" footer="0.5"/>
  <pageSetup scale="62" orientation="portrait" r:id="rId1"/>
  <headerFooter alignWithMargins="0"/>
  <rowBreaks count="1" manualBreakCount="1">
    <brk id="5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12"/>
  <sheetViews>
    <sheetView zoomScale="85" zoomScaleNormal="85" workbookViewId="0">
      <selection sqref="A1:O1"/>
    </sheetView>
  </sheetViews>
  <sheetFormatPr defaultRowHeight="15" x14ac:dyDescent="0.4"/>
  <cols>
    <col min="1" max="1" width="2.6640625" customWidth="1"/>
    <col min="2" max="2" width="24.71875" customWidth="1"/>
    <col min="4" max="4" width="10.21875" customWidth="1"/>
    <col min="5" max="5" width="3.71875" customWidth="1"/>
    <col min="6" max="6" width="10.21875" customWidth="1"/>
    <col min="7" max="7" width="3.71875" customWidth="1"/>
    <col min="8" max="8" width="10.21875" customWidth="1"/>
    <col min="9" max="9" width="3.71875" customWidth="1"/>
    <col min="10" max="10" width="10.21875" customWidth="1"/>
    <col min="11" max="11" width="3.71875" customWidth="1"/>
    <col min="12" max="12" width="10.21875" customWidth="1"/>
    <col min="13" max="13" width="3.71875" customWidth="1"/>
    <col min="14" max="14" width="8.71875" customWidth="1"/>
    <col min="15" max="15" width="2.71875" customWidth="1"/>
  </cols>
  <sheetData>
    <row r="1" spans="1:15" x14ac:dyDescent="0.4">
      <c r="A1" s="46" t="str">
        <f>A54</f>
        <v>SOUTH JERSEY INDUSTRIES INC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x14ac:dyDescent="0.4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x14ac:dyDescent="0.4">
      <c r="A3" s="42" t="str">
        <f>'Page 1'!A3:N3</f>
        <v>2016-2020, Inclusive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5" spans="1:15" s="1" customFormat="1" x14ac:dyDescent="0.4">
      <c r="D5" s="2">
        <f>D55</f>
        <v>2020</v>
      </c>
      <c r="F5" s="2">
        <f>F55</f>
        <v>2019</v>
      </c>
      <c r="H5" s="2">
        <f>H55</f>
        <v>2018</v>
      </c>
      <c r="J5" s="2">
        <f>J55</f>
        <v>2017</v>
      </c>
      <c r="L5" s="2">
        <f>L55</f>
        <v>2016</v>
      </c>
    </row>
    <row r="6" spans="1:15" s="1" customFormat="1" x14ac:dyDescent="0.4">
      <c r="D6" s="45" t="s">
        <v>18</v>
      </c>
      <c r="E6" s="45"/>
      <c r="F6" s="45"/>
      <c r="G6" s="45"/>
      <c r="H6" s="45"/>
      <c r="I6" s="45"/>
      <c r="J6" s="45"/>
      <c r="K6" s="45"/>
      <c r="L6" s="45"/>
    </row>
    <row r="7" spans="1:15" x14ac:dyDescent="0.4">
      <c r="A7" t="s">
        <v>1</v>
      </c>
    </row>
    <row r="8" spans="1:15" x14ac:dyDescent="0.4">
      <c r="B8" t="s">
        <v>6</v>
      </c>
      <c r="D8" s="37">
        <f>D78+D79+D81-D103</f>
        <v>4624.2930000000006</v>
      </c>
      <c r="F8" s="37">
        <f>F78+F79+F81-F103</f>
        <v>3994.3380000000002</v>
      </c>
      <c r="H8" s="37">
        <f>H78+H79+H81-H103</f>
        <v>4133.8890000000001</v>
      </c>
      <c r="J8" s="37">
        <f>J78+J79+J81-J103</f>
        <v>2415.982</v>
      </c>
      <c r="L8" s="37">
        <f>L78+L79+L81-L103</f>
        <v>2356.5349999999999</v>
      </c>
    </row>
    <row r="9" spans="1:15" x14ac:dyDescent="0.4">
      <c r="B9" t="s">
        <v>5</v>
      </c>
      <c r="D9" s="11">
        <f>D80</f>
        <v>596.4</v>
      </c>
      <c r="F9" s="11">
        <f>F80</f>
        <v>848.7</v>
      </c>
      <c r="H9" s="11">
        <f>H80</f>
        <v>270.5</v>
      </c>
      <c r="J9" s="11">
        <f>J80</f>
        <v>346.4</v>
      </c>
      <c r="L9" s="11">
        <f>L80</f>
        <v>296.10000000000002</v>
      </c>
    </row>
    <row r="10" spans="1:15" ht="15.4" thickBot="1" x14ac:dyDescent="0.45">
      <c r="B10" t="s">
        <v>7</v>
      </c>
      <c r="D10" s="12">
        <f>D8+D9</f>
        <v>5220.6930000000002</v>
      </c>
      <c r="F10" s="12">
        <f>F8+F9</f>
        <v>4843.0380000000005</v>
      </c>
      <c r="H10" s="12">
        <f>H8+H9</f>
        <v>4404.3890000000001</v>
      </c>
      <c r="J10" s="12">
        <f>J8+J9</f>
        <v>2762.3820000000001</v>
      </c>
      <c r="L10" s="12">
        <f>L8+L9</f>
        <v>2652.6349999999998</v>
      </c>
    </row>
    <row r="11" spans="1:15" ht="15.4" thickTop="1" x14ac:dyDescent="0.4"/>
    <row r="12" spans="1:15" x14ac:dyDescent="0.4">
      <c r="A12" t="s">
        <v>8</v>
      </c>
      <c r="N12" s="2" t="s">
        <v>19</v>
      </c>
    </row>
    <row r="13" spans="1:15" x14ac:dyDescent="0.4">
      <c r="B13" s="24" t="s">
        <v>73</v>
      </c>
      <c r="D13" s="32">
        <f>ROUND(AVERAGE(D108:D109)/D105,0)</f>
        <v>16</v>
      </c>
      <c r="E13" s="7" t="s">
        <v>3</v>
      </c>
      <c r="F13" s="32">
        <f>ROUND(AVERAGE(F108:F109)/F105,0)</f>
        <v>36</v>
      </c>
      <c r="G13" s="7" t="s">
        <v>3</v>
      </c>
      <c r="H13" s="32"/>
      <c r="I13" s="7" t="s">
        <v>3</v>
      </c>
      <c r="J13" s="32"/>
      <c r="K13" s="7" t="s">
        <v>3</v>
      </c>
      <c r="L13" s="32">
        <f>ROUND(AVERAGE(L108:L109)/L105,0)</f>
        <v>18</v>
      </c>
      <c r="M13" s="7" t="s">
        <v>3</v>
      </c>
      <c r="N13" s="33">
        <f>AVERAGE(D13,F13,H13,J13,L13)</f>
        <v>23.333333333333332</v>
      </c>
      <c r="O13" s="7" t="s">
        <v>3</v>
      </c>
    </row>
    <row r="14" spans="1:15" x14ac:dyDescent="0.4">
      <c r="B14" t="s">
        <v>20</v>
      </c>
      <c r="D14" s="3">
        <f>ROUND(AVERAGE(D108:D109)/AVERAGE(D112,F112),3)</f>
        <v>1.615</v>
      </c>
      <c r="E14" s="3"/>
      <c r="F14" s="3">
        <f>ROUND(AVERAGE(F108:F109)/AVERAGE(F112,H112),3)</f>
        <v>2.0190000000000001</v>
      </c>
      <c r="G14" s="3"/>
      <c r="H14" s="3">
        <f>ROUND(AVERAGE(H108:H109)/AVERAGE(H112,J112),3)</f>
        <v>2.1030000000000002</v>
      </c>
      <c r="I14" s="3"/>
      <c r="J14" s="3">
        <f>ROUND(AVERAGE(J108:J109)/AVERAGE(J112,L112),3)</f>
        <v>2.2160000000000002</v>
      </c>
      <c r="K14" s="3"/>
      <c r="L14" s="3">
        <f>ROUND(AVERAGE(L108:L109)/AVERAGE(L112,N112),3)</f>
        <v>1.845</v>
      </c>
      <c r="M14" s="3"/>
      <c r="N14" s="6">
        <f>AVERAGE(D14,F14,H14,J14,L14)</f>
        <v>1.9596</v>
      </c>
    </row>
    <row r="15" spans="1:15" x14ac:dyDescent="0.4">
      <c r="B15" t="s">
        <v>9</v>
      </c>
      <c r="D15" s="3">
        <f>ROUND(D106/AVERAGE(D108:D109),3)</f>
        <v>4.5999999999999999E-2</v>
      </c>
      <c r="E15" s="3"/>
      <c r="F15" s="3">
        <f>ROUND(F106/AVERAGE(F108:F109),3)</f>
        <v>3.7999999999999999E-2</v>
      </c>
      <c r="G15" s="3"/>
      <c r="H15" s="3">
        <f>ROUND(H106/AVERAGE(H108:H109),3)</f>
        <v>3.5999999999999997E-2</v>
      </c>
      <c r="I15" s="3"/>
      <c r="J15" s="3">
        <f>ROUND(J106/AVERAGE(J108:J109),3)</f>
        <v>3.2000000000000001E-2</v>
      </c>
      <c r="K15" s="3"/>
      <c r="L15" s="3">
        <f>ROUND(L106/AVERAGE(L108:L109),3)</f>
        <v>3.6999999999999998E-2</v>
      </c>
      <c r="M15" s="3"/>
      <c r="N15" s="6">
        <f>AVERAGE(D15,F15,H15,J15,L15)</f>
        <v>3.78E-2</v>
      </c>
    </row>
    <row r="16" spans="1:15" x14ac:dyDescent="0.4">
      <c r="B16" t="s">
        <v>10</v>
      </c>
      <c r="D16" s="3">
        <f>ROUND(D96/D66,3)</f>
        <v>0.72899999999999998</v>
      </c>
      <c r="E16" s="3"/>
      <c r="F16" s="3">
        <f>ROUND(F96/F66,3)</f>
        <v>1.385</v>
      </c>
      <c r="G16" s="3"/>
      <c r="H16" s="3"/>
      <c r="I16" s="3"/>
      <c r="J16" s="3"/>
      <c r="K16" s="3"/>
      <c r="L16" s="3">
        <f>ROUND(L96/L66,3)</f>
        <v>0.69199999999999995</v>
      </c>
      <c r="M16" s="3"/>
      <c r="N16" s="6">
        <f>AVERAGE(D16,F16,H16,J16,L16)</f>
        <v>0.93533333333333335</v>
      </c>
    </row>
    <row r="18" spans="1:14" x14ac:dyDescent="0.4">
      <c r="A18" t="s">
        <v>2</v>
      </c>
    </row>
    <row r="19" spans="1:14" x14ac:dyDescent="0.4">
      <c r="B19" t="s">
        <v>11</v>
      </c>
    </row>
    <row r="20" spans="1:14" x14ac:dyDescent="0.4">
      <c r="B20" s="34" t="s">
        <v>78</v>
      </c>
      <c r="D20" s="3">
        <f>ROUND((+D76+D79)/D8,3)</f>
        <v>0.63100000000000001</v>
      </c>
      <c r="E20" s="3"/>
      <c r="F20" s="3">
        <f>ROUND((+F76+F79)/F8,3)</f>
        <v>0.63500000000000001</v>
      </c>
      <c r="G20" s="3"/>
      <c r="H20" s="3">
        <f>ROUND((+H76+H79)/H8,3)</f>
        <v>0.68700000000000006</v>
      </c>
      <c r="I20" s="3"/>
      <c r="J20" s="3">
        <f>ROUND((+J76+J79)/J8,3)</f>
        <v>0.49099999999999999</v>
      </c>
      <c r="K20" s="3"/>
      <c r="L20" s="3">
        <f>ROUND((+L76+L79)/L8,3)</f>
        <v>0.441</v>
      </c>
      <c r="M20" s="3"/>
      <c r="N20" s="6">
        <f>AVERAGE(D20,F20,H20,J20,L20)</f>
        <v>0.57699999999999996</v>
      </c>
    </row>
    <row r="21" spans="1:14" x14ac:dyDescent="0.4">
      <c r="B21" s="34" t="s">
        <v>79</v>
      </c>
      <c r="D21" s="3">
        <f>ROUND((SUM(D69:D75)+D81)/D8,3)</f>
        <v>1E-3</v>
      </c>
      <c r="E21" s="3"/>
      <c r="F21" s="3">
        <f>ROUND((SUM(F69:F75)+F81)/F8,3)</f>
        <v>0</v>
      </c>
      <c r="G21" s="3"/>
      <c r="H21" s="3">
        <f>ROUND((SUM(H69:H75)+H81)/H8,3)</f>
        <v>0</v>
      </c>
      <c r="I21" s="3"/>
      <c r="J21" s="3">
        <f>ROUND((SUM(J69:J75)+J81)/J8,3)</f>
        <v>0</v>
      </c>
      <c r="K21" s="3"/>
      <c r="L21" s="3">
        <f>ROUND((SUM(L69:L75)+L81)/L8,3)</f>
        <v>0</v>
      </c>
      <c r="M21" s="3"/>
      <c r="N21" s="6">
        <f>AVERAGE(D21,F21,H21,J21,L21)</f>
        <v>2.0000000000000001E-4</v>
      </c>
    </row>
    <row r="22" spans="1:14" ht="17.25" x14ac:dyDescent="0.4">
      <c r="B22" s="35" t="s">
        <v>80</v>
      </c>
      <c r="D22" s="4">
        <f>ROUND((D68-D103)/D8,3)</f>
        <v>0.36699999999999999</v>
      </c>
      <c r="E22" s="3"/>
      <c r="F22" s="4">
        <f>ROUND((F68-F103)/F8,3)</f>
        <v>0.36499999999999999</v>
      </c>
      <c r="G22" s="3"/>
      <c r="H22" s="4">
        <f>ROUND((H68-H103)/H8,3)</f>
        <v>0.313</v>
      </c>
      <c r="I22" s="3"/>
      <c r="J22" s="4">
        <f>ROUND((J68-J103)/J8,3)</f>
        <v>0.50900000000000001</v>
      </c>
      <c r="K22" s="3"/>
      <c r="L22" s="4">
        <f>ROUND((L68-L103)/L8,3)</f>
        <v>0.55900000000000005</v>
      </c>
      <c r="M22" s="3"/>
      <c r="N22" s="8">
        <f>AVERAGE(D22,F22,H22,J22,L22)</f>
        <v>0.42259999999999998</v>
      </c>
    </row>
    <row r="23" spans="1:14" ht="15.4" thickBot="1" x14ac:dyDescent="0.45">
      <c r="D23" s="5">
        <f>SUM(D20:D22)</f>
        <v>0.999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9">
        <f>AVERAGE(D23,F23,H23,J23,L23)</f>
        <v>0.99980000000000013</v>
      </c>
    </row>
    <row r="24" spans="1:14" ht="15.4" thickTop="1" x14ac:dyDescent="0.4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4">
      <c r="B25" s="34" t="s">
        <v>81</v>
      </c>
      <c r="D25" s="3">
        <f>ROUND((+D76+D79+D80)/D10,3)</f>
        <v>0.67300000000000004</v>
      </c>
      <c r="E25" s="3"/>
      <c r="F25" s="3">
        <f>ROUND((+F76+F79+F80)/F10,3)</f>
        <v>0.69899999999999995</v>
      </c>
      <c r="G25" s="3"/>
      <c r="H25" s="3">
        <f>ROUND((+H76+H79+H80)/H10,3)</f>
        <v>0.70599999999999996</v>
      </c>
      <c r="I25" s="3"/>
      <c r="J25" s="3">
        <f>ROUND((+J76+J79+J80)/J10,3)</f>
        <v>0.55500000000000005</v>
      </c>
      <c r="K25" s="3"/>
      <c r="L25" s="3">
        <f>ROUND((+L76+L79+L80)/L10,3)</f>
        <v>0.504</v>
      </c>
      <c r="M25" s="3"/>
      <c r="N25" s="6">
        <f>AVERAGE(D25,F25,H25,J25,L25)</f>
        <v>0.62739999999999996</v>
      </c>
    </row>
    <row r="26" spans="1:14" x14ac:dyDescent="0.4">
      <c r="B26" s="34" t="s">
        <v>79</v>
      </c>
      <c r="D26" s="3">
        <f>ROUND((SUM(D69:D75)+D81)/D10,3)</f>
        <v>1E-3</v>
      </c>
      <c r="E26" s="3"/>
      <c r="F26" s="3">
        <f>ROUND((SUM(F69:F75)+F81)/F10,3)</f>
        <v>0</v>
      </c>
      <c r="G26" s="3"/>
      <c r="H26" s="3">
        <f>ROUND((SUM(H69:H75)+H81)/H10,3)</f>
        <v>0</v>
      </c>
      <c r="I26" s="3"/>
      <c r="J26" s="3">
        <f>ROUND((SUM(J69:J75)+J81)/J10,3)</f>
        <v>0</v>
      </c>
      <c r="K26" s="3"/>
      <c r="L26" s="3">
        <f>ROUND((SUM(L69:L75)+L81)/L10,3)</f>
        <v>0</v>
      </c>
      <c r="M26" s="3"/>
      <c r="N26" s="6">
        <f>AVERAGE(D26,F26,H26,J26,L26)</f>
        <v>2.0000000000000001E-4</v>
      </c>
    </row>
    <row r="27" spans="1:14" ht="17.25" x14ac:dyDescent="0.4">
      <c r="B27" s="35" t="s">
        <v>80</v>
      </c>
      <c r="D27" s="4">
        <f>ROUND((D68-D103)/D10,3)</f>
        <v>0.32500000000000001</v>
      </c>
      <c r="E27" s="3"/>
      <c r="F27" s="4">
        <f>ROUND((F68-F103)/F10,3)</f>
        <v>0.30099999999999999</v>
      </c>
      <c r="G27" s="3"/>
      <c r="H27" s="4">
        <f>ROUND((H68-H103)/H10,3)</f>
        <v>0.29399999999999998</v>
      </c>
      <c r="I27" s="3"/>
      <c r="J27" s="4">
        <f>ROUND((J68-J103)/J10,3)</f>
        <v>0.44500000000000001</v>
      </c>
      <c r="K27" s="3"/>
      <c r="L27" s="4">
        <f>ROUND((L68-L103)/L10,3)</f>
        <v>0.496</v>
      </c>
      <c r="M27" s="3"/>
      <c r="N27" s="8">
        <f>AVERAGE(D27,F27,H27,J27,L27)</f>
        <v>0.37219999999999998</v>
      </c>
    </row>
    <row r="28" spans="1:14" ht="15.4" thickBot="1" x14ac:dyDescent="0.45">
      <c r="D28" s="5">
        <f>SUM(D25:D27)</f>
        <v>0.99900000000000011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9">
        <f>AVERAGE(D28,F28,H28,J28,L28)</f>
        <v>0.99980000000000013</v>
      </c>
    </row>
    <row r="29" spans="1:14" ht="15.4" thickTop="1" x14ac:dyDescent="0.4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7.25" x14ac:dyDescent="0.4">
      <c r="A30" s="36" t="s">
        <v>82</v>
      </c>
      <c r="D30" s="3">
        <f>ROUND(+D66/(((D68-D103)+(F68-F103))/2),3)</f>
        <v>0.1</v>
      </c>
      <c r="E30" s="3"/>
      <c r="F30" s="3">
        <f>ROUND(+F66/(((F68-F103)+(H68-H103))/2),3)</f>
        <v>5.6000000000000001E-2</v>
      </c>
      <c r="G30" s="3"/>
      <c r="H30" s="3">
        <f>ROUND(+H66/(((H68-H103)+(J68-J103))/2),3)</f>
        <v>1.4E-2</v>
      </c>
      <c r="I30" s="3"/>
      <c r="J30" s="3">
        <f>ROUND(+J66/(((J68-J103)+(L68-L103))/2),3)</f>
        <v>-3.0000000000000001E-3</v>
      </c>
      <c r="K30" s="3"/>
      <c r="L30" s="3">
        <f>ROUND(+L66/(((L68-L103)+(N68-N103))/2),3)</f>
        <v>0.1</v>
      </c>
      <c r="M30" s="3"/>
      <c r="N30" s="6">
        <f>AVERAGE(D30,F30,H30,J30,L30)</f>
        <v>5.3400000000000003E-2</v>
      </c>
    </row>
    <row r="31" spans="1:14" x14ac:dyDescent="0.4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 x14ac:dyDescent="0.4">
      <c r="A32" s="36" t="s">
        <v>83</v>
      </c>
      <c r="D32" s="3">
        <f>ROUND((+D58-D57)/D56,3)</f>
        <v>0.81699999999999995</v>
      </c>
      <c r="E32" s="3"/>
      <c r="F32" s="3">
        <f>ROUND((+F58-F57)/F56,3)</f>
        <v>0.876</v>
      </c>
      <c r="G32" s="3"/>
      <c r="H32" s="3">
        <f>ROUND((+H58-H57)/H56,3)</f>
        <v>0.88400000000000001</v>
      </c>
      <c r="I32" s="3"/>
      <c r="J32" s="3">
        <f>ROUND((+J58-J57)/J56,3)</f>
        <v>0.92300000000000004</v>
      </c>
      <c r="K32" s="3"/>
      <c r="L32" s="3">
        <f>ROUND((+L58-L57)/L56,3)</f>
        <v>0.81699999999999995</v>
      </c>
      <c r="M32" s="3"/>
      <c r="N32" s="6">
        <f>AVERAGE(D32,F32,H32,J32,L32)</f>
        <v>0.86340000000000006</v>
      </c>
    </row>
    <row r="34" spans="1:15" ht="17.25" x14ac:dyDescent="0.4">
      <c r="A34" s="36" t="s">
        <v>84</v>
      </c>
    </row>
    <row r="35" spans="1:15" x14ac:dyDescent="0.4">
      <c r="B35" t="s">
        <v>13</v>
      </c>
      <c r="D35" s="7">
        <f>ROUND(((+D66+D65+D64+D63+D61+D59+D57)/D61),2)</f>
        <v>2.52</v>
      </c>
      <c r="E35" s="7" t="s">
        <v>3</v>
      </c>
      <c r="F35" s="7">
        <f>ROUND(((+F66+F65+F64+F63+F61+F59+F57)/F61),2)</f>
        <v>1.86</v>
      </c>
      <c r="G35" s="7" t="s">
        <v>3</v>
      </c>
      <c r="H35" s="7">
        <f>ROUND(((+H66+H65+H64+H63+H61+H59+H57)/H61),2)</f>
        <v>1.2</v>
      </c>
      <c r="I35" s="7" t="s">
        <v>3</v>
      </c>
      <c r="J35" s="7">
        <f>ROUND(((+J66+J65+J64+J63+J61+J59+J57)/J61),2)</f>
        <v>0.49</v>
      </c>
      <c r="K35" s="7" t="s">
        <v>3</v>
      </c>
      <c r="L35" s="7">
        <f>ROUND(((+L66+L65+L64+L63+L61+L59+L57)/L61),2)</f>
        <v>5.55</v>
      </c>
      <c r="M35" s="7" t="s">
        <v>3</v>
      </c>
      <c r="N35" s="27">
        <f>AVERAGE(D35,F35,H35,J35,L35)</f>
        <v>2.3240000000000003</v>
      </c>
      <c r="O35" t="s">
        <v>3</v>
      </c>
    </row>
    <row r="36" spans="1:15" x14ac:dyDescent="0.4">
      <c r="B36" t="s">
        <v>21</v>
      </c>
      <c r="D36" s="7">
        <f>ROUND(((+D66+D65+D64+D63+D61)/(D61)),2)</f>
        <v>2.33</v>
      </c>
      <c r="E36" s="7" t="s">
        <v>3</v>
      </c>
      <c r="F36" s="7">
        <f>ROUND(((+F66+F65+F64+F63+F61)/(F61)),2)</f>
        <v>1.67</v>
      </c>
      <c r="G36" s="7" t="s">
        <v>3</v>
      </c>
      <c r="H36" s="7">
        <f>ROUND(((+H66+H65+H64+H63+H61)/(H61)),2)</f>
        <v>1.19</v>
      </c>
      <c r="I36" s="7" t="s">
        <v>3</v>
      </c>
      <c r="J36" s="7">
        <f>ROUND(((+J66+J65+J64+J63+J61)/(J61)),2)</f>
        <v>0.94</v>
      </c>
      <c r="K36" s="7" t="s">
        <v>3</v>
      </c>
      <c r="L36" s="7">
        <f>ROUND(((+L66+L65+L64+L63+L61)/(L61)),2)</f>
        <v>4.13</v>
      </c>
      <c r="M36" s="7" t="s">
        <v>3</v>
      </c>
      <c r="N36" s="27">
        <f>AVERAGE(D36,F36,H36,J36,L36)</f>
        <v>2.0519999999999996</v>
      </c>
      <c r="O36" t="s">
        <v>3</v>
      </c>
    </row>
    <row r="37" spans="1:15" x14ac:dyDescent="0.4">
      <c r="B37" t="s">
        <v>14</v>
      </c>
      <c r="D37" s="7">
        <f>ROUND(((+D66+D65+D64+D63+D61)/(D61+D63+D64+D65)),2)</f>
        <v>2.33</v>
      </c>
      <c r="E37" s="7" t="s">
        <v>3</v>
      </c>
      <c r="F37" s="7">
        <f>ROUND(((+F66+F65+F64+F63+F61)/(F61+F63+F64+F65)),2)</f>
        <v>1.67</v>
      </c>
      <c r="G37" s="7" t="s">
        <v>3</v>
      </c>
      <c r="H37" s="7">
        <f>ROUND(((+H66+H65+H64+H63+H61)/(H61+H63+H64+H65)),2)</f>
        <v>1.19</v>
      </c>
      <c r="I37" s="7" t="s">
        <v>3</v>
      </c>
      <c r="J37" s="7">
        <f>ROUND(((+J66+J65+J64+J63+J61)/(J61+J63+J64+J65)),2)</f>
        <v>0.94</v>
      </c>
      <c r="K37" s="7" t="s">
        <v>3</v>
      </c>
      <c r="L37" s="7">
        <f>ROUND(((+L66+L65+L64+L63+L61)/(L61+L63+L64+L65)),2)</f>
        <v>4.13</v>
      </c>
      <c r="M37" s="7" t="s">
        <v>3</v>
      </c>
      <c r="N37" s="27">
        <f>AVERAGE(D37,F37,H37,J37,L37)</f>
        <v>2.0519999999999996</v>
      </c>
      <c r="O37" t="s">
        <v>3</v>
      </c>
    </row>
    <row r="38" spans="1:1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7.25" x14ac:dyDescent="0.4">
      <c r="A39" s="36" t="s">
        <v>85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x14ac:dyDescent="0.4">
      <c r="B40" t="s">
        <v>13</v>
      </c>
      <c r="D40" s="7">
        <f>ROUND(((+D66+D65+D64+D63-D62+D61+D59+D57)/D61),2)</f>
        <v>2.46</v>
      </c>
      <c r="E40" s="7" t="s">
        <v>3</v>
      </c>
      <c r="F40" s="7">
        <f>ROUND(((+F66+F65+F64+F63-F62+F61+F59+F57)/F61),2)</f>
        <v>1.81</v>
      </c>
      <c r="G40" s="7" t="s">
        <v>3</v>
      </c>
      <c r="H40" s="7">
        <f>ROUND(((+H66+H65+H64+H63-H62+H61+H59+H57)/H61),2)</f>
        <v>1.17</v>
      </c>
      <c r="I40" s="7" t="s">
        <v>3</v>
      </c>
      <c r="J40" s="7">
        <f>ROUND(((+J66+J65+J64+J63-J62+J61+J59+J57)/J61),2)</f>
        <v>0.46</v>
      </c>
      <c r="K40" s="7" t="s">
        <v>3</v>
      </c>
      <c r="L40" s="7">
        <f>ROUND(((+L66+L65+L64+L63-L62+L61+L59+L57)/L61),2)</f>
        <v>5.38</v>
      </c>
      <c r="M40" s="7" t="s">
        <v>3</v>
      </c>
      <c r="N40" s="27">
        <f>AVERAGE(D40,F40,H40,J40,L40)</f>
        <v>2.2559999999999998</v>
      </c>
      <c r="O40" t="s">
        <v>3</v>
      </c>
    </row>
    <row r="41" spans="1:15" x14ac:dyDescent="0.4">
      <c r="B41" t="s">
        <v>21</v>
      </c>
      <c r="D41" s="7">
        <f>ROUND(((+D66+D65+D64+D63-D62+D61)/D61),2)</f>
        <v>2.27</v>
      </c>
      <c r="E41" s="7" t="s">
        <v>3</v>
      </c>
      <c r="F41" s="7">
        <f>ROUND(((+F66+F65+F64+F63-F62+F61)/F61),2)</f>
        <v>1.62</v>
      </c>
      <c r="G41" s="7" t="s">
        <v>3</v>
      </c>
      <c r="H41" s="7">
        <f>ROUND(((+H66+H65+H64+H63-H62+H61)/H61),2)</f>
        <v>1.17</v>
      </c>
      <c r="I41" s="7" t="s">
        <v>3</v>
      </c>
      <c r="J41" s="7">
        <f>ROUND(((+J66+J65+J64+J63-J62+J61)/J61),2)</f>
        <v>0.9</v>
      </c>
      <c r="K41" s="7" t="s">
        <v>3</v>
      </c>
      <c r="L41" s="7">
        <f>ROUND(((+L66+L65+L64+L63-L62+L61)/L61),2)</f>
        <v>3.96</v>
      </c>
      <c r="M41" s="7" t="s">
        <v>3</v>
      </c>
      <c r="N41" s="27">
        <f>AVERAGE(D41,F41,H41,J41,L41)</f>
        <v>1.9840000000000004</v>
      </c>
      <c r="O41" t="s">
        <v>3</v>
      </c>
    </row>
    <row r="42" spans="1:15" x14ac:dyDescent="0.4">
      <c r="B42" t="s">
        <v>14</v>
      </c>
      <c r="D42" s="7">
        <f>ROUND(((+D66+D65+D64+D63-D62+D61)/(D61+D63+D64+D65)),2)</f>
        <v>2.27</v>
      </c>
      <c r="E42" s="7" t="s">
        <v>3</v>
      </c>
      <c r="F42" s="7">
        <f>ROUND(((+F66+F65+F64+F63-F62+F61)/(F61+F63+F64+F65)),2)</f>
        <v>1.62</v>
      </c>
      <c r="G42" s="7" t="s">
        <v>3</v>
      </c>
      <c r="H42" s="7">
        <f>ROUND(((+H66+H65+H64+H63-H62+H61)/(H61+H63+H64+H65)),2)</f>
        <v>1.17</v>
      </c>
      <c r="I42" s="7" t="s">
        <v>3</v>
      </c>
      <c r="J42" s="7">
        <f>ROUND(((+J66+J65+J64+J63-J62+J61)/(J61+J63+J64+J65)),2)</f>
        <v>0.9</v>
      </c>
      <c r="K42" s="7" t="s">
        <v>3</v>
      </c>
      <c r="L42" s="7">
        <f>ROUND(((+L66+L65+L64+L63-L62+L61)/(L61+L63+L64+L65)),2)</f>
        <v>3.96</v>
      </c>
      <c r="M42" s="7" t="s">
        <v>3</v>
      </c>
      <c r="N42" s="27">
        <f>AVERAGE(D42,F42,H42,J42,L42)</f>
        <v>1.9840000000000004</v>
      </c>
      <c r="O42" t="s">
        <v>3</v>
      </c>
    </row>
    <row r="44" spans="1:15" x14ac:dyDescent="0.4">
      <c r="A44" t="s">
        <v>15</v>
      </c>
    </row>
    <row r="45" spans="1:15" x14ac:dyDescent="0.4">
      <c r="B45" t="s">
        <v>16</v>
      </c>
      <c r="D45" s="13">
        <f>ROUND(D62/D66,3)</f>
        <v>4.4999999999999998E-2</v>
      </c>
      <c r="E45" s="13"/>
      <c r="F45" s="13">
        <f>ROUND(F62/F66,3)</f>
        <v>7.8E-2</v>
      </c>
      <c r="G45" s="13"/>
      <c r="H45" s="13">
        <f>ROUND(H62/H66,3)</f>
        <v>0.14000000000000001</v>
      </c>
      <c r="I45" s="13"/>
      <c r="J45" s="13">
        <f>ROUND(J62/J66,3)</f>
        <v>-0.58799999999999997</v>
      </c>
      <c r="K45" s="13"/>
      <c r="L45" s="13">
        <f>ROUND(L62/L66,3)</f>
        <v>5.5E-2</v>
      </c>
      <c r="M45" s="3"/>
      <c r="N45" s="6">
        <f t="shared" ref="N45:N50" si="0">AVERAGE(D45,F45,H45,J45,L45)</f>
        <v>-5.3999999999999992E-2</v>
      </c>
    </row>
    <row r="46" spans="1:15" x14ac:dyDescent="0.4">
      <c r="B46" t="s">
        <v>17</v>
      </c>
      <c r="D46" s="17">
        <f>ROUND((D57+D59)/(D57+D59+D66+D63+D64+D65),3)</f>
        <v>0.126</v>
      </c>
      <c r="E46" s="18"/>
      <c r="F46" s="17">
        <f>ROUND((F57+F59)/(F57+F59+F66+F63+F64+F65),3)</f>
        <v>0.214</v>
      </c>
      <c r="G46" s="18"/>
      <c r="H46" s="17">
        <f>ROUND((H57+H59)/(H57+H59+H66+H63+H64+H65),3)</f>
        <v>0.03</v>
      </c>
      <c r="I46" s="18"/>
      <c r="J46" s="17">
        <f>ROUND((J57+J59)/(J57+J59+J66+J63+J64+J65),3)</f>
        <v>0.88</v>
      </c>
      <c r="K46" s="18"/>
      <c r="L46" s="17">
        <f>ROUND((L57+L59)/(L57+L59+L66+L63+L64+L65),3)</f>
        <v>0.313</v>
      </c>
      <c r="N46" s="6">
        <f t="shared" si="0"/>
        <v>0.31259999999999999</v>
      </c>
    </row>
    <row r="47" spans="1:15" ht="17.25" x14ac:dyDescent="0.4">
      <c r="B47" s="36" t="s">
        <v>86</v>
      </c>
      <c r="D47" s="13">
        <f>ROUND(((+D82+D83+D84+D85+D86-D87+D88-D90-D91)/(+D89-D87)),3)</f>
        <v>0.438</v>
      </c>
      <c r="E47" s="14"/>
      <c r="F47" s="13">
        <f>ROUND(((+F82+F83+F84+F85+F86-F87+F88-F90-F91)/(+F89-F87)),3)</f>
        <v>0.20899999999999999</v>
      </c>
      <c r="G47" s="14"/>
      <c r="H47" s="13">
        <f>ROUND(((+H82+H83+H84+H85+H86-H87+H88-H90-H91)/(+H89-H87)),3)</f>
        <v>0.187</v>
      </c>
      <c r="I47" s="14"/>
      <c r="J47" s="13">
        <f>ROUND(((+J82+J83+J84+J85+J86-J87+J88-J90-J91)/(+J89-J87)),3)</f>
        <v>0.25900000000000001</v>
      </c>
      <c r="K47" s="14"/>
      <c r="L47" s="13">
        <f>ROUND(((+L82+L83+L84+L85+L86-L87+L88-L90-L91)/(+L89-L87)),3)</f>
        <v>0.43</v>
      </c>
      <c r="N47" s="6">
        <f t="shared" si="0"/>
        <v>0.30459999999999998</v>
      </c>
    </row>
    <row r="48" spans="1:15" ht="17.25" x14ac:dyDescent="0.4">
      <c r="B48" s="36" t="s">
        <v>87</v>
      </c>
      <c r="D48" s="13">
        <f>ROUND(((+D82+D83+D84+D85+D86-D87+D88)/(AVERAGE(D76,F76)+AVERAGE(D79,F79)+AVERAGE(D80,F80))),3)</f>
        <v>9.5000000000000001E-2</v>
      </c>
      <c r="E48" s="14"/>
      <c r="F48" s="13">
        <f>ROUND(((+F82+F83+F84+F85+F86-F87+F88)/(AVERAGE(F76,H76)+AVERAGE(F79,H79)+AVERAGE(F80,H80))),3)</f>
        <v>6.5000000000000002E-2</v>
      </c>
      <c r="G48" s="14"/>
      <c r="H48" s="13">
        <f>ROUND(((+H82+H83+H84+H85+H86-H87+H88)/(AVERAGE(H76,J76)+AVERAGE(H79,J79)+AVERAGE(H80,J80))),3)</f>
        <v>6.8000000000000005E-2</v>
      </c>
      <c r="I48" s="14"/>
      <c r="J48" s="13">
        <f>ROUND(((+J82+J83+J84+J85+J86-J87+J88)/(AVERAGE(J76,L76)+AVERAGE(J79,L79)+AVERAGE(J80,L80))),3)</f>
        <v>0.11</v>
      </c>
      <c r="K48" s="14"/>
      <c r="L48" s="13">
        <f>ROUND(((+L82+L83+L84+L85+L86-L87+L88)/(AVERAGE(L76,N76)+AVERAGE(L79,N79)+AVERAGE(L80,N80))),3)</f>
        <v>0.14399999999999999</v>
      </c>
      <c r="N48" s="6">
        <f t="shared" si="0"/>
        <v>9.64E-2</v>
      </c>
    </row>
    <row r="49" spans="1:15" ht="17.25" x14ac:dyDescent="0.4">
      <c r="B49" s="36" t="s">
        <v>88</v>
      </c>
      <c r="D49" s="28">
        <f>ROUND(((+D82+D83+D84+D85+D86-D87+D88+D92)/D61),2)</f>
        <v>3.68</v>
      </c>
      <c r="E49" t="s">
        <v>3</v>
      </c>
      <c r="F49" s="28">
        <f>ROUND(((+F82+F83+F84+F85+F86-F87+F88+F92)/F61),2)</f>
        <v>2.85</v>
      </c>
      <c r="G49" t="s">
        <v>3</v>
      </c>
      <c r="H49" s="28">
        <f>ROUND(((+H82+H83+H84+H85+H86-H87+H88+H92)/H61),2)</f>
        <v>2.62</v>
      </c>
      <c r="I49" t="s">
        <v>3</v>
      </c>
      <c r="J49" s="28">
        <f>ROUND(((+J82+J83+J84+J85+J86-J87+J88+J92)/J61),2)</f>
        <v>3.74</v>
      </c>
      <c r="K49" t="s">
        <v>3</v>
      </c>
      <c r="L49" s="28">
        <f>ROUND(((+L82+L83+L84+L85+L86-L87+L88+L92)/L61),2)</f>
        <v>6.15</v>
      </c>
      <c r="M49" t="s">
        <v>3</v>
      </c>
      <c r="N49" s="29">
        <f t="shared" si="0"/>
        <v>3.8079999999999998</v>
      </c>
      <c r="O49" t="s">
        <v>3</v>
      </c>
    </row>
    <row r="50" spans="1:15" ht="17.25" x14ac:dyDescent="0.4">
      <c r="B50" s="36" t="s">
        <v>89</v>
      </c>
      <c r="D50" s="28">
        <f>ROUND(((+D82+D83+D84+D85+D86-D87+D88-D91)/+D90),2)</f>
        <v>2.86</v>
      </c>
      <c r="E50" t="s">
        <v>3</v>
      </c>
      <c r="F50" s="28">
        <f>ROUND(((+F82+F83+F84+F85+F86-F87+F88-F91)/+F90),2)</f>
        <v>1.99</v>
      </c>
      <c r="G50" t="s">
        <v>3</v>
      </c>
      <c r="H50" s="28">
        <f>ROUND(((+H82+H83+H84+H85+H86-H87+H88-H91)/+H90),2)</f>
        <v>1.67</v>
      </c>
      <c r="I50" t="s">
        <v>3</v>
      </c>
      <c r="J50" s="28">
        <f>ROUND(((+J82+J83+J84+J85+J86-J87+J88-J91)/+J90),2)</f>
        <v>1.81</v>
      </c>
      <c r="K50" t="s">
        <v>3</v>
      </c>
      <c r="L50" s="28">
        <f>ROUND(((+L82+L83+L84+L85+L86-L87+L88-L91)/+L90),2)</f>
        <v>2.4500000000000002</v>
      </c>
      <c r="M50" t="s">
        <v>3</v>
      </c>
      <c r="N50" s="29">
        <f t="shared" si="0"/>
        <v>2.1560000000000001</v>
      </c>
      <c r="O50" t="s">
        <v>3</v>
      </c>
    </row>
    <row r="52" spans="1:15" x14ac:dyDescent="0.4">
      <c r="A52" t="s">
        <v>4</v>
      </c>
    </row>
    <row r="53" spans="1:15" x14ac:dyDescent="0.4">
      <c r="D53" s="38"/>
    </row>
    <row r="54" spans="1:15" x14ac:dyDescent="0.4">
      <c r="A54" s="19" t="s">
        <v>76</v>
      </c>
      <c r="B54" s="19"/>
      <c r="C54" s="19"/>
      <c r="D54" s="38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5" x14ac:dyDescent="0.4">
      <c r="A55" s="20"/>
      <c r="B55" s="20"/>
      <c r="C55" s="20"/>
      <c r="D55" s="21">
        <v>2020</v>
      </c>
      <c r="E55" s="19"/>
      <c r="F55" s="21">
        <v>2019</v>
      </c>
      <c r="G55" s="19"/>
      <c r="H55" s="21">
        <v>2018</v>
      </c>
      <c r="I55" s="19"/>
      <c r="J55" s="21">
        <v>2017</v>
      </c>
      <c r="K55" s="19"/>
      <c r="L55" s="21">
        <v>2016</v>
      </c>
      <c r="M55" s="19"/>
      <c r="N55" s="21">
        <v>2015</v>
      </c>
    </row>
    <row r="56" spans="1:15" x14ac:dyDescent="0.4">
      <c r="A56" s="20" t="s">
        <v>22</v>
      </c>
      <c r="B56" s="20"/>
      <c r="C56" s="20"/>
      <c r="D56" s="22">
        <v>1541.383</v>
      </c>
      <c r="E56" s="22"/>
      <c r="F56" s="22">
        <v>1628.626</v>
      </c>
      <c r="G56" s="22"/>
      <c r="H56" s="22">
        <v>1641.338</v>
      </c>
      <c r="I56" s="22"/>
      <c r="J56" s="22">
        <v>1243.068</v>
      </c>
      <c r="K56" s="22"/>
      <c r="L56" s="22">
        <v>1036.5</v>
      </c>
      <c r="M56" s="22"/>
      <c r="N56" s="22">
        <v>959.56799999999998</v>
      </c>
    </row>
    <row r="57" spans="1:15" x14ac:dyDescent="0.4">
      <c r="A57" s="20" t="s">
        <v>23</v>
      </c>
      <c r="B57" s="20"/>
      <c r="C57" s="20"/>
      <c r="D57" s="22">
        <v>22.664000000000001</v>
      </c>
      <c r="E57" s="22"/>
      <c r="F57" s="22">
        <v>21.061</v>
      </c>
      <c r="G57" s="22"/>
      <c r="H57" s="22">
        <v>0.56100000000000005</v>
      </c>
      <c r="I57" s="22"/>
      <c r="J57" s="22">
        <v>-24.937000000000001</v>
      </c>
      <c r="K57" s="22"/>
      <c r="L57" s="22">
        <v>54.151000000000003</v>
      </c>
      <c r="M57" s="22"/>
      <c r="N57" s="22">
        <v>1.36</v>
      </c>
    </row>
    <row r="58" spans="1:15" x14ac:dyDescent="0.4">
      <c r="A58" s="20" t="s">
        <v>24</v>
      </c>
      <c r="B58" s="20"/>
      <c r="C58" s="20"/>
      <c r="D58" s="22">
        <f>1259.161+D57</f>
        <v>1281.825</v>
      </c>
      <c r="E58" s="22"/>
      <c r="F58" s="22">
        <f>1427.421+F57</f>
        <v>1448.482</v>
      </c>
      <c r="G58" s="22"/>
      <c r="H58" s="22">
        <v>1451.2529999999999</v>
      </c>
      <c r="I58" s="22"/>
      <c r="J58" s="22">
        <v>1122.422</v>
      </c>
      <c r="K58" s="22"/>
      <c r="L58" s="22">
        <v>901.375</v>
      </c>
      <c r="M58" s="22"/>
      <c r="N58" s="22">
        <v>804.03399999999999</v>
      </c>
    </row>
    <row r="59" spans="1:15" x14ac:dyDescent="0.4">
      <c r="A59" s="20" t="s">
        <v>25</v>
      </c>
      <c r="B59" s="20"/>
      <c r="C59" s="20"/>
      <c r="D59" s="22">
        <v>0</v>
      </c>
      <c r="E59" s="22"/>
      <c r="F59" s="22">
        <v>0</v>
      </c>
      <c r="G59" s="22"/>
      <c r="H59" s="22">
        <v>0</v>
      </c>
      <c r="I59" s="22"/>
      <c r="J59" s="22">
        <v>0</v>
      </c>
      <c r="K59" s="22"/>
      <c r="L59" s="22">
        <v>0</v>
      </c>
      <c r="M59" s="22"/>
      <c r="N59" s="22">
        <v>0</v>
      </c>
    </row>
    <row r="60" spans="1:15" x14ac:dyDescent="0.4">
      <c r="A60" s="20" t="s">
        <v>26</v>
      </c>
      <c r="B60" s="20"/>
      <c r="C60" s="20"/>
      <c r="D60" s="22">
        <f>282.222-D57+7.979+8.294</f>
        <v>275.83099999999996</v>
      </c>
      <c r="E60" s="22"/>
      <c r="F60" s="22">
        <f>201.205-F57+4.208+7.314</f>
        <v>191.666</v>
      </c>
      <c r="G60" s="22"/>
      <c r="H60" s="22">
        <v>108.199</v>
      </c>
      <c r="I60" s="22"/>
      <c r="J60" s="22">
        <v>50.615000000000002</v>
      </c>
      <c r="K60" s="22"/>
      <c r="L60" s="22">
        <v>150.51</v>
      </c>
      <c r="M60" s="22"/>
      <c r="N60" s="22">
        <v>137.232</v>
      </c>
    </row>
    <row r="61" spans="1:15" x14ac:dyDescent="0.4">
      <c r="A61" s="20" t="s">
        <v>27</v>
      </c>
      <c r="B61" s="20"/>
      <c r="C61" s="20"/>
      <c r="D61" s="22">
        <v>118.53400000000001</v>
      </c>
      <c r="E61" s="22"/>
      <c r="F61" s="22">
        <v>114.477</v>
      </c>
      <c r="G61" s="22"/>
      <c r="H61" s="22">
        <v>92.796000000000006</v>
      </c>
      <c r="I61" s="22"/>
      <c r="J61" s="22">
        <v>56.018999999999998</v>
      </c>
      <c r="K61" s="22"/>
      <c r="L61" s="22">
        <v>38.048999999999999</v>
      </c>
      <c r="M61" s="22"/>
      <c r="N61" s="22">
        <v>36.521999999999998</v>
      </c>
    </row>
    <row r="62" spans="1:15" x14ac:dyDescent="0.4">
      <c r="A62" s="20" t="s">
        <v>28</v>
      </c>
      <c r="B62" s="20"/>
      <c r="C62" s="20"/>
      <c r="D62" s="22">
        <v>7.1</v>
      </c>
      <c r="E62" s="22"/>
      <c r="F62" s="22">
        <v>6</v>
      </c>
      <c r="G62" s="22"/>
      <c r="H62" s="22">
        <v>2.5</v>
      </c>
      <c r="I62" s="22"/>
      <c r="J62" s="22">
        <v>2</v>
      </c>
      <c r="K62" s="22"/>
      <c r="L62" s="22">
        <v>6.6</v>
      </c>
      <c r="M62" s="22"/>
      <c r="N62" s="22">
        <v>4.9000000000000004</v>
      </c>
    </row>
    <row r="63" spans="1:15" x14ac:dyDescent="0.4">
      <c r="A63" s="20" t="s">
        <v>29</v>
      </c>
      <c r="B63" s="20"/>
      <c r="C63" s="20"/>
      <c r="D63" s="22">
        <v>0</v>
      </c>
      <c r="E63" s="22"/>
      <c r="F63" s="22">
        <v>0</v>
      </c>
      <c r="G63" s="22"/>
      <c r="H63" s="22">
        <v>0</v>
      </c>
      <c r="I63" s="22"/>
      <c r="J63" s="22">
        <v>0</v>
      </c>
      <c r="K63" s="22"/>
      <c r="L63" s="22">
        <v>0</v>
      </c>
      <c r="M63" s="22"/>
      <c r="N63" s="22">
        <v>0</v>
      </c>
    </row>
    <row r="64" spans="1:15" x14ac:dyDescent="0.4">
      <c r="A64" s="20" t="s">
        <v>30</v>
      </c>
      <c r="B64" s="20"/>
      <c r="C64" s="20"/>
      <c r="D64" s="22">
        <v>0</v>
      </c>
      <c r="E64" s="22"/>
      <c r="F64" s="22">
        <v>0</v>
      </c>
      <c r="G64" s="22"/>
      <c r="H64" s="22">
        <v>0</v>
      </c>
      <c r="I64" s="22"/>
      <c r="J64" s="22">
        <v>0</v>
      </c>
      <c r="K64" s="22"/>
      <c r="L64" s="22">
        <v>0</v>
      </c>
      <c r="M64" s="22"/>
      <c r="N64" s="22">
        <v>0</v>
      </c>
    </row>
    <row r="65" spans="1:14" x14ac:dyDescent="0.4">
      <c r="A65" s="20" t="s">
        <v>31</v>
      </c>
      <c r="B65" s="20"/>
      <c r="C65" s="20"/>
      <c r="D65" s="22">
        <v>0</v>
      </c>
      <c r="E65" s="22"/>
      <c r="F65" s="22">
        <v>0</v>
      </c>
      <c r="G65" s="22"/>
      <c r="H65" s="22">
        <v>0</v>
      </c>
      <c r="I65" s="22"/>
      <c r="J65" s="22">
        <v>0</v>
      </c>
      <c r="K65" s="22"/>
      <c r="L65" s="22">
        <v>0</v>
      </c>
      <c r="M65" s="22"/>
      <c r="N65" s="22">
        <v>0</v>
      </c>
    </row>
    <row r="66" spans="1:14" x14ac:dyDescent="0.4">
      <c r="A66" s="20" t="s">
        <v>32</v>
      </c>
      <c r="B66" s="20"/>
      <c r="C66" s="20"/>
      <c r="D66" s="22">
        <v>157.297</v>
      </c>
      <c r="E66" s="22"/>
      <c r="F66" s="22">
        <v>77.188999999999993</v>
      </c>
      <c r="G66" s="22"/>
      <c r="H66" s="22">
        <v>17.902999999999999</v>
      </c>
      <c r="I66" s="22"/>
      <c r="J66" s="22">
        <v>-3.4039999999999999</v>
      </c>
      <c r="K66" s="22"/>
      <c r="L66" s="22">
        <v>119.06100000000001</v>
      </c>
      <c r="M66" s="22"/>
      <c r="N66" s="22">
        <v>105.61</v>
      </c>
    </row>
    <row r="67" spans="1:14" x14ac:dyDescent="0.4">
      <c r="A67" s="20" t="s">
        <v>33</v>
      </c>
      <c r="B67" s="20"/>
      <c r="C67" s="20"/>
      <c r="D67" s="22">
        <v>1.62</v>
      </c>
      <c r="E67" s="22"/>
      <c r="F67" s="22">
        <v>0.84</v>
      </c>
      <c r="G67" s="22"/>
      <c r="H67" s="22">
        <v>0.21</v>
      </c>
      <c r="I67" s="22"/>
      <c r="J67" s="22">
        <v>-0.04</v>
      </c>
      <c r="K67" s="22"/>
      <c r="L67" s="22">
        <v>1.56</v>
      </c>
      <c r="M67" s="22"/>
      <c r="N67" s="22">
        <v>1.54</v>
      </c>
    </row>
    <row r="68" spans="1:14" x14ac:dyDescent="0.4">
      <c r="A68" s="20" t="s">
        <v>34</v>
      </c>
      <c r="B68" s="20"/>
      <c r="C68" s="20"/>
      <c r="D68" s="22">
        <v>1660.8810000000001</v>
      </c>
      <c r="E68" s="22"/>
      <c r="F68" s="22">
        <v>1423.7850000000001</v>
      </c>
      <c r="G68" s="22"/>
      <c r="H68" s="22">
        <v>1267.0219999999999</v>
      </c>
      <c r="I68" s="22"/>
      <c r="J68" s="22">
        <v>1192.4090000000001</v>
      </c>
      <c r="K68" s="22"/>
      <c r="L68" s="22">
        <v>1289.24</v>
      </c>
      <c r="M68" s="22"/>
      <c r="N68" s="22">
        <v>1037.539</v>
      </c>
    </row>
    <row r="69" spans="1:14" x14ac:dyDescent="0.4">
      <c r="A69" s="20" t="s">
        <v>35</v>
      </c>
      <c r="B69" s="20"/>
      <c r="C69" s="20"/>
      <c r="D69" s="22">
        <v>0</v>
      </c>
      <c r="E69" s="22"/>
      <c r="F69" s="22">
        <v>0</v>
      </c>
      <c r="G69" s="22"/>
      <c r="H69" s="22">
        <v>0</v>
      </c>
      <c r="I69" s="22"/>
      <c r="J69" s="22">
        <v>0</v>
      </c>
      <c r="K69" s="22"/>
      <c r="L69" s="22">
        <v>0</v>
      </c>
      <c r="M69" s="22"/>
      <c r="N69" s="22">
        <v>0</v>
      </c>
    </row>
    <row r="70" spans="1:14" x14ac:dyDescent="0.4">
      <c r="A70" s="20" t="s">
        <v>36</v>
      </c>
      <c r="B70" s="20"/>
      <c r="C70" s="20"/>
      <c r="D70" s="22">
        <v>0</v>
      </c>
      <c r="E70" s="22"/>
      <c r="F70" s="22">
        <v>0</v>
      </c>
      <c r="G70" s="22"/>
      <c r="H70" s="22">
        <v>0</v>
      </c>
      <c r="I70" s="22"/>
      <c r="J70" s="22">
        <v>0</v>
      </c>
      <c r="K70" s="22"/>
      <c r="L70" s="22">
        <v>0</v>
      </c>
      <c r="M70" s="22"/>
      <c r="N70" s="22">
        <v>0</v>
      </c>
    </row>
    <row r="71" spans="1:14" x14ac:dyDescent="0.4">
      <c r="A71" s="20" t="s">
        <v>37</v>
      </c>
      <c r="B71" s="20"/>
      <c r="C71" s="20"/>
      <c r="D71" s="22">
        <v>0</v>
      </c>
      <c r="E71" s="22"/>
      <c r="F71" s="22">
        <v>0</v>
      </c>
      <c r="G71" s="22"/>
      <c r="H71" s="22">
        <v>0</v>
      </c>
      <c r="I71" s="22"/>
      <c r="J71" s="22">
        <v>0</v>
      </c>
      <c r="K71" s="22"/>
      <c r="L71" s="22">
        <v>0</v>
      </c>
      <c r="M71" s="22"/>
      <c r="N71" s="22">
        <v>0</v>
      </c>
    </row>
    <row r="72" spans="1:14" x14ac:dyDescent="0.4">
      <c r="A72" s="20" t="s">
        <v>38</v>
      </c>
      <c r="B72" s="20"/>
      <c r="C72" s="20"/>
      <c r="D72" s="22">
        <v>0</v>
      </c>
      <c r="E72" s="22"/>
      <c r="F72" s="22">
        <v>0</v>
      </c>
      <c r="G72" s="22"/>
      <c r="H72" s="22">
        <v>0</v>
      </c>
      <c r="I72" s="22"/>
      <c r="J72" s="22">
        <v>0</v>
      </c>
      <c r="K72" s="22"/>
      <c r="L72" s="22">
        <v>0</v>
      </c>
      <c r="M72" s="22"/>
      <c r="N72" s="22">
        <v>0</v>
      </c>
    </row>
    <row r="73" spans="1:14" x14ac:dyDescent="0.4">
      <c r="A73" s="20" t="s">
        <v>39</v>
      </c>
      <c r="B73" s="20"/>
      <c r="C73" s="20"/>
      <c r="D73" s="22">
        <v>0</v>
      </c>
      <c r="E73" s="22"/>
      <c r="F73" s="22">
        <v>0</v>
      </c>
      <c r="G73" s="22"/>
      <c r="H73" s="22">
        <v>0</v>
      </c>
      <c r="I73" s="22"/>
      <c r="J73" s="22">
        <v>0</v>
      </c>
      <c r="K73" s="22"/>
      <c r="L73" s="22">
        <v>0</v>
      </c>
      <c r="M73" s="22"/>
      <c r="N73" s="22">
        <v>0</v>
      </c>
    </row>
    <row r="74" spans="1:14" x14ac:dyDescent="0.4">
      <c r="A74" s="20" t="s">
        <v>40</v>
      </c>
      <c r="B74" s="20"/>
      <c r="C74" s="20"/>
      <c r="D74" s="22">
        <v>0</v>
      </c>
      <c r="E74" s="22"/>
      <c r="F74" s="22">
        <v>0</v>
      </c>
      <c r="G74" s="22"/>
      <c r="H74" s="22">
        <v>0</v>
      </c>
      <c r="I74" s="22"/>
      <c r="J74" s="22">
        <v>0</v>
      </c>
      <c r="K74" s="22"/>
      <c r="L74" s="22">
        <v>0</v>
      </c>
      <c r="M74" s="22"/>
      <c r="N74" s="22">
        <v>0</v>
      </c>
    </row>
    <row r="75" spans="1:14" x14ac:dyDescent="0.4">
      <c r="A75" s="20" t="s">
        <v>41</v>
      </c>
      <c r="B75" s="20"/>
      <c r="C75" s="20"/>
      <c r="D75" s="22">
        <v>5.9950000000000001</v>
      </c>
      <c r="E75" s="22"/>
      <c r="F75" s="22">
        <v>0</v>
      </c>
      <c r="G75" s="22"/>
      <c r="H75" s="22">
        <v>0</v>
      </c>
      <c r="I75" s="22"/>
      <c r="J75" s="22">
        <v>0</v>
      </c>
      <c r="K75" s="22"/>
      <c r="L75" s="22">
        <v>0</v>
      </c>
      <c r="M75" s="22"/>
      <c r="N75" s="22">
        <v>0</v>
      </c>
    </row>
    <row r="76" spans="1:14" x14ac:dyDescent="0.4">
      <c r="A76" s="20" t="s">
        <v>42</v>
      </c>
      <c r="B76" s="20"/>
      <c r="C76" s="20"/>
      <c r="D76" s="22">
        <v>2776.4</v>
      </c>
      <c r="E76" s="22"/>
      <c r="F76" s="22">
        <v>2070.0859999999998</v>
      </c>
      <c r="G76" s="22"/>
      <c r="H76" s="22">
        <v>2106.8629999999998</v>
      </c>
      <c r="I76" s="22"/>
      <c r="J76" s="22">
        <v>1122.999</v>
      </c>
      <c r="K76" s="22"/>
      <c r="L76" s="22">
        <v>808.005</v>
      </c>
      <c r="M76" s="22"/>
      <c r="N76" s="22">
        <v>1006.394</v>
      </c>
    </row>
    <row r="77" spans="1:14" x14ac:dyDescent="0.4">
      <c r="A77" s="20" t="s">
        <v>43</v>
      </c>
      <c r="B77" s="20"/>
      <c r="C77" s="20"/>
      <c r="D77" s="22">
        <v>0</v>
      </c>
      <c r="E77" s="22"/>
      <c r="F77" s="22">
        <v>0</v>
      </c>
      <c r="G77" s="22"/>
      <c r="H77" s="22">
        <v>0</v>
      </c>
      <c r="I77" s="22"/>
      <c r="J77" s="22">
        <v>0</v>
      </c>
      <c r="K77" s="22"/>
      <c r="L77" s="22">
        <v>0</v>
      </c>
      <c r="M77" s="22"/>
      <c r="N77" s="22">
        <v>0</v>
      </c>
    </row>
    <row r="78" spans="1:14" x14ac:dyDescent="0.4">
      <c r="A78" s="20" t="s">
        <v>44</v>
      </c>
      <c r="B78" s="20"/>
      <c r="C78" s="20"/>
      <c r="D78" s="22">
        <f>SUM(D68:D77)</f>
        <v>4443.2759999999998</v>
      </c>
      <c r="E78" s="22"/>
      <c r="F78" s="22">
        <f>SUM(F68:F77)</f>
        <v>3493.8710000000001</v>
      </c>
      <c r="G78" s="22"/>
      <c r="H78" s="22">
        <v>3373.8850000000002</v>
      </c>
      <c r="I78" s="22"/>
      <c r="J78" s="22">
        <v>2315.4079999999999</v>
      </c>
      <c r="K78" s="22"/>
      <c r="L78" s="22">
        <v>2097.2449999999999</v>
      </c>
      <c r="M78" s="22"/>
      <c r="N78" s="22">
        <v>2043.933</v>
      </c>
    </row>
    <row r="79" spans="1:14" x14ac:dyDescent="0.4">
      <c r="A79" s="20" t="s">
        <v>45</v>
      </c>
      <c r="B79" s="20"/>
      <c r="C79" s="20"/>
      <c r="D79" s="22">
        <v>142.80099999999999</v>
      </c>
      <c r="E79" s="22"/>
      <c r="F79" s="22">
        <v>467.90899999999999</v>
      </c>
      <c r="G79" s="22"/>
      <c r="H79" s="22">
        <v>733.90899999999999</v>
      </c>
      <c r="I79" s="22"/>
      <c r="J79" s="22">
        <v>63.808999999999997</v>
      </c>
      <c r="K79" s="22"/>
      <c r="L79" s="22">
        <v>231.90899999999999</v>
      </c>
      <c r="M79" s="22"/>
      <c r="N79" s="22">
        <v>29.454000000000001</v>
      </c>
    </row>
    <row r="80" spans="1:14" x14ac:dyDescent="0.4">
      <c r="A80" s="20" t="s">
        <v>46</v>
      </c>
      <c r="B80" s="20"/>
      <c r="C80" s="20"/>
      <c r="D80" s="22">
        <v>596.4</v>
      </c>
      <c r="E80" s="22"/>
      <c r="F80" s="22">
        <v>848.7</v>
      </c>
      <c r="G80" s="22"/>
      <c r="H80" s="22">
        <v>270.5</v>
      </c>
      <c r="I80" s="22"/>
      <c r="J80" s="22">
        <v>346.4</v>
      </c>
      <c r="K80" s="22"/>
      <c r="L80" s="22">
        <v>296.10000000000002</v>
      </c>
      <c r="M80" s="22"/>
      <c r="N80" s="22">
        <v>431.7</v>
      </c>
    </row>
    <row r="81" spans="1:14" x14ac:dyDescent="0.4">
      <c r="A81" s="20" t="s">
        <v>47</v>
      </c>
      <c r="B81" s="20"/>
      <c r="C81" s="20"/>
      <c r="D81" s="22">
        <v>0</v>
      </c>
      <c r="E81" s="22"/>
      <c r="F81" s="22">
        <v>0</v>
      </c>
      <c r="G81" s="22"/>
      <c r="H81" s="22">
        <v>0</v>
      </c>
      <c r="I81" s="22"/>
      <c r="J81" s="22">
        <v>0</v>
      </c>
      <c r="K81" s="22"/>
      <c r="L81" s="22">
        <v>0</v>
      </c>
      <c r="M81" s="22"/>
      <c r="N81" s="22">
        <v>0</v>
      </c>
    </row>
    <row r="82" spans="1:14" x14ac:dyDescent="0.4">
      <c r="A82" s="20" t="s">
        <v>48</v>
      </c>
      <c r="B82" s="20"/>
      <c r="C82" s="20"/>
      <c r="D82" s="22">
        <v>157.297</v>
      </c>
      <c r="E82" s="22"/>
      <c r="F82" s="22">
        <v>77.188999999999993</v>
      </c>
      <c r="G82" s="22"/>
      <c r="H82" s="22">
        <v>17.902999999999999</v>
      </c>
      <c r="I82" s="22"/>
      <c r="J82" s="22">
        <v>-3.4039999999999999</v>
      </c>
      <c r="K82" s="22"/>
      <c r="L82" s="22">
        <v>119.06100000000001</v>
      </c>
      <c r="M82" s="22"/>
      <c r="N82" s="22">
        <v>105.61</v>
      </c>
    </row>
    <row r="83" spans="1:14" x14ac:dyDescent="0.4">
      <c r="A83" s="20" t="s">
        <v>49</v>
      </c>
      <c r="B83" s="20"/>
      <c r="C83" s="20"/>
      <c r="D83" s="22">
        <v>170.64699999999999</v>
      </c>
      <c r="E83" s="22"/>
      <c r="F83" s="22">
        <v>133.38499999999999</v>
      </c>
      <c r="G83" s="22"/>
      <c r="H83" s="22">
        <v>132.91399999999999</v>
      </c>
      <c r="I83" s="22"/>
      <c r="J83" s="22">
        <v>123.486</v>
      </c>
      <c r="K83" s="22"/>
      <c r="L83" s="22">
        <v>109.818</v>
      </c>
      <c r="M83" s="22"/>
      <c r="N83" s="22">
        <v>91.042000000000002</v>
      </c>
    </row>
    <row r="84" spans="1:14" x14ac:dyDescent="0.4">
      <c r="A84" s="20" t="s">
        <v>50</v>
      </c>
      <c r="B84" s="20"/>
      <c r="C84" s="20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x14ac:dyDescent="0.4">
      <c r="A85" s="20" t="s">
        <v>51</v>
      </c>
      <c r="B85" s="20"/>
      <c r="C85" s="20"/>
      <c r="D85" s="22">
        <v>21.841000000000001</v>
      </c>
      <c r="E85" s="22"/>
      <c r="F85" s="22">
        <v>21.542999999999999</v>
      </c>
      <c r="G85" s="22"/>
      <c r="H85" s="22">
        <v>10.391999999999999</v>
      </c>
      <c r="I85" s="22"/>
      <c r="J85" s="22">
        <v>10.082000000000001</v>
      </c>
      <c r="K85" s="22"/>
      <c r="L85" s="22">
        <v>55.789000000000001</v>
      </c>
      <c r="M85" s="22"/>
      <c r="N85" s="22">
        <v>3.8610000000000002</v>
      </c>
    </row>
    <row r="86" spans="1:14" x14ac:dyDescent="0.4">
      <c r="A86" s="20" t="s">
        <v>52</v>
      </c>
      <c r="B86" s="20"/>
      <c r="C86" s="20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 x14ac:dyDescent="0.4">
      <c r="A87" s="20" t="s">
        <v>53</v>
      </c>
      <c r="B87" s="20"/>
      <c r="C87" s="20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 x14ac:dyDescent="0.4">
      <c r="A88" s="20" t="s">
        <v>69</v>
      </c>
      <c r="B88" s="20"/>
      <c r="C88" s="20"/>
      <c r="D88" s="22">
        <f>-2.578-1.971-8.173-0.385-4.76+9.558-27.807+44.45+5.797-19.325-16.777</f>
        <v>-21.970999999999997</v>
      </c>
      <c r="E88" s="22"/>
      <c r="F88" s="22">
        <f>-3.133-0.794+10.745+11.748+2.798+10.432+0.922+9.712+0.695+5.209-49.18-18.823</f>
        <v>-19.669000000000011</v>
      </c>
      <c r="G88" s="22"/>
      <c r="H88" s="22">
        <v>-2.5350000000000001</v>
      </c>
      <c r="I88" s="22"/>
      <c r="J88" s="22">
        <v>27.712</v>
      </c>
      <c r="K88" s="22"/>
      <c r="L88" s="22">
        <v>-82.876000000000005</v>
      </c>
      <c r="M88" s="22"/>
      <c r="N88" s="22">
        <v>-2.8260000000000001</v>
      </c>
    </row>
    <row r="89" spans="1:14" x14ac:dyDescent="0.4">
      <c r="A89" s="20" t="s">
        <v>54</v>
      </c>
      <c r="B89" s="20"/>
      <c r="C89" s="20"/>
      <c r="D89" s="22">
        <v>486.45100000000002</v>
      </c>
      <c r="E89" s="22"/>
      <c r="F89" s="22">
        <v>504.21199999999999</v>
      </c>
      <c r="G89" s="22"/>
      <c r="H89" s="22">
        <v>341.12</v>
      </c>
      <c r="I89" s="22"/>
      <c r="J89" s="22">
        <v>272.96499999999997</v>
      </c>
      <c r="K89" s="22"/>
      <c r="L89" s="22">
        <v>278.00200000000001</v>
      </c>
      <c r="M89" s="22"/>
      <c r="N89" s="22">
        <v>345.62099999999998</v>
      </c>
    </row>
    <row r="90" spans="1:14" x14ac:dyDescent="0.4">
      <c r="A90" s="20" t="s">
        <v>55</v>
      </c>
      <c r="B90" s="20"/>
      <c r="C90" s="20"/>
      <c r="D90" s="22">
        <v>114.643</v>
      </c>
      <c r="E90" s="22"/>
      <c r="F90" s="22">
        <v>106.938</v>
      </c>
      <c r="G90" s="22"/>
      <c r="H90" s="22">
        <v>94.756</v>
      </c>
      <c r="I90" s="22"/>
      <c r="J90" s="22">
        <v>87.308000000000007</v>
      </c>
      <c r="K90" s="22"/>
      <c r="L90" s="22">
        <v>82.38</v>
      </c>
      <c r="M90" s="22"/>
      <c r="N90" s="22">
        <v>70.158000000000001</v>
      </c>
    </row>
    <row r="91" spans="1:14" x14ac:dyDescent="0.4">
      <c r="A91" s="20" t="s">
        <v>56</v>
      </c>
      <c r="B91" s="20"/>
      <c r="C91" s="20"/>
      <c r="D91" s="22">
        <v>0</v>
      </c>
      <c r="E91" s="22"/>
      <c r="F91" s="22">
        <v>0</v>
      </c>
      <c r="G91" s="22"/>
      <c r="H91" s="22">
        <v>0</v>
      </c>
      <c r="I91" s="22"/>
      <c r="J91" s="22">
        <v>0</v>
      </c>
      <c r="K91" s="22"/>
      <c r="L91" s="22">
        <v>0</v>
      </c>
      <c r="M91" s="22"/>
      <c r="N91" s="22">
        <v>0</v>
      </c>
    </row>
    <row r="92" spans="1:14" x14ac:dyDescent="0.4">
      <c r="A92" s="20" t="s">
        <v>57</v>
      </c>
      <c r="B92" s="20"/>
      <c r="C92" s="20"/>
      <c r="D92" s="22">
        <v>108.901</v>
      </c>
      <c r="E92" s="22"/>
      <c r="F92" s="22">
        <v>114.015</v>
      </c>
      <c r="G92" s="22"/>
      <c r="H92" s="22">
        <v>84.792000000000002</v>
      </c>
      <c r="I92" s="22"/>
      <c r="J92" s="22">
        <v>51.456000000000003</v>
      </c>
      <c r="K92" s="22"/>
      <c r="L92" s="22">
        <v>32.372</v>
      </c>
      <c r="M92" s="22"/>
      <c r="N92" s="22">
        <v>30.914999999999999</v>
      </c>
    </row>
    <row r="93" spans="1:14" x14ac:dyDescent="0.4">
      <c r="A93" s="20" t="s">
        <v>58</v>
      </c>
      <c r="B93" s="20"/>
      <c r="C93" s="20"/>
      <c r="D93" s="22">
        <v>-4.3360000000000003</v>
      </c>
      <c r="E93" s="22"/>
      <c r="F93" s="22">
        <v>-10.638999999999999</v>
      </c>
      <c r="G93" s="22"/>
      <c r="H93" s="22">
        <v>-20.004000000000001</v>
      </c>
      <c r="I93" s="22"/>
      <c r="J93" s="22">
        <v>-8.3480000000000008</v>
      </c>
      <c r="K93" s="22"/>
      <c r="L93" s="22">
        <v>0.19400000000000001</v>
      </c>
      <c r="M93" s="22"/>
      <c r="N93" s="22">
        <v>1.8280000000000001</v>
      </c>
    </row>
    <row r="94" spans="1:14" x14ac:dyDescent="0.4">
      <c r="A94" s="20" t="s">
        <v>67</v>
      </c>
      <c r="B94" s="20"/>
      <c r="C94" s="20"/>
      <c r="D94" s="22">
        <v>1</v>
      </c>
      <c r="E94" s="22"/>
      <c r="F94" s="22">
        <v>1</v>
      </c>
      <c r="G94" s="22"/>
      <c r="H94" s="22">
        <v>1</v>
      </c>
      <c r="I94" s="22"/>
      <c r="J94" s="22">
        <v>1</v>
      </c>
      <c r="K94" s="22"/>
      <c r="L94" s="22">
        <v>1</v>
      </c>
      <c r="M94" s="22"/>
      <c r="N94" s="22">
        <v>1</v>
      </c>
    </row>
    <row r="95" spans="1:14" x14ac:dyDescent="0.4">
      <c r="A95" s="20" t="s">
        <v>68</v>
      </c>
      <c r="B95" s="20"/>
      <c r="C95" s="20"/>
      <c r="D95" s="22">
        <v>1</v>
      </c>
      <c r="E95" s="22"/>
      <c r="F95" s="22">
        <v>1</v>
      </c>
      <c r="G95" s="22"/>
      <c r="H95" s="22">
        <v>1</v>
      </c>
      <c r="I95" s="22"/>
      <c r="J95" s="22">
        <v>1</v>
      </c>
      <c r="K95" s="22"/>
      <c r="L95" s="22">
        <v>1</v>
      </c>
      <c r="M95" s="22"/>
      <c r="N95" s="22">
        <v>1</v>
      </c>
    </row>
    <row r="96" spans="1:14" x14ac:dyDescent="0.4">
      <c r="A96" s="20" t="s">
        <v>59</v>
      </c>
      <c r="B96" s="20"/>
      <c r="C96" s="20"/>
      <c r="D96" s="22">
        <v>114.643</v>
      </c>
      <c r="E96" s="22"/>
      <c r="F96" s="22">
        <v>106.938</v>
      </c>
      <c r="G96" s="22"/>
      <c r="H96" s="22">
        <v>94.756</v>
      </c>
      <c r="I96" s="22"/>
      <c r="J96" s="22">
        <v>87.308000000000007</v>
      </c>
      <c r="K96" s="22"/>
      <c r="L96" s="22">
        <v>82.38</v>
      </c>
      <c r="M96" s="22"/>
      <c r="N96" s="22">
        <v>70.158000000000001</v>
      </c>
    </row>
    <row r="97" spans="1:14" x14ac:dyDescent="0.4">
      <c r="A97" s="20" t="s">
        <v>60</v>
      </c>
      <c r="B97" s="20"/>
      <c r="C97" s="20"/>
      <c r="D97" s="22">
        <v>1.19</v>
      </c>
      <c r="E97" s="22"/>
      <c r="F97" s="22">
        <v>1.1599999999999999</v>
      </c>
      <c r="G97" s="22"/>
      <c r="H97" s="22">
        <v>1.1279999999999999</v>
      </c>
      <c r="I97" s="22"/>
      <c r="J97" s="22">
        <v>1.0980000000000001</v>
      </c>
      <c r="K97" s="22"/>
      <c r="L97" s="22">
        <v>1.0640000000000001</v>
      </c>
      <c r="M97" s="22"/>
      <c r="N97" s="22">
        <v>1.018</v>
      </c>
    </row>
    <row r="98" spans="1:14" x14ac:dyDescent="0.4">
      <c r="A98" s="20" t="s">
        <v>61</v>
      </c>
      <c r="B98" s="20"/>
      <c r="C98" s="20"/>
      <c r="D98" s="22">
        <v>1.19</v>
      </c>
      <c r="E98" s="22"/>
      <c r="F98" s="22">
        <v>1.1599999999999999</v>
      </c>
      <c r="G98" s="22"/>
      <c r="H98" s="22">
        <v>1.1279999999999999</v>
      </c>
      <c r="I98" s="22"/>
      <c r="J98" s="22">
        <v>1.0980000000000001</v>
      </c>
      <c r="K98" s="22"/>
      <c r="L98" s="22">
        <v>1.0640000000000001</v>
      </c>
      <c r="M98" s="22"/>
      <c r="N98" s="22">
        <v>1.018</v>
      </c>
    </row>
    <row r="99" spans="1:14" x14ac:dyDescent="0.4">
      <c r="A99" s="20" t="s">
        <v>62</v>
      </c>
      <c r="B99" s="20"/>
      <c r="C99" s="20"/>
      <c r="D99" s="22">
        <v>33.43</v>
      </c>
      <c r="E99" s="22"/>
      <c r="F99" s="22">
        <v>34.479999999999997</v>
      </c>
      <c r="G99" s="22"/>
      <c r="H99" s="22">
        <v>36.72</v>
      </c>
      <c r="I99" s="22"/>
      <c r="J99" s="22">
        <v>38.4</v>
      </c>
      <c r="K99" s="22"/>
      <c r="L99" s="22">
        <v>34.85</v>
      </c>
      <c r="M99" s="22"/>
      <c r="N99" s="22">
        <v>30.364999999999998</v>
      </c>
    </row>
    <row r="100" spans="1:14" x14ac:dyDescent="0.4">
      <c r="A100" s="20" t="s">
        <v>63</v>
      </c>
      <c r="B100" s="20"/>
      <c r="C100" s="20"/>
      <c r="D100" s="22">
        <v>18.239999999999998</v>
      </c>
      <c r="E100" s="22"/>
      <c r="F100" s="22">
        <v>26.64</v>
      </c>
      <c r="G100" s="22"/>
      <c r="H100" s="22">
        <v>25.96</v>
      </c>
      <c r="I100" s="22"/>
      <c r="J100" s="22">
        <v>30.75</v>
      </c>
      <c r="K100" s="22"/>
      <c r="L100" s="22">
        <v>22.06</v>
      </c>
      <c r="M100" s="22"/>
      <c r="N100" s="22">
        <v>21.24</v>
      </c>
    </row>
    <row r="101" spans="1:14" x14ac:dyDescent="0.4">
      <c r="A101" s="20" t="s">
        <v>64</v>
      </c>
      <c r="B101" s="20"/>
      <c r="C101" s="20"/>
      <c r="D101" s="22">
        <v>21.55</v>
      </c>
      <c r="E101" s="22"/>
      <c r="F101" s="22">
        <v>32.979999999999997</v>
      </c>
      <c r="G101" s="22"/>
      <c r="H101" s="22">
        <v>27.8</v>
      </c>
      <c r="I101" s="22"/>
      <c r="J101" s="22">
        <v>31.23</v>
      </c>
      <c r="K101" s="22"/>
      <c r="L101" s="22">
        <v>33.69</v>
      </c>
      <c r="M101" s="22"/>
      <c r="N101" s="22">
        <v>23.52</v>
      </c>
    </row>
    <row r="102" spans="1:14" x14ac:dyDescent="0.4">
      <c r="A102" s="20" t="s">
        <v>65</v>
      </c>
      <c r="B102" s="20"/>
      <c r="C102" s="20"/>
      <c r="D102" s="22">
        <f>100.59194-0.256372</f>
        <v>100.33556799999999</v>
      </c>
      <c r="E102" s="22"/>
      <c r="F102" s="22">
        <f>92.394155-0.231514</f>
        <v>92.162640999999994</v>
      </c>
      <c r="G102" s="22"/>
      <c r="H102" s="22">
        <v>85.506</v>
      </c>
      <c r="I102" s="22"/>
      <c r="J102" s="22">
        <v>79.549000000000007</v>
      </c>
      <c r="K102" s="22"/>
      <c r="L102" s="22">
        <v>79.477999999999994</v>
      </c>
      <c r="M102" s="22"/>
      <c r="N102" s="22">
        <v>70.965999999999994</v>
      </c>
    </row>
    <row r="103" spans="1:14" x14ac:dyDescent="0.4">
      <c r="A103" s="20" t="s">
        <v>77</v>
      </c>
      <c r="B103" s="20"/>
      <c r="C103" s="20"/>
      <c r="D103" s="22">
        <v>-38.216000000000001</v>
      </c>
      <c r="E103" s="22"/>
      <c r="F103" s="22">
        <v>-32.558</v>
      </c>
      <c r="G103" s="22"/>
      <c r="H103" s="22">
        <v>-26.094999999999999</v>
      </c>
      <c r="I103" s="22"/>
      <c r="J103" s="22">
        <v>-36.765000000000001</v>
      </c>
      <c r="K103" s="22"/>
      <c r="L103" s="22">
        <v>-27.381</v>
      </c>
      <c r="M103" s="22"/>
      <c r="N103" s="22">
        <v>-24.498999999999999</v>
      </c>
    </row>
    <row r="104" spans="1:14" x14ac:dyDescent="0.4">
      <c r="A104" t="s">
        <v>71</v>
      </c>
    </row>
    <row r="105" spans="1:14" x14ac:dyDescent="0.4">
      <c r="B105" t="s">
        <v>70</v>
      </c>
      <c r="D105" s="15">
        <f>D67/D94</f>
        <v>1.62</v>
      </c>
      <c r="F105" s="15">
        <f>F67/F94</f>
        <v>0.84</v>
      </c>
      <c r="H105" s="15">
        <f>H67/H94</f>
        <v>0.21</v>
      </c>
      <c r="J105" s="15">
        <f>J67/J94</f>
        <v>-0.04</v>
      </c>
      <c r="L105" s="15">
        <f>L67/L94</f>
        <v>1.56</v>
      </c>
      <c r="N105" s="15">
        <f>N67/N94</f>
        <v>1.54</v>
      </c>
    </row>
    <row r="106" spans="1:14" x14ac:dyDescent="0.4">
      <c r="B106" t="s">
        <v>60</v>
      </c>
      <c r="D106" s="15">
        <f>D97/D94</f>
        <v>1.19</v>
      </c>
      <c r="F106" s="15">
        <f>F97/F94</f>
        <v>1.1599999999999999</v>
      </c>
      <c r="H106" s="15">
        <f>H97/H94</f>
        <v>1.1279999999999999</v>
      </c>
      <c r="J106" s="15">
        <f>J97/J94</f>
        <v>1.0980000000000001</v>
      </c>
      <c r="L106" s="15">
        <f>L97/L94</f>
        <v>1.0640000000000001</v>
      </c>
      <c r="N106" s="15">
        <f>N97/N94</f>
        <v>1.018</v>
      </c>
    </row>
    <row r="107" spans="1:14" x14ac:dyDescent="0.4">
      <c r="B107" t="s">
        <v>61</v>
      </c>
      <c r="D107" s="15">
        <f>D98/D94</f>
        <v>1.19</v>
      </c>
      <c r="F107" s="15">
        <f>F98/F94</f>
        <v>1.1599999999999999</v>
      </c>
      <c r="H107" s="15">
        <f>H98/H94</f>
        <v>1.1279999999999999</v>
      </c>
      <c r="J107" s="15">
        <f>J98/J94</f>
        <v>1.0980000000000001</v>
      </c>
      <c r="L107" s="15">
        <f>L98/L94</f>
        <v>1.0640000000000001</v>
      </c>
      <c r="N107" s="15">
        <f>N98/N94</f>
        <v>1.018</v>
      </c>
    </row>
    <row r="108" spans="1:14" x14ac:dyDescent="0.4">
      <c r="B108" t="s">
        <v>62</v>
      </c>
      <c r="D108" s="15">
        <f>D99/D94</f>
        <v>33.43</v>
      </c>
      <c r="F108" s="15">
        <f>F99/F94</f>
        <v>34.479999999999997</v>
      </c>
      <c r="H108" s="15">
        <f>H99/H94</f>
        <v>36.72</v>
      </c>
      <c r="J108" s="15">
        <f>J99/J94</f>
        <v>38.4</v>
      </c>
      <c r="L108" s="15">
        <f>L99/L94</f>
        <v>34.85</v>
      </c>
      <c r="N108" s="15">
        <f>N99/N94</f>
        <v>30.364999999999998</v>
      </c>
    </row>
    <row r="109" spans="1:14" x14ac:dyDescent="0.4">
      <c r="B109" t="s">
        <v>63</v>
      </c>
      <c r="D109" s="15">
        <f>D100/D94</f>
        <v>18.239999999999998</v>
      </c>
      <c r="F109" s="15">
        <f>F100/F94</f>
        <v>26.64</v>
      </c>
      <c r="H109" s="15">
        <f>H100/H94</f>
        <v>25.96</v>
      </c>
      <c r="J109" s="15">
        <f>J100/J94</f>
        <v>30.75</v>
      </c>
      <c r="L109" s="15">
        <f>L100/L94</f>
        <v>22.06</v>
      </c>
      <c r="N109" s="15">
        <f>N100/N94</f>
        <v>21.24</v>
      </c>
    </row>
    <row r="110" spans="1:14" x14ac:dyDescent="0.4">
      <c r="B110" t="s">
        <v>64</v>
      </c>
      <c r="D110" s="15">
        <f>D101/D94</f>
        <v>21.55</v>
      </c>
      <c r="F110" s="15">
        <f>F101/F94</f>
        <v>32.979999999999997</v>
      </c>
      <c r="H110" s="15">
        <f>H101/H94</f>
        <v>27.8</v>
      </c>
      <c r="J110" s="15">
        <f>J101/J94</f>
        <v>31.23</v>
      </c>
      <c r="L110" s="15">
        <f>L101/L94</f>
        <v>33.69</v>
      </c>
      <c r="N110" s="15">
        <f>N101/N94</f>
        <v>23.52</v>
      </c>
    </row>
    <row r="111" spans="1:14" x14ac:dyDescent="0.4">
      <c r="B111" t="s">
        <v>65</v>
      </c>
      <c r="D111" s="16">
        <f>D102*D94</f>
        <v>100.33556799999999</v>
      </c>
      <c r="E111" s="16"/>
      <c r="F111" s="16">
        <f>F102*F94</f>
        <v>92.162640999999994</v>
      </c>
      <c r="G111" s="16"/>
      <c r="H111" s="16">
        <f>H102*H94</f>
        <v>85.506</v>
      </c>
      <c r="I111" s="16"/>
      <c r="J111" s="16">
        <f>J102*J94</f>
        <v>79.549000000000007</v>
      </c>
      <c r="K111" s="16"/>
      <c r="L111" s="16">
        <f>L102*L94</f>
        <v>79.477999999999994</v>
      </c>
      <c r="M111" s="16"/>
      <c r="N111" s="16">
        <f>N102*N94</f>
        <v>70.965999999999994</v>
      </c>
    </row>
    <row r="112" spans="1:14" x14ac:dyDescent="0.4">
      <c r="B112" t="s">
        <v>66</v>
      </c>
      <c r="D112" s="15">
        <f>ROUND(D68/D111,2)</f>
        <v>16.55</v>
      </c>
      <c r="F112" s="15">
        <f>ROUND(F68/F111,2)</f>
        <v>15.45</v>
      </c>
      <c r="H112" s="15">
        <f>ROUND(H68/H111,2)</f>
        <v>14.82</v>
      </c>
      <c r="J112" s="15">
        <f>ROUND(J68/J111,2)</f>
        <v>14.99</v>
      </c>
      <c r="L112" s="15">
        <f>ROUND(L68/L111,2)</f>
        <v>16.22</v>
      </c>
      <c r="N112" s="15">
        <f>ROUND(N68/N111,2)</f>
        <v>14.62</v>
      </c>
    </row>
  </sheetData>
  <mergeCells count="4">
    <mergeCell ref="A1:O1"/>
    <mergeCell ref="A2:O2"/>
    <mergeCell ref="A3:O3"/>
    <mergeCell ref="D6:L6"/>
  </mergeCells>
  <pageMargins left="1.25" right="0" top="1.5" bottom="1" header="0.5" footer="0.5"/>
  <pageSetup scale="60" orientation="portrait" r:id="rId1"/>
  <headerFooter alignWithMargins="0"/>
  <rowBreaks count="1" manualBreakCount="1">
    <brk id="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12"/>
  <sheetViews>
    <sheetView zoomScale="85" zoomScaleNormal="85" workbookViewId="0">
      <selection sqref="A1:O1"/>
    </sheetView>
  </sheetViews>
  <sheetFormatPr defaultRowHeight="15" x14ac:dyDescent="0.4"/>
  <cols>
    <col min="1" max="1" width="2.6640625" customWidth="1"/>
    <col min="2" max="2" width="24.71875" customWidth="1"/>
    <col min="4" max="4" width="10.21875" customWidth="1"/>
    <col min="5" max="5" width="3.71875" customWidth="1"/>
    <col min="6" max="6" width="10.21875" customWidth="1"/>
    <col min="7" max="7" width="3.71875" customWidth="1"/>
    <col min="8" max="8" width="10.21875" customWidth="1"/>
    <col min="9" max="9" width="3.71875" customWidth="1"/>
    <col min="10" max="10" width="10.21875" customWidth="1"/>
    <col min="11" max="11" width="3.71875" customWidth="1"/>
    <col min="12" max="12" width="10.21875" customWidth="1"/>
    <col min="13" max="13" width="3.71875" customWidth="1"/>
    <col min="14" max="14" width="8.71875" customWidth="1"/>
    <col min="15" max="15" width="2.71875" customWidth="1"/>
  </cols>
  <sheetData>
    <row r="1" spans="1:15" x14ac:dyDescent="0.4">
      <c r="A1" s="46" t="str">
        <f>A54</f>
        <v>SOUTHWEST GAS HOLDINGS INC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x14ac:dyDescent="0.4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x14ac:dyDescent="0.4">
      <c r="A3" s="42" t="str">
        <f>'Page 1'!A3:N3</f>
        <v>2016-2020, Inclusive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5" spans="1:15" s="1" customFormat="1" x14ac:dyDescent="0.4">
      <c r="D5" s="2">
        <f>D55</f>
        <v>2020</v>
      </c>
      <c r="F5" s="2">
        <f>F55</f>
        <v>2019</v>
      </c>
      <c r="H5" s="2">
        <f>H55</f>
        <v>2018</v>
      </c>
      <c r="J5" s="2">
        <f>J55</f>
        <v>2017</v>
      </c>
      <c r="L5" s="2">
        <f>L55</f>
        <v>2016</v>
      </c>
    </row>
    <row r="6" spans="1:15" s="1" customFormat="1" x14ac:dyDescent="0.4">
      <c r="D6" s="45" t="s">
        <v>18</v>
      </c>
      <c r="E6" s="45"/>
      <c r="F6" s="45"/>
      <c r="G6" s="45"/>
      <c r="H6" s="45"/>
      <c r="I6" s="45"/>
      <c r="J6" s="45"/>
      <c r="K6" s="45"/>
      <c r="L6" s="45"/>
    </row>
    <row r="7" spans="1:15" x14ac:dyDescent="0.4">
      <c r="A7" t="s">
        <v>1</v>
      </c>
    </row>
    <row r="8" spans="1:15" x14ac:dyDescent="0.4">
      <c r="B8" t="s">
        <v>6</v>
      </c>
      <c r="D8" s="37">
        <f>D78+D79+D81-D103</f>
        <v>5674.3049999999994</v>
      </c>
      <c r="F8" s="37">
        <f>F78+F79+F81-F103</f>
        <v>5111.1819999999998</v>
      </c>
      <c r="H8" s="37">
        <f>H78+H79+H81-H103</f>
        <v>4526.4070000000002</v>
      </c>
      <c r="J8" s="37">
        <f>J78+J79+J81-J103</f>
        <v>3684.0069999999996</v>
      </c>
      <c r="L8" s="37">
        <f>L78+L79+L81-L103</f>
        <v>3331.9549999999999</v>
      </c>
    </row>
    <row r="9" spans="1:15" x14ac:dyDescent="0.4">
      <c r="B9" t="s">
        <v>5</v>
      </c>
      <c r="D9" s="11">
        <f>D80</f>
        <v>107</v>
      </c>
      <c r="F9" s="11">
        <f>F80</f>
        <v>211</v>
      </c>
      <c r="H9" s="11">
        <f>H80</f>
        <v>152</v>
      </c>
      <c r="J9" s="11">
        <f>J80</f>
        <v>214.5</v>
      </c>
      <c r="L9" s="11">
        <f>L80</f>
        <v>0</v>
      </c>
    </row>
    <row r="10" spans="1:15" ht="15.4" thickBot="1" x14ac:dyDescent="0.45">
      <c r="B10" t="s">
        <v>7</v>
      </c>
      <c r="D10" s="12">
        <f>D8+D9</f>
        <v>5781.3049999999994</v>
      </c>
      <c r="F10" s="12">
        <f>F8+F9</f>
        <v>5322.1819999999998</v>
      </c>
      <c r="H10" s="12">
        <f>H8+H9</f>
        <v>4678.4070000000002</v>
      </c>
      <c r="J10" s="12">
        <f>J8+J9</f>
        <v>3898.5069999999996</v>
      </c>
      <c r="L10" s="12">
        <f>L8+L9</f>
        <v>3331.9549999999999</v>
      </c>
    </row>
    <row r="11" spans="1:15" ht="15.4" thickTop="1" x14ac:dyDescent="0.4"/>
    <row r="12" spans="1:15" x14ac:dyDescent="0.4">
      <c r="A12" t="s">
        <v>8</v>
      </c>
      <c r="N12" s="2" t="s">
        <v>19</v>
      </c>
    </row>
    <row r="13" spans="1:15" x14ac:dyDescent="0.4">
      <c r="B13" s="24" t="s">
        <v>73</v>
      </c>
      <c r="D13" s="32">
        <f>ROUND(AVERAGE(D108:D109)/D105,0)</f>
        <v>15</v>
      </c>
      <c r="E13" s="7" t="s">
        <v>3</v>
      </c>
      <c r="F13" s="32">
        <f>ROUND(AVERAGE(F108:F109)/F105,0)</f>
        <v>21</v>
      </c>
      <c r="G13" s="7" t="s">
        <v>3</v>
      </c>
      <c r="H13" s="32">
        <f>ROUND(AVERAGE(H108:H109)/H105,0)</f>
        <v>20</v>
      </c>
      <c r="I13" s="7" t="s">
        <v>3</v>
      </c>
      <c r="J13" s="32">
        <f>ROUND(AVERAGE(J108:J109)/J105,0)</f>
        <v>20</v>
      </c>
      <c r="K13" s="7" t="s">
        <v>3</v>
      </c>
      <c r="L13" s="32">
        <f>ROUND(AVERAGE(L108:L109)/L105,0)</f>
        <v>21</v>
      </c>
      <c r="M13" s="7" t="s">
        <v>3</v>
      </c>
      <c r="N13" s="33">
        <f>AVERAGE(D13,F13,H13,J13,L13)</f>
        <v>19.399999999999999</v>
      </c>
      <c r="O13" s="7" t="s">
        <v>3</v>
      </c>
    </row>
    <row r="14" spans="1:15" x14ac:dyDescent="0.4">
      <c r="B14" t="s">
        <v>20</v>
      </c>
      <c r="D14" s="3">
        <f>ROUND(AVERAGE(D108:D109)/AVERAGE(D112,F112),3)</f>
        <v>1.379</v>
      </c>
      <c r="E14" s="3"/>
      <c r="F14" s="3">
        <f>ROUND(AVERAGE(F108:F109)/AVERAGE(F112,H112),3)</f>
        <v>1.8879999999999999</v>
      </c>
      <c r="G14" s="3"/>
      <c r="H14" s="3">
        <f>ROUND(AVERAGE(H108:H109)/AVERAGE(H112,J112),3)</f>
        <v>1.851</v>
      </c>
      <c r="I14" s="3"/>
      <c r="J14" s="3">
        <f>ROUND(AVERAGE(J108:J109)/AVERAGE(J112,L112),3)</f>
        <v>2.1880000000000002</v>
      </c>
      <c r="K14" s="3"/>
      <c r="L14" s="3">
        <f>ROUND(AVERAGE(L108:L109)/AVERAGE(L112,N112),3)</f>
        <v>1.9379999999999999</v>
      </c>
      <c r="M14" s="3"/>
      <c r="N14" s="6">
        <f>AVERAGE(D14,F14,H14,J14,L14)</f>
        <v>1.8488000000000002</v>
      </c>
    </row>
    <row r="15" spans="1:15" x14ac:dyDescent="0.4">
      <c r="B15" t="s">
        <v>9</v>
      </c>
      <c r="D15" s="3">
        <f>ROUND(D106/AVERAGE(D108:D109),3)</f>
        <v>3.5999999999999997E-2</v>
      </c>
      <c r="E15" s="3"/>
      <c r="F15" s="3">
        <f>ROUND(F106/AVERAGE(F108:F109),3)</f>
        <v>2.5999999999999999E-2</v>
      </c>
      <c r="G15" s="3"/>
      <c r="H15" s="3">
        <f>ROUND(H106/AVERAGE(H108:H109),3)</f>
        <v>2.8000000000000001E-2</v>
      </c>
      <c r="I15" s="3"/>
      <c r="J15" s="3">
        <f>ROUND(J106/AVERAGE(J108:J109),3)</f>
        <v>2.4E-2</v>
      </c>
      <c r="K15" s="3"/>
      <c r="L15" s="3">
        <f>ROUND(L106/AVERAGE(L108:L109),3)</f>
        <v>2.5999999999999999E-2</v>
      </c>
      <c r="M15" s="3"/>
      <c r="N15" s="6">
        <f>AVERAGE(D15,F15,H15,J15,L15)</f>
        <v>2.7999999999999997E-2</v>
      </c>
    </row>
    <row r="16" spans="1:15" x14ac:dyDescent="0.4">
      <c r="B16" t="s">
        <v>10</v>
      </c>
      <c r="D16" s="3">
        <f>ROUND(D96/D66,3)</f>
        <v>0.55500000000000005</v>
      </c>
      <c r="E16" s="3"/>
      <c r="F16" s="3">
        <f>ROUND(F96/F66,3)</f>
        <v>0.55700000000000005</v>
      </c>
      <c r="G16" s="3"/>
      <c r="H16" s="3">
        <f>ROUND(H96/H66,3)</f>
        <v>0.57399999999999995</v>
      </c>
      <c r="I16" s="3"/>
      <c r="J16" s="3">
        <f>ROUND(J96/J66,3)</f>
        <v>0.49199999999999999</v>
      </c>
      <c r="K16" s="3"/>
      <c r="L16" s="3">
        <f>ROUND(L96/L66,3)</f>
        <v>0.56699999999999995</v>
      </c>
      <c r="M16" s="3"/>
      <c r="N16" s="6">
        <f>AVERAGE(D16,F16,H16,J16,L16)</f>
        <v>0.54900000000000004</v>
      </c>
    </row>
    <row r="18" spans="1:14" x14ac:dyDescent="0.4">
      <c r="A18" t="s">
        <v>2</v>
      </c>
    </row>
    <row r="19" spans="1:14" x14ac:dyDescent="0.4">
      <c r="B19" t="s">
        <v>72</v>
      </c>
    </row>
    <row r="20" spans="1:14" x14ac:dyDescent="0.4">
      <c r="B20" s="34" t="s">
        <v>78</v>
      </c>
      <c r="D20" s="3">
        <f>ROUND((+D76+D79)/D8,3)</f>
        <v>0.48899999999999999</v>
      </c>
      <c r="E20" s="3"/>
      <c r="F20" s="3">
        <f>ROUND((+F76+F79)/F8,3)</f>
        <v>0.48199999999999998</v>
      </c>
      <c r="G20" s="3"/>
      <c r="H20" s="3">
        <f>ROUND((+H76+H79)/H8,3)</f>
        <v>0.47299999999999998</v>
      </c>
      <c r="I20" s="3"/>
      <c r="J20" s="3">
        <f>ROUND((+J76+J79)/J8,3)</f>
        <v>0.495</v>
      </c>
      <c r="K20" s="3"/>
      <c r="L20" s="3">
        <f>ROUND((+L76+L79)/L8,3)</f>
        <v>0.48</v>
      </c>
      <c r="M20" s="3"/>
      <c r="N20" s="6">
        <f>AVERAGE(D20,F20,H20,J20,L20)</f>
        <v>0.48380000000000001</v>
      </c>
    </row>
    <row r="21" spans="1:14" x14ac:dyDescent="0.4">
      <c r="B21" s="34" t="s">
        <v>79</v>
      </c>
      <c r="D21" s="3">
        <f>ROUND((SUM(D69:D75)+D81)/D8,3)</f>
        <v>2.9000000000000001E-2</v>
      </c>
      <c r="E21" s="3"/>
      <c r="F21" s="3">
        <f>ROUND((SUM(F69:F75)+F81)/F8,3)</f>
        <v>1.7000000000000001E-2</v>
      </c>
      <c r="G21" s="3"/>
      <c r="H21" s="3">
        <f>ROUND((SUM(H69:H75)+H81)/H8,3)</f>
        <v>1.7999999999999999E-2</v>
      </c>
      <c r="I21" s="3"/>
      <c r="J21" s="3">
        <f>ROUND((SUM(J69:J75)+J81)/J8,3)</f>
        <v>-1E-3</v>
      </c>
      <c r="K21" s="3"/>
      <c r="L21" s="3">
        <f>ROUND((SUM(L69:L75)+L81)/L8,3)</f>
        <v>6.0000000000000001E-3</v>
      </c>
      <c r="M21" s="3"/>
      <c r="N21" s="6">
        <f>AVERAGE(D21,F21,H21,J21,L21)</f>
        <v>1.3800000000000002E-2</v>
      </c>
    </row>
    <row r="22" spans="1:14" ht="17.25" x14ac:dyDescent="0.4">
      <c r="B22" s="35" t="s">
        <v>80</v>
      </c>
      <c r="D22" s="4">
        <f>ROUND((D68-D103)/D8,3)</f>
        <v>0.48199999999999998</v>
      </c>
      <c r="E22" s="3"/>
      <c r="F22" s="4">
        <f>ROUND((F68-F103)/F8,3)</f>
        <v>0.501</v>
      </c>
      <c r="G22" s="3"/>
      <c r="H22" s="4">
        <f>ROUND((H68-H103)/H8,3)</f>
        <v>0.50900000000000001</v>
      </c>
      <c r="I22" s="3"/>
      <c r="J22" s="4">
        <f>ROUND((J68-J103)/J8,3)</f>
        <v>0.50600000000000001</v>
      </c>
      <c r="K22" s="3"/>
      <c r="L22" s="4">
        <f>ROUND((L68-L103)/L8,3)</f>
        <v>0.51400000000000001</v>
      </c>
      <c r="M22" s="3"/>
      <c r="N22" s="8">
        <f>AVERAGE(D22,F22,H22,J22,L22)</f>
        <v>0.50239999999999996</v>
      </c>
    </row>
    <row r="23" spans="1:14" ht="15.4" thickBot="1" x14ac:dyDescent="0.45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9">
        <f>AVERAGE(D23,F23,H23,J23,L23)</f>
        <v>1</v>
      </c>
    </row>
    <row r="24" spans="1:14" ht="15.4" thickTop="1" x14ac:dyDescent="0.4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4">
      <c r="B25" s="34" t="s">
        <v>81</v>
      </c>
      <c r="D25" s="3">
        <f>ROUND((+D76+D79+D80)/D10,3)</f>
        <v>0.498</v>
      </c>
      <c r="E25" s="3"/>
      <c r="F25" s="3">
        <f>ROUND((+F76+F79+F80)/F10,3)</f>
        <v>0.503</v>
      </c>
      <c r="G25" s="3"/>
      <c r="H25" s="3">
        <f>ROUND((+H76+H79+H80)/H10,3)</f>
        <v>0.49</v>
      </c>
      <c r="I25" s="3"/>
      <c r="J25" s="3">
        <f>ROUND((+J76+J79+J80)/J10,3)</f>
        <v>0.52300000000000002</v>
      </c>
      <c r="K25" s="3"/>
      <c r="L25" s="3">
        <f>ROUND((+L76+L79+L80)/L10,3)</f>
        <v>0.48</v>
      </c>
      <c r="M25" s="3"/>
      <c r="N25" s="6">
        <f>AVERAGE(D25,F25,H25,J25,L25)</f>
        <v>0.49879999999999997</v>
      </c>
    </row>
    <row r="26" spans="1:14" x14ac:dyDescent="0.4">
      <c r="B26" s="34" t="s">
        <v>79</v>
      </c>
      <c r="D26" s="3">
        <f>ROUND((SUM(D69:D75)+D81)/D10,3)</f>
        <v>2.9000000000000001E-2</v>
      </c>
      <c r="E26" s="3"/>
      <c r="F26" s="3">
        <f>ROUND((SUM(F69:F75)+F81)/F10,3)</f>
        <v>1.6E-2</v>
      </c>
      <c r="G26" s="3"/>
      <c r="H26" s="3">
        <f>ROUND((SUM(H69:H75)+H81)/H10,3)</f>
        <v>1.7000000000000001E-2</v>
      </c>
      <c r="I26" s="3"/>
      <c r="J26" s="3">
        <f>ROUND((SUM(J69:J75)+J81)/J10,3)</f>
        <v>-1E-3</v>
      </c>
      <c r="K26" s="3"/>
      <c r="L26" s="3">
        <f>ROUND((SUM(L69:L75)+L81)/L10,3)</f>
        <v>6.0000000000000001E-3</v>
      </c>
      <c r="M26" s="3"/>
      <c r="N26" s="6">
        <f>AVERAGE(D26,F26,H26,J26,L26)</f>
        <v>1.34E-2</v>
      </c>
    </row>
    <row r="27" spans="1:14" ht="17.25" x14ac:dyDescent="0.4">
      <c r="B27" s="35" t="s">
        <v>80</v>
      </c>
      <c r="D27" s="4">
        <f>ROUND((D68-D103)/D10,3)</f>
        <v>0.47299999999999998</v>
      </c>
      <c r="E27" s="3"/>
      <c r="F27" s="4">
        <f>ROUND((F68-F103)/F10,3)</f>
        <v>0.48199999999999998</v>
      </c>
      <c r="G27" s="3"/>
      <c r="H27" s="4">
        <f>ROUND((H68-H103)/H10,3)</f>
        <v>0.49299999999999999</v>
      </c>
      <c r="I27" s="3"/>
      <c r="J27" s="4">
        <f>ROUND((J68-J103)/J10,3)</f>
        <v>0.47799999999999998</v>
      </c>
      <c r="K27" s="3"/>
      <c r="L27" s="4">
        <f>ROUND((L68-L103)/L10,3)</f>
        <v>0.51400000000000001</v>
      </c>
      <c r="M27" s="3"/>
      <c r="N27" s="8">
        <f>AVERAGE(D27,F27,H27,J27,L27)</f>
        <v>0.48799999999999999</v>
      </c>
    </row>
    <row r="28" spans="1:14" ht="15.4" thickBot="1" x14ac:dyDescent="0.45">
      <c r="D28" s="5">
        <f>SUM(D25:D27)</f>
        <v>1</v>
      </c>
      <c r="E28" s="3"/>
      <c r="F28" s="5">
        <f>SUM(F25:F27)</f>
        <v>1.0009999999999999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9">
        <f>AVERAGE(D28,F28,H28,J28,L28)</f>
        <v>1.0002</v>
      </c>
    </row>
    <row r="29" spans="1:14" ht="15.4" thickTop="1" x14ac:dyDescent="0.4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7.25" x14ac:dyDescent="0.4">
      <c r="A30" s="36" t="s">
        <v>82</v>
      </c>
      <c r="D30" s="3">
        <f>ROUND(+D66/(((D68-D103)+(F68-F103))/2),3)</f>
        <v>8.7999999999999995E-2</v>
      </c>
      <c r="E30" s="3"/>
      <c r="F30" s="3">
        <f>ROUND(+F66/(((F68-F103)+(H68-H103))/2),3)</f>
        <v>8.7999999999999995E-2</v>
      </c>
      <c r="G30" s="3"/>
      <c r="H30" s="3">
        <f>ROUND(+H66/(((H68-H103)+(J68-J103))/2),3)</f>
        <v>8.6999999999999994E-2</v>
      </c>
      <c r="I30" s="3"/>
      <c r="J30" s="3">
        <f>ROUND(+J66/(((J68-J103)+(L68-L103))/2),3)</f>
        <v>0.108</v>
      </c>
      <c r="K30" s="3"/>
      <c r="L30" s="3">
        <f>ROUND(+L66/(((L68-L103)+(N68-N103))/2),3)</f>
        <v>9.0999999999999998E-2</v>
      </c>
      <c r="M30" s="3"/>
      <c r="N30" s="6">
        <f>AVERAGE(D30,F30,H30,J30,L30)</f>
        <v>9.2399999999999996E-2</v>
      </c>
    </row>
    <row r="31" spans="1:14" x14ac:dyDescent="0.4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 x14ac:dyDescent="0.4">
      <c r="A32" s="36" t="s">
        <v>83</v>
      </c>
      <c r="D32" s="3">
        <f>ROUND((+D58-D57)/D56,3)</f>
        <v>0.872</v>
      </c>
      <c r="E32" s="3"/>
      <c r="F32" s="3">
        <f>ROUND((+F58-F57)/F56,3)</f>
        <v>0.88100000000000001</v>
      </c>
      <c r="G32" s="3"/>
      <c r="H32" s="3">
        <f>ROUND((+H58-H57)/H56,3)</f>
        <v>0.876</v>
      </c>
      <c r="I32" s="3"/>
      <c r="J32" s="3">
        <f>ROUND((+J58-J57)/J56,3)</f>
        <v>0.873</v>
      </c>
      <c r="K32" s="3"/>
      <c r="L32" s="3">
        <f>ROUND((+L58-L57)/L56,3)</f>
        <v>0.88</v>
      </c>
      <c r="M32" s="3"/>
      <c r="N32" s="6">
        <f>AVERAGE(D32,F32,H32,J32,L32)</f>
        <v>0.87639999999999996</v>
      </c>
    </row>
    <row r="34" spans="1:15" ht="17.25" x14ac:dyDescent="0.4">
      <c r="A34" s="36" t="s">
        <v>84</v>
      </c>
    </row>
    <row r="35" spans="1:15" x14ac:dyDescent="0.4">
      <c r="B35" t="s">
        <v>13</v>
      </c>
      <c r="D35" s="7">
        <f>ROUND(((+D66+D65+D64+D63+D61+D59+D57)/D61),2)</f>
        <v>3.67</v>
      </c>
      <c r="E35" s="7" t="s">
        <v>3</v>
      </c>
      <c r="F35" s="7">
        <f>ROUND(((+F66+F65+F64+F63+F61+F59+F57)/F61),2)</f>
        <v>3.47</v>
      </c>
      <c r="G35" s="7" t="s">
        <v>3</v>
      </c>
      <c r="H35" s="7">
        <f>ROUND(((+H66+H65+H64+H63+H61+H59+H57)/H61),2)</f>
        <v>3.44</v>
      </c>
      <c r="I35" s="7" t="s">
        <v>3</v>
      </c>
      <c r="J35" s="7">
        <f>ROUND(((+J66+J65+J64+J63+J61+J59+J57)/J61),2)</f>
        <v>4.25</v>
      </c>
      <c r="K35" s="7" t="s">
        <v>3</v>
      </c>
      <c r="L35" s="7">
        <f>ROUND(((+L66+L65+L64+L63+L61+L59+L57)/L61),2)</f>
        <v>4.08</v>
      </c>
      <c r="M35" s="7" t="s">
        <v>3</v>
      </c>
      <c r="N35" s="27">
        <f>AVERAGE(D35,F35,H35,J35,L35)</f>
        <v>3.782</v>
      </c>
      <c r="O35" t="s">
        <v>3</v>
      </c>
    </row>
    <row r="36" spans="1:15" x14ac:dyDescent="0.4">
      <c r="B36" t="s">
        <v>21</v>
      </c>
      <c r="D36" s="7">
        <f>ROUND(((+D66+D65+D64+D63+D61)/(D61)),2)</f>
        <v>3.08</v>
      </c>
      <c r="E36" s="7" t="s">
        <v>3</v>
      </c>
      <c r="F36" s="7">
        <f>ROUND(((+F66+F65+F64+F63+F61)/(F61)),2)</f>
        <v>2.96</v>
      </c>
      <c r="G36" s="7" t="s">
        <v>3</v>
      </c>
      <c r="H36" s="7">
        <f>ROUND(((+H66+H65+H64+H63+H61)/(H61)),2)</f>
        <v>2.82</v>
      </c>
      <c r="I36" s="7" t="s">
        <v>3</v>
      </c>
      <c r="J36" s="7">
        <f>ROUND(((+J66+J65+J64+J63+J61)/(J61)),2)</f>
        <v>3.43</v>
      </c>
      <c r="K36" s="7" t="s">
        <v>3</v>
      </c>
      <c r="L36" s="7">
        <f>ROUND(((+L66+L65+L64+L63+L61)/(L61)),2)</f>
        <v>3.03</v>
      </c>
      <c r="M36" s="7" t="s">
        <v>3</v>
      </c>
      <c r="N36" s="27">
        <f>AVERAGE(D36,F36,H36,J36,L36)</f>
        <v>3.0639999999999996</v>
      </c>
      <c r="O36" t="s">
        <v>3</v>
      </c>
    </row>
    <row r="37" spans="1:15" x14ac:dyDescent="0.4">
      <c r="B37" t="s">
        <v>14</v>
      </c>
      <c r="D37" s="7">
        <f>ROUND(((+D66+D65+D64+D63+D61)/(D61+D63+D64+D65)),2)</f>
        <v>3.08</v>
      </c>
      <c r="E37" s="7" t="s">
        <v>3</v>
      </c>
      <c r="F37" s="7">
        <f>ROUND(((+F66+F65+F64+F63+F61)/(F61+F63+F64+F65)),2)</f>
        <v>2.96</v>
      </c>
      <c r="G37" s="7" t="s">
        <v>3</v>
      </c>
      <c r="H37" s="7">
        <f>ROUND(((+H66+H65+H64+H63+H61)/(H61+H63+H64+H65)),2)</f>
        <v>2.82</v>
      </c>
      <c r="I37" s="7" t="s">
        <v>3</v>
      </c>
      <c r="J37" s="7">
        <f>ROUND(((+J66+J65+J64+J63+J61)/(J61+J63+J64+J65)),2)</f>
        <v>3.43</v>
      </c>
      <c r="K37" s="7" t="s">
        <v>3</v>
      </c>
      <c r="L37" s="7">
        <f>ROUND(((+L66+L65+L64+L63+L61)/(L61+L63+L64+L65)),2)</f>
        <v>3.03</v>
      </c>
      <c r="M37" s="7" t="s">
        <v>3</v>
      </c>
      <c r="N37" s="27">
        <f>AVERAGE(D37,F37,H37,J37,L37)</f>
        <v>3.0639999999999996</v>
      </c>
      <c r="O37" t="s">
        <v>3</v>
      </c>
    </row>
    <row r="38" spans="1:1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7.25" x14ac:dyDescent="0.4">
      <c r="A39" s="36" t="s">
        <v>85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x14ac:dyDescent="0.4">
      <c r="B40" t="s">
        <v>13</v>
      </c>
      <c r="D40" s="7">
        <f>ROUND(((+D66+D65+D64+D63-D62+D61+D59+D57)/D61),2)</f>
        <v>3.6</v>
      </c>
      <c r="E40" s="7" t="s">
        <v>3</v>
      </c>
      <c r="F40" s="7">
        <f>ROUND(((+F66+F65+F64+F63-F62+F61+F59+F57)/F61),2)</f>
        <v>3.39</v>
      </c>
      <c r="G40" s="7" t="s">
        <v>3</v>
      </c>
      <c r="H40" s="7">
        <f>ROUND(((+H66+H65+H64+H63-H62+H61+H59+H57)/H61),2)</f>
        <v>3.37</v>
      </c>
      <c r="I40" s="7" t="s">
        <v>3</v>
      </c>
      <c r="J40" s="7">
        <f>ROUND(((+J66+J65+J64+J63-J62+J61+J59+J57)/J61),2)</f>
        <v>4.2</v>
      </c>
      <c r="K40" s="7" t="s">
        <v>3</v>
      </c>
      <c r="L40" s="7">
        <f>ROUND(((+L66+L65+L64+L63-L62+L61+L59+L57)/L61),2)</f>
        <v>4.03</v>
      </c>
      <c r="M40" s="7" t="s">
        <v>3</v>
      </c>
      <c r="N40" s="27">
        <f>AVERAGE(D40,F40,H40,J40,L40)</f>
        <v>3.718</v>
      </c>
      <c r="O40" t="s">
        <v>3</v>
      </c>
    </row>
    <row r="41" spans="1:15" x14ac:dyDescent="0.4">
      <c r="B41" t="s">
        <v>21</v>
      </c>
      <c r="D41" s="7">
        <f>ROUND(((+D66+D65+D64+D63-D62+D61)/D61),2)</f>
        <v>3.01</v>
      </c>
      <c r="E41" s="7" t="s">
        <v>3</v>
      </c>
      <c r="F41" s="7">
        <f>ROUND(((+F66+F65+F64+F63-F62+F61)/F61),2)</f>
        <v>2.88</v>
      </c>
      <c r="G41" s="7" t="s">
        <v>3</v>
      </c>
      <c r="H41" s="7">
        <f>ROUND(((+H66+H65+H64+H63-H62+H61)/H61),2)</f>
        <v>2.76</v>
      </c>
      <c r="I41" s="7" t="s">
        <v>3</v>
      </c>
      <c r="J41" s="7">
        <f>ROUND(((+J66+J65+J64+J63-J62+J61)/J61),2)</f>
        <v>3.38</v>
      </c>
      <c r="K41" s="7" t="s">
        <v>3</v>
      </c>
      <c r="L41" s="7">
        <f>ROUND(((+L66+L65+L64+L63-L62+L61)/L61),2)</f>
        <v>2.99</v>
      </c>
      <c r="M41" s="7" t="s">
        <v>3</v>
      </c>
      <c r="N41" s="27">
        <f>AVERAGE(D41,F41,H41,J41,L41)</f>
        <v>3.0039999999999996</v>
      </c>
      <c r="O41" t="s">
        <v>3</v>
      </c>
    </row>
    <row r="42" spans="1:15" x14ac:dyDescent="0.4">
      <c r="B42" t="s">
        <v>14</v>
      </c>
      <c r="D42" s="7">
        <f>ROUND(((+D66+D65+D64+D63-D62+D61)/(D61+D63+D64+D65)),2)</f>
        <v>3.01</v>
      </c>
      <c r="E42" s="7" t="s">
        <v>3</v>
      </c>
      <c r="F42" s="7">
        <f>ROUND(((+F66+F65+F64+F63-F62+F61)/(F61+F63+F64+F65)),2)</f>
        <v>2.88</v>
      </c>
      <c r="G42" s="7" t="s">
        <v>3</v>
      </c>
      <c r="H42" s="7">
        <f>ROUND(((+H66+H65+H64+H63-H62+H61)/(H61+H63+H64+H65)),2)</f>
        <v>2.76</v>
      </c>
      <c r="I42" s="7" t="s">
        <v>3</v>
      </c>
      <c r="J42" s="7">
        <f>ROUND(((+J66+J65+J64+J63-J62+J61)/(J61+J63+J64+J65)),2)</f>
        <v>3.38</v>
      </c>
      <c r="K42" s="7" t="s">
        <v>3</v>
      </c>
      <c r="L42" s="7">
        <f>ROUND(((+L66+L65+L64+L63-L62+L61)/(L61+L63+L64+L65)),2)</f>
        <v>2.99</v>
      </c>
      <c r="M42" s="7" t="s">
        <v>3</v>
      </c>
      <c r="N42" s="27">
        <f>AVERAGE(D42,F42,H42,J42,L42)</f>
        <v>3.0039999999999996</v>
      </c>
      <c r="O42" t="s">
        <v>3</v>
      </c>
    </row>
    <row r="44" spans="1:15" x14ac:dyDescent="0.4">
      <c r="A44" t="s">
        <v>15</v>
      </c>
    </row>
    <row r="45" spans="1:15" x14ac:dyDescent="0.4">
      <c r="B45" t="s">
        <v>16</v>
      </c>
      <c r="D45" s="13">
        <f>ROUND(D62/D66,3)</f>
        <v>3.4000000000000002E-2</v>
      </c>
      <c r="E45" s="13"/>
      <c r="F45" s="13">
        <f>ROUND(F62/F66,3)</f>
        <v>4.1000000000000002E-2</v>
      </c>
      <c r="G45" s="13"/>
      <c r="H45" s="13">
        <f>ROUND(H62/H66,3)</f>
        <v>3.7999999999999999E-2</v>
      </c>
      <c r="I45" s="13"/>
      <c r="J45" s="13">
        <f>ROUND(J62/J66,3)</f>
        <v>0.02</v>
      </c>
      <c r="K45" s="13"/>
      <c r="L45" s="13">
        <f>ROUND(L62/L66,3)</f>
        <v>2.3E-2</v>
      </c>
      <c r="M45" s="3"/>
      <c r="N45" s="6">
        <f t="shared" ref="N45:N50" si="0">AVERAGE(D45,F45,H45,J45,L45)</f>
        <v>3.1199999999999999E-2</v>
      </c>
    </row>
    <row r="46" spans="1:15" x14ac:dyDescent="0.4">
      <c r="B46" t="s">
        <v>17</v>
      </c>
      <c r="D46" s="17">
        <f>ROUND((D57+D59)/(D57+D59+D66+D63+D64+D65),3)</f>
        <v>0.221</v>
      </c>
      <c r="E46" s="18"/>
      <c r="F46" s="17">
        <f>ROUND((F57+F59)/(F57+F59+F66+F63+F64+F65),3)</f>
        <v>0.20799999999999999</v>
      </c>
      <c r="G46" s="18"/>
      <c r="H46" s="17">
        <f>ROUND((H57+H59)/(H57+H59+H66+H63+H64+H65),3)</f>
        <v>0.253</v>
      </c>
      <c r="I46" s="18"/>
      <c r="J46" s="17">
        <f>ROUND((J57+J59)/(J57+J59+J66+J63+J64+J65),3)</f>
        <v>0.251</v>
      </c>
      <c r="K46" s="18"/>
      <c r="L46" s="17">
        <f>ROUND((L57+L59)/(L57+L59+L66+L63+L64+L65),3)</f>
        <v>0.34</v>
      </c>
      <c r="N46" s="6">
        <f t="shared" si="0"/>
        <v>0.25459999999999999</v>
      </c>
    </row>
    <row r="47" spans="1:15" ht="17.25" x14ac:dyDescent="0.4">
      <c r="B47" s="36" t="s">
        <v>86</v>
      </c>
      <c r="D47" s="13">
        <f>ROUND(((+D82+D83+D84+D85+D86-D87+D88-D90-D91)/(+D89-D87)),3)</f>
        <v>0.60799999999999998</v>
      </c>
      <c r="E47" s="14"/>
      <c r="F47" s="13">
        <f>ROUND(((+F82+F83+F84+F85+F86-F87+F88-F90-F91)/(+F89-F87)),3)</f>
        <v>0.49299999999999999</v>
      </c>
      <c r="G47" s="14"/>
      <c r="H47" s="13">
        <f>ROUND(((+H82+H83+H84+H85+H86-H87+H88-H90-H91)/(+H89-H87)),3)</f>
        <v>0.502</v>
      </c>
      <c r="I47" s="14"/>
      <c r="J47" s="13">
        <f>ROUND(((+J82+J83+J84+J85+J86-J87+J88-J90-J91)/(+J89-J87)),3)</f>
        <v>0.68100000000000005</v>
      </c>
      <c r="K47" s="14"/>
      <c r="L47" s="13">
        <f>ROUND(((+L82+L83+L84+L85+L86-L87+L88-L90-L91)/(+L89-L87)),3)</f>
        <v>0.81299999999999994</v>
      </c>
      <c r="N47" s="6">
        <f t="shared" si="0"/>
        <v>0.61939999999999995</v>
      </c>
    </row>
    <row r="48" spans="1:15" ht="17.25" x14ac:dyDescent="0.4">
      <c r="B48" s="36" t="s">
        <v>87</v>
      </c>
      <c r="D48" s="13">
        <f>ROUND(((+D82+D83+D84+D85+D86-D87+D88)/(AVERAGE(D76,F76)+AVERAGE(D79,F79)+AVERAGE(D80,F80))),3)</f>
        <v>0.22500000000000001</v>
      </c>
      <c r="E48" s="14"/>
      <c r="F48" s="13">
        <f>ROUND(((+F82+F83+F84+F85+F86-F87+F88)/(AVERAGE(F76,H76)+AVERAGE(F79,H79)+AVERAGE(F80,H80))),3)</f>
        <v>0.23200000000000001</v>
      </c>
      <c r="G48" s="14"/>
      <c r="H48" s="13">
        <f>ROUND(((+H82+H83+H84+H85+H86-H87+H88)/(AVERAGE(H76,J76)+AVERAGE(H79,J79)+AVERAGE(H80,J80))),3)</f>
        <v>0.224</v>
      </c>
      <c r="I48" s="14"/>
      <c r="J48" s="13">
        <f>ROUND(((+J82+J83+J84+J85+J86-J87+J88)/(AVERAGE(J76,L76)+AVERAGE(J79,L79)+AVERAGE(J80,L80))),3)</f>
        <v>0.28399999999999997</v>
      </c>
      <c r="K48" s="14"/>
      <c r="L48" s="13">
        <f>ROUND(((+L82+L83+L84+L85+L86-L87+L88)/(AVERAGE(L76,N76)+AVERAGE(L79,N79)+AVERAGE(L80,N80))),3)</f>
        <v>0.32200000000000001</v>
      </c>
      <c r="N48" s="6">
        <f t="shared" si="0"/>
        <v>0.25740000000000002</v>
      </c>
    </row>
    <row r="49" spans="1:15" ht="17.25" x14ac:dyDescent="0.4">
      <c r="B49" s="36" t="s">
        <v>88</v>
      </c>
      <c r="D49" s="28">
        <f>ROUND(((+D82+D83+D84+D85+D86-D87+D88+D92)/D61),2)</f>
        <v>6.54</v>
      </c>
      <c r="E49" t="s">
        <v>3</v>
      </c>
      <c r="F49" s="28">
        <f>ROUND(((+F82+F83+F84+F85+F86-F87+F88+F92)/F61),2)</f>
        <v>6.22</v>
      </c>
      <c r="G49" t="s">
        <v>3</v>
      </c>
      <c r="H49" s="28">
        <f>ROUND(((+H82+H83+H84+H85+H86-H87+H88+H92)/H61),2)</f>
        <v>5.71</v>
      </c>
      <c r="I49" t="s">
        <v>3</v>
      </c>
      <c r="J49" s="28">
        <f>ROUND(((+J82+J83+J84+J85+J86-J87+J88+J92)/J61),2)</f>
        <v>7.39</v>
      </c>
      <c r="K49" t="s">
        <v>3</v>
      </c>
      <c r="L49" s="28">
        <f>ROUND(((+L82+L83+L84+L85+L86-L87+L88+L92)/L61),2)</f>
        <v>7.77</v>
      </c>
      <c r="M49" t="s">
        <v>3</v>
      </c>
      <c r="N49" s="29">
        <f t="shared" si="0"/>
        <v>6.7259999999999991</v>
      </c>
      <c r="O49" t="s">
        <v>3</v>
      </c>
    </row>
    <row r="50" spans="1:15" ht="17.25" x14ac:dyDescent="0.4">
      <c r="B50" s="36" t="s">
        <v>89</v>
      </c>
      <c r="D50" s="28">
        <f>ROUND(((+D82+D83+D84+D85+D86-D87+D88-D91)/+D90),2)</f>
        <v>4.97</v>
      </c>
      <c r="E50" t="s">
        <v>3</v>
      </c>
      <c r="F50" s="28">
        <f>ROUND(((+F82+F83+F84+F85+F86-F87+F88-F91)/+F90),2)</f>
        <v>4.97</v>
      </c>
      <c r="G50" t="s">
        <v>3</v>
      </c>
      <c r="H50" s="28">
        <f>ROUND(((+H82+H83+H84+H85+H86-H87+H88-H91)/+H90),2)</f>
        <v>4.83</v>
      </c>
      <c r="I50" t="s">
        <v>3</v>
      </c>
      <c r="J50" s="28">
        <f>ROUND(((+J82+J83+J84+J85+J86-J87+J88-J91)/+J90),2)</f>
        <v>5.61</v>
      </c>
      <c r="K50" t="s">
        <v>3</v>
      </c>
      <c r="L50" s="28">
        <f>ROUND(((+L82+L83+L84+L85+L86-L87+L88-L91)/+L90),2)</f>
        <v>6.17</v>
      </c>
      <c r="M50" t="s">
        <v>3</v>
      </c>
      <c r="N50" s="29">
        <f t="shared" si="0"/>
        <v>5.31</v>
      </c>
      <c r="O50" t="s">
        <v>3</v>
      </c>
    </row>
    <row r="52" spans="1:15" x14ac:dyDescent="0.4">
      <c r="A52" t="s">
        <v>4</v>
      </c>
    </row>
    <row r="53" spans="1:15" x14ac:dyDescent="0.4">
      <c r="D53" s="38"/>
    </row>
    <row r="54" spans="1:15" x14ac:dyDescent="0.4">
      <c r="A54" s="19" t="s">
        <v>103</v>
      </c>
      <c r="B54" s="19"/>
      <c r="C54" s="19"/>
      <c r="D54" s="38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5" x14ac:dyDescent="0.4">
      <c r="A55" s="20"/>
      <c r="B55" s="20"/>
      <c r="C55" s="20"/>
      <c r="D55" s="21">
        <v>2020</v>
      </c>
      <c r="E55" s="19"/>
      <c r="F55" s="21">
        <v>2019</v>
      </c>
      <c r="G55" s="19"/>
      <c r="H55" s="21">
        <v>2018</v>
      </c>
      <c r="I55" s="19"/>
      <c r="J55" s="21">
        <v>2017</v>
      </c>
      <c r="K55" s="19"/>
      <c r="L55" s="21">
        <v>2016</v>
      </c>
      <c r="M55" s="19"/>
      <c r="N55" s="21">
        <v>2015</v>
      </c>
    </row>
    <row r="56" spans="1:15" x14ac:dyDescent="0.4">
      <c r="A56" s="20" t="s">
        <v>22</v>
      </c>
      <c r="B56" s="20"/>
      <c r="C56" s="20"/>
      <c r="D56" s="22">
        <v>3298.873</v>
      </c>
      <c r="E56" s="22"/>
      <c r="F56" s="22">
        <v>3119.9169999999999</v>
      </c>
      <c r="G56" s="22"/>
      <c r="H56" s="22">
        <v>2880.0129999999999</v>
      </c>
      <c r="I56" s="22"/>
      <c r="J56" s="22">
        <v>2548.7919999999999</v>
      </c>
      <c r="K56" s="22"/>
      <c r="L56" s="22">
        <v>2460.4899999999998</v>
      </c>
      <c r="M56" s="22"/>
      <c r="N56" s="22">
        <v>2463.625</v>
      </c>
    </row>
    <row r="57" spans="1:15" x14ac:dyDescent="0.4">
      <c r="A57" s="20" t="s">
        <v>23</v>
      </c>
      <c r="B57" s="20"/>
      <c r="C57" s="20"/>
      <c r="D57" s="22">
        <v>65.753</v>
      </c>
      <c r="E57" s="22"/>
      <c r="F57" s="22">
        <v>56.023000000000003</v>
      </c>
      <c r="G57" s="22"/>
      <c r="H57" s="22">
        <v>61.683999999999997</v>
      </c>
      <c r="I57" s="22"/>
      <c r="J57" s="22">
        <v>65.087999999999994</v>
      </c>
      <c r="K57" s="22"/>
      <c r="L57" s="22">
        <v>78.468000000000004</v>
      </c>
      <c r="M57" s="22"/>
      <c r="N57" s="22">
        <v>79.902000000000001</v>
      </c>
    </row>
    <row r="58" spans="1:15" x14ac:dyDescent="0.4">
      <c r="A58" s="20" t="s">
        <v>24</v>
      </c>
      <c r="B58" s="20"/>
      <c r="C58" s="20"/>
      <c r="D58" s="22">
        <f>2875.869+D57</f>
        <v>2941.6220000000003</v>
      </c>
      <c r="E58" s="22"/>
      <c r="F58" s="22">
        <f>2748.106+F57</f>
        <v>2804.1290000000004</v>
      </c>
      <c r="G58" s="22"/>
      <c r="H58" s="22">
        <v>2584.2640000000001</v>
      </c>
      <c r="I58" s="22"/>
      <c r="J58" s="22">
        <v>2290.1799999999998</v>
      </c>
      <c r="K58" s="22"/>
      <c r="L58" s="22">
        <v>2243.2440000000001</v>
      </c>
      <c r="M58" s="22"/>
      <c r="N58" s="22">
        <v>2255.1950000000002</v>
      </c>
    </row>
    <row r="59" spans="1:15" x14ac:dyDescent="0.4">
      <c r="A59" s="20" t="s">
        <v>25</v>
      </c>
      <c r="B59" s="20"/>
      <c r="C59" s="20"/>
      <c r="D59" s="22">
        <v>0</v>
      </c>
      <c r="E59" s="22"/>
      <c r="F59" s="22">
        <v>0</v>
      </c>
      <c r="G59" s="22"/>
      <c r="H59" s="22">
        <v>0</v>
      </c>
      <c r="I59" s="22"/>
      <c r="J59" s="22">
        <v>0</v>
      </c>
      <c r="K59" s="22"/>
      <c r="L59" s="22">
        <v>0</v>
      </c>
      <c r="M59" s="22"/>
      <c r="N59" s="22">
        <v>0</v>
      </c>
    </row>
    <row r="60" spans="1:15" x14ac:dyDescent="0.4">
      <c r="A60" s="20" t="s">
        <v>26</v>
      </c>
      <c r="B60" s="20"/>
      <c r="C60" s="20"/>
      <c r="D60" s="22">
        <f>423.004-D57-6.789-6.661</f>
        <v>343.80100000000004</v>
      </c>
      <c r="E60" s="22"/>
      <c r="F60" s="22">
        <f>371.811-F57+10.085-2.711</f>
        <v>323.16199999999992</v>
      </c>
      <c r="G60" s="22"/>
      <c r="H60" s="22">
        <v>278.32299999999998</v>
      </c>
      <c r="I60" s="22"/>
      <c r="J60" s="22">
        <v>272.00599999999997</v>
      </c>
      <c r="K60" s="22"/>
      <c r="L60" s="22">
        <v>226.715</v>
      </c>
      <c r="M60" s="22"/>
      <c r="N60" s="22">
        <v>211.309</v>
      </c>
    </row>
    <row r="61" spans="1:15" x14ac:dyDescent="0.4">
      <c r="A61" s="20" t="s">
        <v>27</v>
      </c>
      <c r="B61" s="20"/>
      <c r="C61" s="20"/>
      <c r="D61" s="22">
        <v>111.477</v>
      </c>
      <c r="E61" s="22"/>
      <c r="F61" s="22">
        <v>109.226</v>
      </c>
      <c r="G61" s="22"/>
      <c r="H61" s="22">
        <v>99.935000000000002</v>
      </c>
      <c r="I61" s="22"/>
      <c r="J61" s="22">
        <v>79.73</v>
      </c>
      <c r="K61" s="22"/>
      <c r="L61" s="22">
        <v>74.834999999999994</v>
      </c>
      <c r="M61" s="22"/>
      <c r="N61" s="22">
        <v>73.545000000000002</v>
      </c>
    </row>
    <row r="62" spans="1:15" x14ac:dyDescent="0.4">
      <c r="A62" s="20" t="s">
        <v>28</v>
      </c>
      <c r="B62" s="20"/>
      <c r="C62" s="20"/>
      <c r="D62" s="22">
        <v>7.9260000000000002</v>
      </c>
      <c r="E62" s="22"/>
      <c r="F62" s="22">
        <v>8.7189999999999994</v>
      </c>
      <c r="G62" s="22"/>
      <c r="H62" s="22">
        <v>6.891</v>
      </c>
      <c r="I62" s="22"/>
      <c r="J62" s="22">
        <v>3.9620000000000002</v>
      </c>
      <c r="K62" s="22"/>
      <c r="L62" s="22">
        <v>3.464</v>
      </c>
      <c r="M62" s="22"/>
      <c r="N62" s="22">
        <v>4.6740000000000004</v>
      </c>
    </row>
    <row r="63" spans="1:15" x14ac:dyDescent="0.4">
      <c r="A63" s="20" t="s">
        <v>29</v>
      </c>
      <c r="B63" s="20"/>
      <c r="C63" s="20"/>
      <c r="D63" s="22">
        <v>0</v>
      </c>
      <c r="E63" s="22"/>
      <c r="F63" s="22">
        <v>0</v>
      </c>
      <c r="G63" s="22"/>
      <c r="H63" s="22">
        <v>0</v>
      </c>
      <c r="I63" s="22"/>
      <c r="J63" s="22">
        <v>0</v>
      </c>
      <c r="K63" s="22"/>
      <c r="L63" s="22">
        <v>0</v>
      </c>
      <c r="M63" s="22"/>
      <c r="N63" s="22">
        <v>0</v>
      </c>
    </row>
    <row r="64" spans="1:15" x14ac:dyDescent="0.4">
      <c r="A64" s="20" t="s">
        <v>30</v>
      </c>
      <c r="B64" s="20"/>
      <c r="C64" s="20"/>
      <c r="D64" s="22">
        <v>0</v>
      </c>
      <c r="E64" s="22"/>
      <c r="F64" s="22">
        <v>0</v>
      </c>
      <c r="G64" s="22"/>
      <c r="H64" s="22">
        <v>0</v>
      </c>
      <c r="I64" s="22"/>
      <c r="J64" s="22">
        <v>0</v>
      </c>
      <c r="K64" s="22"/>
      <c r="L64" s="22">
        <v>0</v>
      </c>
      <c r="M64" s="22"/>
      <c r="N64" s="22">
        <v>0</v>
      </c>
    </row>
    <row r="65" spans="1:14" x14ac:dyDescent="0.4">
      <c r="A65" s="20" t="s">
        <v>31</v>
      </c>
      <c r="B65" s="20"/>
      <c r="C65" s="20"/>
      <c r="D65" s="22">
        <v>0</v>
      </c>
      <c r="E65" s="22"/>
      <c r="F65" s="22">
        <v>0</v>
      </c>
      <c r="G65" s="22"/>
      <c r="H65" s="22">
        <v>0</v>
      </c>
      <c r="I65" s="22"/>
      <c r="J65" s="22">
        <v>0</v>
      </c>
      <c r="K65" s="22"/>
      <c r="L65" s="22">
        <v>0</v>
      </c>
      <c r="M65" s="22"/>
      <c r="N65" s="22">
        <v>0</v>
      </c>
    </row>
    <row r="66" spans="1:14" x14ac:dyDescent="0.4">
      <c r="A66" s="20" t="s">
        <v>32</v>
      </c>
      <c r="B66" s="20"/>
      <c r="C66" s="20"/>
      <c r="D66" s="22">
        <v>232.32400000000001</v>
      </c>
      <c r="E66" s="22"/>
      <c r="F66" s="22">
        <v>213.93600000000001</v>
      </c>
      <c r="G66" s="22"/>
      <c r="H66" s="22">
        <v>182.27699999999999</v>
      </c>
      <c r="I66" s="22"/>
      <c r="J66" s="22">
        <v>193.84100000000001</v>
      </c>
      <c r="K66" s="22"/>
      <c r="L66" s="22">
        <v>152.041</v>
      </c>
      <c r="M66" s="22"/>
      <c r="N66" s="22">
        <v>138.31700000000001</v>
      </c>
    </row>
    <row r="67" spans="1:14" x14ac:dyDescent="0.4">
      <c r="A67" s="20" t="s">
        <v>33</v>
      </c>
      <c r="B67" s="20"/>
      <c r="C67" s="20"/>
      <c r="D67" s="22">
        <v>4.1500000000000004</v>
      </c>
      <c r="E67" s="22"/>
      <c r="F67" s="22">
        <v>3.94</v>
      </c>
      <c r="G67" s="22"/>
      <c r="H67" s="22">
        <v>3.69</v>
      </c>
      <c r="I67" s="22"/>
      <c r="J67" s="22">
        <v>4.04</v>
      </c>
      <c r="K67" s="22"/>
      <c r="L67" s="22">
        <v>3.2</v>
      </c>
      <c r="M67" s="22"/>
      <c r="N67" s="22">
        <v>2.94</v>
      </c>
    </row>
    <row r="68" spans="1:14" x14ac:dyDescent="0.4">
      <c r="A68" s="20" t="s">
        <v>34</v>
      </c>
      <c r="B68" s="20"/>
      <c r="C68" s="20"/>
      <c r="D68" s="22">
        <v>2674.953</v>
      </c>
      <c r="E68" s="22"/>
      <c r="F68" s="22">
        <v>2505.9140000000002</v>
      </c>
      <c r="G68" s="22"/>
      <c r="H68" s="22">
        <v>2252.0419999999999</v>
      </c>
      <c r="I68" s="22"/>
      <c r="J68" s="22">
        <v>1814.768</v>
      </c>
      <c r="K68" s="22"/>
      <c r="L68" s="22">
        <v>1663.49</v>
      </c>
      <c r="M68" s="22"/>
      <c r="N68" s="22">
        <v>1594.4079999999999</v>
      </c>
    </row>
    <row r="69" spans="1:14" x14ac:dyDescent="0.4">
      <c r="A69" s="20" t="s">
        <v>35</v>
      </c>
      <c r="B69" s="20"/>
      <c r="C69" s="20"/>
      <c r="D69" s="22">
        <v>0</v>
      </c>
      <c r="E69" s="22"/>
      <c r="F69" s="22">
        <v>0</v>
      </c>
      <c r="G69" s="22"/>
      <c r="H69" s="22">
        <v>0</v>
      </c>
      <c r="I69" s="22"/>
      <c r="J69" s="22">
        <v>0</v>
      </c>
      <c r="K69" s="22"/>
      <c r="L69" s="22">
        <v>0</v>
      </c>
      <c r="M69" s="22"/>
      <c r="N69" s="22">
        <v>0</v>
      </c>
    </row>
    <row r="70" spans="1:14" x14ac:dyDescent="0.4">
      <c r="A70" s="20" t="s">
        <v>36</v>
      </c>
      <c r="B70" s="20"/>
      <c r="C70" s="20"/>
      <c r="D70" s="22">
        <v>0</v>
      </c>
      <c r="E70" s="22"/>
      <c r="F70" s="22">
        <v>0</v>
      </c>
      <c r="G70" s="22"/>
      <c r="H70" s="22">
        <v>0</v>
      </c>
      <c r="I70" s="22"/>
      <c r="J70" s="22">
        <v>0</v>
      </c>
      <c r="K70" s="22"/>
      <c r="L70" s="22">
        <v>0</v>
      </c>
      <c r="M70" s="22"/>
      <c r="N70" s="22">
        <v>0</v>
      </c>
    </row>
    <row r="71" spans="1:14" x14ac:dyDescent="0.4">
      <c r="A71" s="20" t="s">
        <v>37</v>
      </c>
      <c r="B71" s="20"/>
      <c r="C71" s="20"/>
      <c r="D71" s="22">
        <v>0</v>
      </c>
      <c r="E71" s="22"/>
      <c r="F71" s="22">
        <v>0</v>
      </c>
      <c r="G71" s="22"/>
      <c r="H71" s="22">
        <v>0</v>
      </c>
      <c r="I71" s="22"/>
      <c r="J71" s="22">
        <v>0</v>
      </c>
      <c r="K71" s="22"/>
      <c r="L71" s="22">
        <v>0</v>
      </c>
      <c r="M71" s="22"/>
      <c r="N71" s="22">
        <v>0</v>
      </c>
    </row>
    <row r="72" spans="1:14" x14ac:dyDescent="0.4">
      <c r="A72" s="20" t="s">
        <v>38</v>
      </c>
      <c r="B72" s="20"/>
      <c r="C72" s="20"/>
      <c r="D72" s="22">
        <v>0</v>
      </c>
      <c r="E72" s="22"/>
      <c r="F72" s="22">
        <v>0</v>
      </c>
      <c r="G72" s="22"/>
      <c r="H72" s="22">
        <v>0</v>
      </c>
      <c r="I72" s="22"/>
      <c r="J72" s="22">
        <v>0</v>
      </c>
      <c r="K72" s="22"/>
      <c r="L72" s="22">
        <v>0</v>
      </c>
      <c r="M72" s="22"/>
      <c r="N72" s="22">
        <v>0</v>
      </c>
    </row>
    <row r="73" spans="1:14" x14ac:dyDescent="0.4">
      <c r="A73" s="20" t="s">
        <v>39</v>
      </c>
      <c r="B73" s="20"/>
      <c r="C73" s="20"/>
      <c r="D73" s="22">
        <v>0</v>
      </c>
      <c r="E73" s="22"/>
      <c r="F73" s="22">
        <v>0</v>
      </c>
      <c r="G73" s="22"/>
      <c r="H73" s="22">
        <v>0</v>
      </c>
      <c r="I73" s="22"/>
      <c r="J73" s="22">
        <v>0</v>
      </c>
      <c r="K73" s="22"/>
      <c r="L73" s="22">
        <v>0</v>
      </c>
      <c r="M73" s="22"/>
      <c r="N73" s="22">
        <v>0</v>
      </c>
    </row>
    <row r="74" spans="1:14" x14ac:dyDescent="0.4">
      <c r="A74" s="20" t="s">
        <v>40</v>
      </c>
      <c r="B74" s="20"/>
      <c r="C74" s="20"/>
      <c r="D74" s="22">
        <v>0</v>
      </c>
      <c r="E74" s="22"/>
      <c r="F74" s="22">
        <v>0</v>
      </c>
      <c r="G74" s="22"/>
      <c r="H74" s="22">
        <v>0</v>
      </c>
      <c r="I74" s="22"/>
      <c r="J74" s="22">
        <v>0</v>
      </c>
      <c r="K74" s="22"/>
      <c r="L74" s="22">
        <v>0</v>
      </c>
      <c r="M74" s="22"/>
      <c r="N74" s="22">
        <v>0</v>
      </c>
    </row>
    <row r="75" spans="1:14" x14ac:dyDescent="0.4">
      <c r="A75" s="20" t="s">
        <v>41</v>
      </c>
      <c r="B75" s="20"/>
      <c r="C75" s="20"/>
      <c r="D75" s="22">
        <v>165.71600000000001</v>
      </c>
      <c r="E75" s="22"/>
      <c r="F75" s="22">
        <v>84.542000000000002</v>
      </c>
      <c r="G75" s="22"/>
      <c r="H75" s="22">
        <v>81.379000000000005</v>
      </c>
      <c r="I75" s="22"/>
      <c r="J75" s="22">
        <v>-2.3650000000000002</v>
      </c>
      <c r="K75" s="22"/>
      <c r="L75" s="22">
        <v>20.373000000000001</v>
      </c>
      <c r="M75" s="22"/>
      <c r="N75" s="22">
        <v>14.025</v>
      </c>
    </row>
    <row r="76" spans="1:14" x14ac:dyDescent="0.4">
      <c r="A76" s="20" t="s">
        <v>42</v>
      </c>
      <c r="B76" s="20"/>
      <c r="C76" s="20"/>
      <c r="D76" s="22">
        <v>2732.2</v>
      </c>
      <c r="E76" s="22"/>
      <c r="F76" s="22">
        <v>2300.482</v>
      </c>
      <c r="G76" s="22"/>
      <c r="H76" s="22">
        <v>2107.2579999999998</v>
      </c>
      <c r="I76" s="22"/>
      <c r="J76" s="22">
        <v>1798.576</v>
      </c>
      <c r="K76" s="22"/>
      <c r="L76" s="22">
        <v>1549.9829999999999</v>
      </c>
      <c r="M76" s="22"/>
      <c r="N76" s="22">
        <v>1551.204</v>
      </c>
    </row>
    <row r="77" spans="1:14" x14ac:dyDescent="0.4">
      <c r="A77" s="20" t="s">
        <v>43</v>
      </c>
      <c r="B77" s="20"/>
      <c r="C77" s="20"/>
      <c r="D77" s="22">
        <v>0</v>
      </c>
      <c r="E77" s="22"/>
      <c r="F77" s="22">
        <v>0</v>
      </c>
      <c r="G77" s="22"/>
      <c r="H77" s="22">
        <v>0</v>
      </c>
      <c r="I77" s="22"/>
      <c r="J77" s="22">
        <v>0</v>
      </c>
      <c r="K77" s="22"/>
      <c r="L77" s="22">
        <v>0</v>
      </c>
      <c r="M77" s="22"/>
      <c r="N77" s="22">
        <v>0</v>
      </c>
    </row>
    <row r="78" spans="1:14" x14ac:dyDescent="0.4">
      <c r="A78" s="20" t="s">
        <v>44</v>
      </c>
      <c r="B78" s="20"/>
      <c r="C78" s="20"/>
      <c r="D78" s="22">
        <f>SUM(D68:D77)</f>
        <v>5572.8689999999997</v>
      </c>
      <c r="E78" s="22"/>
      <c r="F78" s="22">
        <f>SUM(F68:F77)</f>
        <v>4890.9380000000001</v>
      </c>
      <c r="G78" s="22"/>
      <c r="H78" s="22">
        <v>4440.6790000000001</v>
      </c>
      <c r="I78" s="22"/>
      <c r="J78" s="22">
        <v>3610.9789999999998</v>
      </c>
      <c r="K78" s="22"/>
      <c r="L78" s="22">
        <v>3233.846</v>
      </c>
      <c r="M78" s="22"/>
      <c r="N78" s="22">
        <v>3159.6370000000002</v>
      </c>
    </row>
    <row r="79" spans="1:14" x14ac:dyDescent="0.4">
      <c r="A79" s="20" t="s">
        <v>45</v>
      </c>
      <c r="B79" s="20"/>
      <c r="C79" s="20"/>
      <c r="D79" s="22">
        <v>40.433</v>
      </c>
      <c r="E79" s="22"/>
      <c r="F79" s="22">
        <v>163.512</v>
      </c>
      <c r="G79" s="22"/>
      <c r="H79" s="22">
        <v>33.06</v>
      </c>
      <c r="I79" s="22"/>
      <c r="J79" s="22">
        <v>25.346</v>
      </c>
      <c r="K79" s="22"/>
      <c r="L79" s="22">
        <v>50.100999999999999</v>
      </c>
      <c r="M79" s="22"/>
      <c r="N79" s="22">
        <v>19.475000000000001</v>
      </c>
    </row>
    <row r="80" spans="1:14" x14ac:dyDescent="0.4">
      <c r="A80" s="20" t="s">
        <v>46</v>
      </c>
      <c r="B80" s="20"/>
      <c r="C80" s="20"/>
      <c r="D80" s="22">
        <v>107</v>
      </c>
      <c r="E80" s="22"/>
      <c r="F80" s="22">
        <v>211</v>
      </c>
      <c r="G80" s="22"/>
      <c r="H80" s="22">
        <v>152</v>
      </c>
      <c r="I80" s="22"/>
      <c r="J80" s="22">
        <v>214.5</v>
      </c>
      <c r="K80" s="22"/>
      <c r="L80" s="22">
        <v>0</v>
      </c>
      <c r="M80" s="22"/>
      <c r="N80" s="22">
        <v>18</v>
      </c>
    </row>
    <row r="81" spans="1:14" x14ac:dyDescent="0.4">
      <c r="A81" s="20" t="s">
        <v>47</v>
      </c>
      <c r="B81" s="20"/>
      <c r="C81" s="20"/>
      <c r="D81" s="22">
        <v>0</v>
      </c>
      <c r="E81" s="22"/>
      <c r="F81" s="22">
        <v>0</v>
      </c>
      <c r="G81" s="22"/>
      <c r="H81" s="22">
        <v>0</v>
      </c>
      <c r="I81" s="22"/>
      <c r="J81" s="22">
        <v>0</v>
      </c>
      <c r="K81" s="22"/>
      <c r="L81" s="22">
        <v>0</v>
      </c>
      <c r="M81" s="22"/>
      <c r="N81" s="22">
        <v>0</v>
      </c>
    </row>
    <row r="82" spans="1:14" x14ac:dyDescent="0.4">
      <c r="A82" s="20" t="s">
        <v>48</v>
      </c>
      <c r="B82" s="20"/>
      <c r="C82" s="20"/>
      <c r="D82" s="22">
        <v>238.98500000000001</v>
      </c>
      <c r="E82" s="22"/>
      <c r="F82" s="22">
        <v>216.64699999999999</v>
      </c>
      <c r="G82" s="22"/>
      <c r="H82" s="22">
        <v>181.65199999999999</v>
      </c>
      <c r="I82" s="22"/>
      <c r="J82" s="22">
        <v>193.94200000000001</v>
      </c>
      <c r="K82" s="22"/>
      <c r="L82" s="22">
        <v>153.05500000000001</v>
      </c>
      <c r="M82" s="22"/>
      <c r="N82" s="22">
        <v>139.43</v>
      </c>
    </row>
    <row r="83" spans="1:14" x14ac:dyDescent="0.4">
      <c r="A83" s="20" t="s">
        <v>49</v>
      </c>
      <c r="B83" s="20"/>
      <c r="C83" s="20"/>
      <c r="D83" s="22">
        <v>332.02699999999999</v>
      </c>
      <c r="E83" s="22"/>
      <c r="F83" s="22">
        <v>303.23700000000002</v>
      </c>
      <c r="G83" s="22"/>
      <c r="H83" s="22">
        <v>249.21199999999999</v>
      </c>
      <c r="I83" s="22"/>
      <c r="J83" s="22">
        <v>250.95099999999999</v>
      </c>
      <c r="K83" s="22"/>
      <c r="L83" s="22">
        <v>289.13200000000001</v>
      </c>
      <c r="M83" s="22"/>
      <c r="N83" s="22">
        <v>270.11099999999999</v>
      </c>
    </row>
    <row r="84" spans="1:14" x14ac:dyDescent="0.4">
      <c r="A84" s="20" t="s">
        <v>50</v>
      </c>
      <c r="B84" s="20"/>
      <c r="C84" s="20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x14ac:dyDescent="0.4">
      <c r="A85" s="20" t="s">
        <v>51</v>
      </c>
      <c r="B85" s="20"/>
      <c r="C85" s="20"/>
      <c r="D85" s="22">
        <v>50.716999999999999</v>
      </c>
      <c r="E85" s="22"/>
      <c r="F85" s="22">
        <v>54.161999999999999</v>
      </c>
      <c r="G85" s="22"/>
      <c r="H85" s="22">
        <v>51.040999999999997</v>
      </c>
      <c r="I85" s="22"/>
      <c r="J85" s="22">
        <v>63.389000000000003</v>
      </c>
      <c r="K85" s="22"/>
      <c r="L85" s="22">
        <v>68.731999999999999</v>
      </c>
      <c r="M85" s="22"/>
      <c r="N85" s="22">
        <v>48.784999999999997</v>
      </c>
    </row>
    <row r="86" spans="1:14" x14ac:dyDescent="0.4">
      <c r="A86" s="20" t="s">
        <v>52</v>
      </c>
      <c r="B86" s="20"/>
      <c r="C86" s="20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 x14ac:dyDescent="0.4">
      <c r="A87" s="20" t="s">
        <v>53</v>
      </c>
      <c r="B87" s="20"/>
      <c r="C87" s="20"/>
      <c r="D87" s="22">
        <v>4.7240000000000002</v>
      </c>
      <c r="E87" s="22"/>
      <c r="F87" s="22">
        <v>4.1609999999999996</v>
      </c>
      <c r="G87" s="22"/>
      <c r="H87" s="22">
        <v>3.6269999999999998</v>
      </c>
      <c r="I87" s="22"/>
      <c r="J87" s="22">
        <v>2.2959999999999998</v>
      </c>
      <c r="K87" s="22"/>
      <c r="L87" s="22">
        <v>2.2890000000000001</v>
      </c>
      <c r="M87" s="22"/>
      <c r="N87" s="22">
        <v>3.008</v>
      </c>
    </row>
    <row r="88" spans="1:14" x14ac:dyDescent="0.4">
      <c r="A88" s="20" t="s">
        <v>69</v>
      </c>
      <c r="B88" s="20"/>
      <c r="C88" s="20"/>
      <c r="D88" s="22">
        <v>7.1139999999999999</v>
      </c>
      <c r="E88" s="22"/>
      <c r="F88" s="22">
        <v>6.8959999999999999</v>
      </c>
      <c r="G88" s="22"/>
      <c r="H88" s="22">
        <v>6.1109999999999998</v>
      </c>
      <c r="I88" s="22"/>
      <c r="J88" s="22">
        <v>10.888</v>
      </c>
      <c r="K88" s="22"/>
      <c r="L88" s="22">
        <v>5.4560000000000004</v>
      </c>
      <c r="M88" s="22"/>
      <c r="N88" s="22">
        <v>2.9140000000000001</v>
      </c>
    </row>
    <row r="89" spans="1:14" x14ac:dyDescent="0.4">
      <c r="A89" s="20" t="s">
        <v>54</v>
      </c>
      <c r="B89" s="20"/>
      <c r="C89" s="20"/>
      <c r="D89" s="22">
        <v>825.10500000000002</v>
      </c>
      <c r="E89" s="22"/>
      <c r="F89" s="22">
        <v>938.14800000000002</v>
      </c>
      <c r="G89" s="22"/>
      <c r="H89" s="22">
        <v>769.54100000000005</v>
      </c>
      <c r="I89" s="22"/>
      <c r="J89" s="22">
        <v>625.94500000000005</v>
      </c>
      <c r="K89" s="22"/>
      <c r="L89" s="22">
        <v>531.82000000000005</v>
      </c>
      <c r="M89" s="22"/>
      <c r="N89" s="22">
        <v>491.00799999999998</v>
      </c>
    </row>
    <row r="90" spans="1:14" x14ac:dyDescent="0.4">
      <c r="A90" s="20" t="s">
        <v>55</v>
      </c>
      <c r="B90" s="20"/>
      <c r="C90" s="20"/>
      <c r="D90" s="22">
        <v>125.504</v>
      </c>
      <c r="E90" s="22"/>
      <c r="F90" s="22">
        <v>116.127</v>
      </c>
      <c r="G90" s="22"/>
      <c r="H90" s="22">
        <v>100.24</v>
      </c>
      <c r="I90" s="22"/>
      <c r="J90" s="22">
        <v>92.13</v>
      </c>
      <c r="K90" s="22"/>
      <c r="L90" s="22">
        <v>83.316999999999993</v>
      </c>
      <c r="M90" s="22"/>
      <c r="N90" s="22">
        <v>74.248000000000005</v>
      </c>
    </row>
    <row r="91" spans="1:14" x14ac:dyDescent="0.4">
      <c r="A91" s="20" t="s">
        <v>56</v>
      </c>
      <c r="B91" s="20"/>
      <c r="C91" s="20"/>
      <c r="D91" s="22">
        <v>0</v>
      </c>
      <c r="E91" s="22"/>
      <c r="F91" s="22">
        <v>0</v>
      </c>
      <c r="G91" s="22"/>
      <c r="H91" s="22">
        <v>0</v>
      </c>
      <c r="I91" s="22"/>
      <c r="J91" s="22">
        <v>0</v>
      </c>
      <c r="K91" s="22"/>
      <c r="L91" s="22">
        <v>0</v>
      </c>
      <c r="M91" s="22"/>
      <c r="N91" s="22">
        <v>0</v>
      </c>
    </row>
    <row r="92" spans="1:14" x14ac:dyDescent="0.4">
      <c r="A92" s="20" t="s">
        <v>57</v>
      </c>
      <c r="B92" s="20"/>
      <c r="C92" s="20"/>
      <c r="D92" s="22">
        <v>105.182</v>
      </c>
      <c r="E92" s="22"/>
      <c r="F92" s="22">
        <v>102.258</v>
      </c>
      <c r="G92" s="22"/>
      <c r="H92" s="22">
        <v>86.561999999999998</v>
      </c>
      <c r="I92" s="22"/>
      <c r="J92" s="22">
        <v>71.942999999999998</v>
      </c>
      <c r="K92" s="22"/>
      <c r="L92" s="22">
        <v>67.44</v>
      </c>
      <c r="M92" s="22"/>
      <c r="N92" s="22">
        <v>66.623000000000005</v>
      </c>
    </row>
    <row r="93" spans="1:14" x14ac:dyDescent="0.4">
      <c r="A93" s="20" t="s">
        <v>58</v>
      </c>
      <c r="B93" s="20"/>
      <c r="C93" s="20"/>
      <c r="D93" s="22">
        <v>-10.951000000000001</v>
      </c>
      <c r="E93" s="22"/>
      <c r="F93" s="22">
        <v>2.7519999999999998</v>
      </c>
      <c r="G93" s="22"/>
      <c r="H93" s="22">
        <v>1.2210000000000001</v>
      </c>
      <c r="I93" s="22"/>
      <c r="J93" s="22">
        <v>5.673</v>
      </c>
      <c r="K93" s="22"/>
      <c r="L93" s="22">
        <v>-19.032</v>
      </c>
      <c r="M93" s="22"/>
      <c r="N93" s="22">
        <v>43.225000000000001</v>
      </c>
    </row>
    <row r="94" spans="1:14" x14ac:dyDescent="0.4">
      <c r="A94" s="20" t="s">
        <v>67</v>
      </c>
      <c r="B94" s="20"/>
      <c r="C94" s="20"/>
      <c r="D94" s="22">
        <v>1</v>
      </c>
      <c r="E94" s="22"/>
      <c r="F94" s="22">
        <v>1</v>
      </c>
      <c r="G94" s="22"/>
      <c r="H94" s="22">
        <v>1</v>
      </c>
      <c r="I94" s="22"/>
      <c r="J94" s="22">
        <v>1</v>
      </c>
      <c r="K94" s="22"/>
      <c r="L94" s="22">
        <v>1</v>
      </c>
      <c r="M94" s="22"/>
      <c r="N94" s="22">
        <v>1</v>
      </c>
    </row>
    <row r="95" spans="1:14" x14ac:dyDescent="0.4">
      <c r="A95" s="20" t="s">
        <v>68</v>
      </c>
      <c r="B95" s="20"/>
      <c r="C95" s="20"/>
      <c r="D95" s="22">
        <v>1</v>
      </c>
      <c r="E95" s="22"/>
      <c r="F95" s="22">
        <v>1</v>
      </c>
      <c r="G95" s="22"/>
      <c r="H95" s="22">
        <v>1</v>
      </c>
      <c r="I95" s="22"/>
      <c r="J95" s="22">
        <v>1</v>
      </c>
      <c r="K95" s="22"/>
      <c r="L95" s="22">
        <v>1</v>
      </c>
      <c r="M95" s="22"/>
      <c r="N95" s="22">
        <v>1</v>
      </c>
    </row>
    <row r="96" spans="1:14" x14ac:dyDescent="0.4">
      <c r="A96" s="20" t="s">
        <v>59</v>
      </c>
      <c r="B96" s="20"/>
      <c r="C96" s="20"/>
      <c r="D96" s="22">
        <v>128.905</v>
      </c>
      <c r="E96" s="22"/>
      <c r="F96" s="22">
        <v>119.149</v>
      </c>
      <c r="G96" s="22"/>
      <c r="H96" s="22">
        <v>104.69</v>
      </c>
      <c r="I96" s="22"/>
      <c r="J96" s="22">
        <v>95.350999999999999</v>
      </c>
      <c r="K96" s="22"/>
      <c r="L96" s="22">
        <v>86.230999999999995</v>
      </c>
      <c r="M96" s="22"/>
      <c r="N96" s="22">
        <v>77.191000000000003</v>
      </c>
    </row>
    <row r="97" spans="1:14" x14ac:dyDescent="0.4">
      <c r="A97" s="20" t="s">
        <v>60</v>
      </c>
      <c r="B97" s="20"/>
      <c r="C97" s="20"/>
      <c r="D97" s="39">
        <v>2.2799999999999998</v>
      </c>
      <c r="E97" s="22"/>
      <c r="F97" s="22">
        <v>2.1800000000000002</v>
      </c>
      <c r="G97" s="22"/>
      <c r="H97" s="22">
        <v>2.0550000000000002</v>
      </c>
      <c r="I97" s="22"/>
      <c r="J97" s="22">
        <v>1.9350000000000001</v>
      </c>
      <c r="K97" s="22"/>
      <c r="L97" s="22">
        <v>1.7549999999999999</v>
      </c>
      <c r="M97" s="22"/>
      <c r="N97" s="22">
        <v>1.58</v>
      </c>
    </row>
    <row r="98" spans="1:14" x14ac:dyDescent="0.4">
      <c r="A98" s="20" t="s">
        <v>61</v>
      </c>
      <c r="B98" s="20"/>
      <c r="C98" s="20"/>
      <c r="D98" s="39">
        <v>2.2799999999999998</v>
      </c>
      <c r="E98" s="22"/>
      <c r="F98" s="22">
        <v>2.1800000000000002</v>
      </c>
      <c r="G98" s="22"/>
      <c r="H98" s="22">
        <v>2.0550000000000002</v>
      </c>
      <c r="I98" s="22"/>
      <c r="J98" s="22">
        <v>1.9350000000000001</v>
      </c>
      <c r="K98" s="22"/>
      <c r="L98" s="22">
        <v>1.7549999999999999</v>
      </c>
      <c r="M98" s="22"/>
      <c r="N98" s="22">
        <v>1.58</v>
      </c>
    </row>
    <row r="99" spans="1:14" x14ac:dyDescent="0.4">
      <c r="A99" s="20" t="s">
        <v>62</v>
      </c>
      <c r="B99" s="20"/>
      <c r="C99" s="20"/>
      <c r="D99" s="22">
        <v>81.62</v>
      </c>
      <c r="E99" s="22"/>
      <c r="F99" s="22">
        <v>92.94</v>
      </c>
      <c r="G99" s="22"/>
      <c r="H99" s="22">
        <v>85.97</v>
      </c>
      <c r="I99" s="22"/>
      <c r="J99" s="22">
        <v>86.87</v>
      </c>
      <c r="K99" s="22"/>
      <c r="L99" s="22">
        <v>79.58</v>
      </c>
      <c r="M99" s="22"/>
      <c r="N99" s="22">
        <v>63.68</v>
      </c>
    </row>
    <row r="100" spans="1:14" x14ac:dyDescent="0.4">
      <c r="A100" s="20" t="s">
        <v>63</v>
      </c>
      <c r="B100" s="20"/>
      <c r="C100" s="20"/>
      <c r="D100" s="22">
        <v>45.68</v>
      </c>
      <c r="E100" s="22"/>
      <c r="F100" s="22">
        <v>73.27</v>
      </c>
      <c r="G100" s="22"/>
      <c r="H100" s="22">
        <v>62.534999999999997</v>
      </c>
      <c r="I100" s="22"/>
      <c r="J100" s="22">
        <v>72.319999999999993</v>
      </c>
      <c r="K100" s="22"/>
      <c r="L100" s="22">
        <v>53.51</v>
      </c>
      <c r="M100" s="22"/>
      <c r="N100" s="22">
        <v>50.53</v>
      </c>
    </row>
    <row r="101" spans="1:14" x14ac:dyDescent="0.4">
      <c r="A101" s="20" t="s">
        <v>64</v>
      </c>
      <c r="B101" s="20"/>
      <c r="C101" s="20"/>
      <c r="D101" s="22">
        <v>60.75</v>
      </c>
      <c r="E101" s="22"/>
      <c r="F101" s="22">
        <v>75.97</v>
      </c>
      <c r="G101" s="22"/>
      <c r="H101" s="22">
        <v>76.5</v>
      </c>
      <c r="I101" s="22"/>
      <c r="J101" s="22">
        <v>80.48</v>
      </c>
      <c r="K101" s="22"/>
      <c r="L101" s="22">
        <v>76.62</v>
      </c>
      <c r="M101" s="22"/>
      <c r="N101" s="22">
        <v>55.16</v>
      </c>
    </row>
    <row r="102" spans="1:14" x14ac:dyDescent="0.4">
      <c r="A102" s="20" t="s">
        <v>65</v>
      </c>
      <c r="B102" s="20"/>
      <c r="C102" s="20"/>
      <c r="D102" s="22">
        <v>57.192999999999998</v>
      </c>
      <c r="E102" s="22"/>
      <c r="F102" s="22">
        <v>55.007432999999999</v>
      </c>
      <c r="G102" s="22"/>
      <c r="H102" s="22">
        <v>53.026000000000003</v>
      </c>
      <c r="I102" s="22"/>
      <c r="J102" s="22">
        <v>48.09</v>
      </c>
      <c r="K102" s="22"/>
      <c r="L102" s="22">
        <v>47.481999999999999</v>
      </c>
      <c r="M102" s="22"/>
      <c r="N102" s="22">
        <v>47.377000000000002</v>
      </c>
    </row>
    <row r="103" spans="1:14" x14ac:dyDescent="0.4">
      <c r="A103" s="20" t="s">
        <v>77</v>
      </c>
      <c r="B103" s="20"/>
      <c r="C103" s="20"/>
      <c r="D103" s="22">
        <v>-61.003</v>
      </c>
      <c r="E103" s="22"/>
      <c r="F103" s="22">
        <v>-56.731999999999999</v>
      </c>
      <c r="G103" s="22"/>
      <c r="H103" s="22">
        <v>-52.667999999999999</v>
      </c>
      <c r="I103" s="22"/>
      <c r="J103" s="22">
        <v>-47.682000000000002</v>
      </c>
      <c r="K103" s="22"/>
      <c r="L103" s="22">
        <v>-48.008000000000003</v>
      </c>
      <c r="M103" s="22"/>
      <c r="N103" s="22">
        <v>-50.268000000000001</v>
      </c>
    </row>
    <row r="104" spans="1:14" x14ac:dyDescent="0.4">
      <c r="A104" t="s">
        <v>71</v>
      </c>
    </row>
    <row r="105" spans="1:14" x14ac:dyDescent="0.4">
      <c r="B105" t="s">
        <v>70</v>
      </c>
      <c r="D105" s="15">
        <f>D67/D94</f>
        <v>4.1500000000000004</v>
      </c>
      <c r="F105" s="15">
        <f>F67/F94</f>
        <v>3.94</v>
      </c>
      <c r="H105" s="15">
        <f>H67/H94</f>
        <v>3.69</v>
      </c>
      <c r="J105" s="15">
        <f>J67/J94</f>
        <v>4.04</v>
      </c>
      <c r="L105" s="15">
        <f>L67/L94</f>
        <v>3.2</v>
      </c>
      <c r="N105" s="15">
        <f>N67/N94</f>
        <v>2.94</v>
      </c>
    </row>
    <row r="106" spans="1:14" x14ac:dyDescent="0.4">
      <c r="B106" t="s">
        <v>60</v>
      </c>
      <c r="D106" s="15">
        <f>D97/D94</f>
        <v>2.2799999999999998</v>
      </c>
      <c r="F106" s="15">
        <f>F97/F94</f>
        <v>2.1800000000000002</v>
      </c>
      <c r="H106" s="15">
        <f>H97/H94</f>
        <v>2.0550000000000002</v>
      </c>
      <c r="J106" s="15">
        <f>J97/J94</f>
        <v>1.9350000000000001</v>
      </c>
      <c r="L106" s="15">
        <f>L97/L94</f>
        <v>1.7549999999999999</v>
      </c>
      <c r="N106" s="15">
        <f>N97/N94</f>
        <v>1.58</v>
      </c>
    </row>
    <row r="107" spans="1:14" x14ac:dyDescent="0.4">
      <c r="B107" t="s">
        <v>61</v>
      </c>
      <c r="D107" s="15">
        <f>D98/D94</f>
        <v>2.2799999999999998</v>
      </c>
      <c r="F107" s="15">
        <f>F98/F94</f>
        <v>2.1800000000000002</v>
      </c>
      <c r="H107" s="15">
        <f>H98/H94</f>
        <v>2.0550000000000002</v>
      </c>
      <c r="J107" s="15">
        <f>J98/J94</f>
        <v>1.9350000000000001</v>
      </c>
      <c r="L107" s="15">
        <f>L98/L94</f>
        <v>1.7549999999999999</v>
      </c>
      <c r="N107" s="15">
        <f>N98/N94</f>
        <v>1.58</v>
      </c>
    </row>
    <row r="108" spans="1:14" x14ac:dyDescent="0.4">
      <c r="B108" t="s">
        <v>62</v>
      </c>
      <c r="D108" s="15">
        <f>D99/D94</f>
        <v>81.62</v>
      </c>
      <c r="F108" s="15">
        <f>F99/F94</f>
        <v>92.94</v>
      </c>
      <c r="H108" s="15">
        <f>H99/H94</f>
        <v>85.97</v>
      </c>
      <c r="J108" s="15">
        <f>J99/J94</f>
        <v>86.87</v>
      </c>
      <c r="L108" s="15">
        <f>L99/L94</f>
        <v>79.58</v>
      </c>
      <c r="N108" s="15">
        <f>N99/N94</f>
        <v>63.68</v>
      </c>
    </row>
    <row r="109" spans="1:14" x14ac:dyDescent="0.4">
      <c r="B109" t="s">
        <v>63</v>
      </c>
      <c r="D109" s="15">
        <f>D100/D94</f>
        <v>45.68</v>
      </c>
      <c r="F109" s="15">
        <f>F100/F94</f>
        <v>73.27</v>
      </c>
      <c r="H109" s="15">
        <f>H100/H94</f>
        <v>62.534999999999997</v>
      </c>
      <c r="J109" s="15">
        <f>J100/J94</f>
        <v>72.319999999999993</v>
      </c>
      <c r="L109" s="15">
        <f>L100/L94</f>
        <v>53.51</v>
      </c>
      <c r="N109" s="15">
        <f>N100/N94</f>
        <v>50.53</v>
      </c>
    </row>
    <row r="110" spans="1:14" x14ac:dyDescent="0.4">
      <c r="B110" t="s">
        <v>64</v>
      </c>
      <c r="D110" s="15">
        <f>D101/D94</f>
        <v>60.75</v>
      </c>
      <c r="F110" s="15">
        <f>F101/F94</f>
        <v>75.97</v>
      </c>
      <c r="H110" s="15">
        <f>H101/H94</f>
        <v>76.5</v>
      </c>
      <c r="J110" s="15">
        <f>J101/J94</f>
        <v>80.48</v>
      </c>
      <c r="L110" s="15">
        <f>L101/L94</f>
        <v>76.62</v>
      </c>
      <c r="N110" s="15">
        <f>N101/N94</f>
        <v>55.16</v>
      </c>
    </row>
    <row r="111" spans="1:14" x14ac:dyDescent="0.4">
      <c r="B111" t="s">
        <v>65</v>
      </c>
      <c r="D111" s="16">
        <f>D102*D94</f>
        <v>57.192999999999998</v>
      </c>
      <c r="E111" s="16"/>
      <c r="F111" s="16">
        <f>F102*F94</f>
        <v>55.007432999999999</v>
      </c>
      <c r="G111" s="16"/>
      <c r="H111" s="16">
        <f>H102*H94</f>
        <v>53.026000000000003</v>
      </c>
      <c r="I111" s="16"/>
      <c r="J111" s="16">
        <f>J102*J94</f>
        <v>48.09</v>
      </c>
      <c r="K111" s="16"/>
      <c r="L111" s="16">
        <f>L102*L94</f>
        <v>47.481999999999999</v>
      </c>
      <c r="M111" s="16"/>
      <c r="N111" s="16">
        <f>N102*N94</f>
        <v>47.377000000000002</v>
      </c>
    </row>
    <row r="112" spans="1:14" x14ac:dyDescent="0.4">
      <c r="B112" t="s">
        <v>66</v>
      </c>
      <c r="D112" s="15">
        <f>ROUND(D68/D111,2)</f>
        <v>46.77</v>
      </c>
      <c r="F112" s="15">
        <f>ROUND(F68/F111,2)</f>
        <v>45.56</v>
      </c>
      <c r="H112" s="15">
        <f>ROUND(H68/H111,2)</f>
        <v>42.47</v>
      </c>
      <c r="J112" s="15">
        <f>ROUND(J68/J111,2)</f>
        <v>37.74</v>
      </c>
      <c r="L112" s="15">
        <f>ROUND(L68/L111,2)</f>
        <v>35.03</v>
      </c>
      <c r="N112" s="15">
        <f>ROUND(N68/N111,2)</f>
        <v>33.65</v>
      </c>
    </row>
  </sheetData>
  <mergeCells count="4">
    <mergeCell ref="A1:O1"/>
    <mergeCell ref="A2:O2"/>
    <mergeCell ref="A3:O3"/>
    <mergeCell ref="D6:L6"/>
  </mergeCells>
  <pageMargins left="1.25" right="0" top="1.5" bottom="1" header="0.5" footer="0.5"/>
  <pageSetup scale="62" orientation="portrait" r:id="rId1"/>
  <headerFooter alignWithMargins="0"/>
  <rowBreaks count="1" manualBreakCount="1">
    <brk id="5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6"/>
  <dimension ref="A1:O112"/>
  <sheetViews>
    <sheetView zoomScale="85" zoomScaleNormal="85" workbookViewId="0">
      <selection sqref="A1:O1"/>
    </sheetView>
  </sheetViews>
  <sheetFormatPr defaultRowHeight="15" x14ac:dyDescent="0.4"/>
  <cols>
    <col min="1" max="1" width="2.6640625" customWidth="1"/>
    <col min="2" max="2" width="24.71875" customWidth="1"/>
    <col min="4" max="4" width="10.21875" customWidth="1"/>
    <col min="5" max="5" width="3.71875" customWidth="1"/>
    <col min="6" max="6" width="10.21875" customWidth="1"/>
    <col min="7" max="7" width="3.71875" customWidth="1"/>
    <col min="8" max="8" width="10.21875" customWidth="1"/>
    <col min="9" max="9" width="3.71875" customWidth="1"/>
    <col min="10" max="10" width="10.21875" customWidth="1"/>
    <col min="11" max="11" width="3.71875" customWidth="1"/>
    <col min="12" max="12" width="10.21875" customWidth="1"/>
    <col min="13" max="13" width="3.71875" customWidth="1"/>
    <col min="14" max="14" width="8.71875" customWidth="1"/>
    <col min="15" max="15" width="2.71875" customWidth="1"/>
  </cols>
  <sheetData>
    <row r="1" spans="1:15" x14ac:dyDescent="0.4">
      <c r="A1" s="46" t="str">
        <f>A54</f>
        <v>SPIRE INC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x14ac:dyDescent="0.4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x14ac:dyDescent="0.4">
      <c r="A3" s="42" t="str">
        <f>'Page 1'!A3:N3</f>
        <v>2016-2020, Inclusive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5" spans="1:15" s="1" customFormat="1" x14ac:dyDescent="0.4">
      <c r="D5" s="2">
        <f>D55</f>
        <v>2020</v>
      </c>
      <c r="F5" s="2">
        <f>F55</f>
        <v>2019</v>
      </c>
      <c r="H5" s="2">
        <f>H55</f>
        <v>2018</v>
      </c>
      <c r="J5" s="2">
        <f>J55</f>
        <v>2017</v>
      </c>
      <c r="L5" s="2">
        <f>L55</f>
        <v>2016</v>
      </c>
    </row>
    <row r="6" spans="1:15" s="1" customFormat="1" x14ac:dyDescent="0.4">
      <c r="D6" s="45" t="s">
        <v>18</v>
      </c>
      <c r="E6" s="45"/>
      <c r="F6" s="45"/>
      <c r="G6" s="45"/>
      <c r="H6" s="45"/>
      <c r="I6" s="45"/>
      <c r="J6" s="45"/>
      <c r="K6" s="45"/>
      <c r="L6" s="45"/>
    </row>
    <row r="7" spans="1:15" x14ac:dyDescent="0.4">
      <c r="A7" t="s">
        <v>1</v>
      </c>
    </row>
    <row r="8" spans="1:15" x14ac:dyDescent="0.4">
      <c r="B8" t="s">
        <v>6</v>
      </c>
      <c r="D8" s="37">
        <f>D78+D79+D81-D103</f>
        <v>5050.9999999999991</v>
      </c>
      <c r="F8" s="37">
        <f>F78+F79+F81-F103</f>
        <v>4700.3</v>
      </c>
      <c r="H8" s="37">
        <f>H78+H79+H81-H103</f>
        <v>4332.5</v>
      </c>
      <c r="J8" s="37">
        <f>J78+J79+J81-J103</f>
        <v>4083.1000000000004</v>
      </c>
      <c r="L8" s="37">
        <f>L78+L79+L81-L103</f>
        <v>3856.1</v>
      </c>
    </row>
    <row r="9" spans="1:15" x14ac:dyDescent="0.4">
      <c r="B9" t="s">
        <v>5</v>
      </c>
      <c r="D9" s="11">
        <f>D80</f>
        <v>648</v>
      </c>
      <c r="F9" s="11">
        <f>F80</f>
        <v>743.2</v>
      </c>
      <c r="H9" s="11">
        <f>H80</f>
        <v>553.6</v>
      </c>
      <c r="J9" s="11">
        <f>J80</f>
        <v>477.3</v>
      </c>
      <c r="L9" s="11">
        <f>L80</f>
        <v>398.7</v>
      </c>
    </row>
    <row r="10" spans="1:15" ht="15.4" thickBot="1" x14ac:dyDescent="0.45">
      <c r="B10" t="s">
        <v>7</v>
      </c>
      <c r="D10" s="12">
        <f>D8+D9</f>
        <v>5698.9999999999991</v>
      </c>
      <c r="F10" s="12">
        <f>F8+F9</f>
        <v>5443.5</v>
      </c>
      <c r="H10" s="12">
        <f>H8+H9</f>
        <v>4886.1000000000004</v>
      </c>
      <c r="J10" s="12">
        <f>J8+J9</f>
        <v>4560.4000000000005</v>
      </c>
      <c r="L10" s="12">
        <f>L8+L9</f>
        <v>4254.8</v>
      </c>
    </row>
    <row r="11" spans="1:15" ht="15.4" thickTop="1" x14ac:dyDescent="0.4"/>
    <row r="12" spans="1:15" x14ac:dyDescent="0.4">
      <c r="A12" t="s">
        <v>8</v>
      </c>
      <c r="N12" s="2" t="s">
        <v>19</v>
      </c>
    </row>
    <row r="13" spans="1:15" x14ac:dyDescent="0.4">
      <c r="B13" s="24" t="s">
        <v>73</v>
      </c>
      <c r="D13" s="32">
        <f>ROUND(AVERAGE(D108:D109)/D105,0)</f>
        <v>48</v>
      </c>
      <c r="E13" s="7" t="s">
        <v>3</v>
      </c>
      <c r="F13" s="32">
        <f>ROUND(AVERAGE(F108:F109)/F105,0)</f>
        <v>23</v>
      </c>
      <c r="G13" s="7" t="s">
        <v>3</v>
      </c>
      <c r="H13" s="32">
        <f>ROUND(AVERAGE(H108:H109)/H105,0)</f>
        <v>16</v>
      </c>
      <c r="I13" s="7" t="s">
        <v>3</v>
      </c>
      <c r="J13" s="32">
        <f>ROUND(AVERAGE(J108:J109)/J105,0)</f>
        <v>21</v>
      </c>
      <c r="K13" s="7" t="s">
        <v>3</v>
      </c>
      <c r="L13" s="32">
        <f>ROUND(AVERAGE(L108:L109)/L105,0)</f>
        <v>20</v>
      </c>
      <c r="M13" s="7" t="s">
        <v>3</v>
      </c>
      <c r="N13" s="33">
        <f>AVERAGE(D13,F13,H13,J13,L13)</f>
        <v>25.6</v>
      </c>
      <c r="O13" s="7" t="s">
        <v>3</v>
      </c>
    </row>
    <row r="14" spans="1:15" x14ac:dyDescent="0.4">
      <c r="B14" t="s">
        <v>20</v>
      </c>
      <c r="D14" s="3">
        <f>ROUND(AVERAGE(D108:D109)/AVERAGE(D112,F112),3)</f>
        <v>1.5509999999999999</v>
      </c>
      <c r="E14" s="3"/>
      <c r="F14" s="3">
        <f>ROUND(AVERAGE(F108:F109)/AVERAGE(F112,H112),3)</f>
        <v>1.7809999999999999</v>
      </c>
      <c r="G14" s="3"/>
      <c r="H14" s="3">
        <f>ROUND(AVERAGE(H108:H109)/AVERAGE(H112,J112),3)</f>
        <v>1.6459999999999999</v>
      </c>
      <c r="I14" s="3"/>
      <c r="J14" s="3">
        <f>ROUND(AVERAGE(J108:J109)/AVERAGE(J112,L112),3)</f>
        <v>1.8149999999999999</v>
      </c>
      <c r="K14" s="3"/>
      <c r="L14" s="3">
        <f>ROUND(AVERAGE(L108:L109)/AVERAGE(L112,N112),3)</f>
        <v>1.71</v>
      </c>
      <c r="M14" s="3"/>
      <c r="N14" s="6">
        <f>AVERAGE(D14,F14,H14,J14,L14)</f>
        <v>1.7006000000000001</v>
      </c>
    </row>
    <row r="15" spans="1:15" x14ac:dyDescent="0.4">
      <c r="B15" t="s">
        <v>9</v>
      </c>
      <c r="D15" s="3">
        <f>ROUND(D106/AVERAGE(D108:D109),3)</f>
        <v>3.5999999999999997E-2</v>
      </c>
      <c r="E15" s="3"/>
      <c r="F15" s="3">
        <f>ROUND(F106/AVERAGE(F108:F109),3)</f>
        <v>0.03</v>
      </c>
      <c r="G15" s="3"/>
      <c r="H15" s="3">
        <f>ROUND(H106/AVERAGE(H108:H109),3)</f>
        <v>3.2000000000000001E-2</v>
      </c>
      <c r="I15" s="3"/>
      <c r="J15" s="3">
        <f>ROUND(J106/AVERAGE(J108:J109),3)</f>
        <v>2.9000000000000001E-2</v>
      </c>
      <c r="K15" s="3"/>
      <c r="L15" s="3">
        <f>ROUND(L106/AVERAGE(L108:L109),3)</f>
        <v>3.1E-2</v>
      </c>
      <c r="M15" s="3"/>
      <c r="N15" s="6">
        <f>AVERAGE(D15,F15,H15,J15,L15)</f>
        <v>3.1600000000000003E-2</v>
      </c>
    </row>
    <row r="16" spans="1:15" x14ac:dyDescent="0.4">
      <c r="B16" t="s">
        <v>10</v>
      </c>
      <c r="D16" s="3">
        <f>ROUND(D96/D66,3)</f>
        <v>1.742</v>
      </c>
      <c r="E16" s="3"/>
      <c r="F16" s="3">
        <f>ROUND(F96/F66,3)</f>
        <v>0.67400000000000004</v>
      </c>
      <c r="G16" s="3"/>
      <c r="H16" s="3">
        <f>ROUND(H96/H66,3)</f>
        <v>0.52500000000000002</v>
      </c>
      <c r="I16" s="3"/>
      <c r="J16" s="3">
        <f>ROUND(J96/J66,3)</f>
        <v>0.61499999999999999</v>
      </c>
      <c r="K16" s="3"/>
      <c r="L16" s="3">
        <f>ROUND(L96/L66,3)</f>
        <v>0.60899999999999999</v>
      </c>
      <c r="M16" s="3"/>
      <c r="N16" s="6">
        <f>AVERAGE(D16,F16,H16,J16,L16)</f>
        <v>0.83299999999999996</v>
      </c>
    </row>
    <row r="18" spans="1:14" x14ac:dyDescent="0.4">
      <c r="A18" t="s">
        <v>2</v>
      </c>
    </row>
    <row r="19" spans="1:14" x14ac:dyDescent="0.4">
      <c r="B19" t="s">
        <v>11</v>
      </c>
    </row>
    <row r="20" spans="1:14" x14ac:dyDescent="0.4">
      <c r="B20" s="34" t="s">
        <v>78</v>
      </c>
      <c r="D20" s="3">
        <f>ROUND((+D76+D79)/D8,3)</f>
        <v>0.49199999999999999</v>
      </c>
      <c r="E20" s="3"/>
      <c r="F20" s="3">
        <f>ROUND((+F76+F79)/F8,3)</f>
        <v>0.45200000000000001</v>
      </c>
      <c r="G20" s="3"/>
      <c r="H20" s="3">
        <f>ROUND((+H76+H79)/H8,3)</f>
        <v>0.47899999999999998</v>
      </c>
      <c r="I20" s="3"/>
      <c r="J20" s="3">
        <f>ROUND((+J76+J79)/J8,3)</f>
        <v>0.51300000000000001</v>
      </c>
      <c r="K20" s="3"/>
      <c r="L20" s="3">
        <f>ROUND((+L76+L79)/L8,3)</f>
        <v>0.54</v>
      </c>
      <c r="M20" s="3"/>
      <c r="N20" s="6">
        <f>AVERAGE(D20,F20,H20,J20,L20)</f>
        <v>0.49519999999999997</v>
      </c>
    </row>
    <row r="21" spans="1:14" x14ac:dyDescent="0.4">
      <c r="B21" s="34" t="s">
        <v>79</v>
      </c>
      <c r="D21" s="3">
        <f>ROUND((SUM(D69:D75)+D81)/D8,3)</f>
        <v>4.9000000000000002E-2</v>
      </c>
      <c r="E21" s="3"/>
      <c r="F21" s="3">
        <f>ROUND((SUM(F69:F75)+F81)/F8,3)</f>
        <v>5.1999999999999998E-2</v>
      </c>
      <c r="G21" s="3"/>
      <c r="H21" s="3">
        <f>ROUND((SUM(H69:H75)+H81)/H8,3)</f>
        <v>2E-3</v>
      </c>
      <c r="I21" s="3"/>
      <c r="J21" s="3">
        <f>ROUND((SUM(J69:J75)+J81)/J8,3)</f>
        <v>0</v>
      </c>
      <c r="K21" s="3"/>
      <c r="L21" s="3">
        <f>ROUND((SUM(L69:L75)+L81)/L8,3)</f>
        <v>0</v>
      </c>
      <c r="M21" s="3"/>
      <c r="N21" s="6">
        <f>AVERAGE(D21,F21,H21,J21,L21)</f>
        <v>2.06E-2</v>
      </c>
    </row>
    <row r="22" spans="1:14" ht="17.25" x14ac:dyDescent="0.4">
      <c r="B22" s="35" t="s">
        <v>80</v>
      </c>
      <c r="D22" s="4">
        <f>ROUND((D68-D103)/D8,3)</f>
        <v>0.46</v>
      </c>
      <c r="E22" s="3"/>
      <c r="F22" s="4">
        <f>ROUND((F68-F103)/F8,3)</f>
        <v>0.496</v>
      </c>
      <c r="G22" s="3"/>
      <c r="H22" s="4">
        <f>ROUND((H68-H103)/H8,3)</f>
        <v>0.51900000000000002</v>
      </c>
      <c r="I22" s="3"/>
      <c r="J22" s="4">
        <f>ROUND((J68-J103)/J8,3)</f>
        <v>0.48699999999999999</v>
      </c>
      <c r="K22" s="3"/>
      <c r="L22" s="4">
        <f>ROUND((L68-L103)/L8,3)</f>
        <v>0.46</v>
      </c>
      <c r="M22" s="3"/>
      <c r="N22" s="8">
        <f>AVERAGE(D22,F22,H22,J22,L22)</f>
        <v>0.48440000000000005</v>
      </c>
    </row>
    <row r="23" spans="1:14" ht="15.4" thickBot="1" x14ac:dyDescent="0.45">
      <c r="D23" s="5">
        <f>SUM(D20:D22)</f>
        <v>1.0010000000000001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9">
        <f>AVERAGE(D23,F23,H23,J23,L23)</f>
        <v>1.0002</v>
      </c>
    </row>
    <row r="24" spans="1:14" ht="15.4" thickTop="1" x14ac:dyDescent="0.4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4">
      <c r="B25" s="34" t="s">
        <v>81</v>
      </c>
      <c r="D25" s="3">
        <f>ROUND((+D76+D79+D80)/D10,3)</f>
        <v>0.55000000000000004</v>
      </c>
      <c r="E25" s="3"/>
      <c r="F25" s="3">
        <f>ROUND((+F76+F79+F80)/F10,3)</f>
        <v>0.52600000000000002</v>
      </c>
      <c r="G25" s="3"/>
      <c r="H25" s="3">
        <f>ROUND((+H76+H79+H80)/H10,3)</f>
        <v>0.53800000000000003</v>
      </c>
      <c r="I25" s="3"/>
      <c r="J25" s="3">
        <f>ROUND((+J76+J79+J80)/J10,3)</f>
        <v>0.56399999999999995</v>
      </c>
      <c r="K25" s="3"/>
      <c r="L25" s="3">
        <f>ROUND((+L76+L79+L80)/L10,3)</f>
        <v>0.58299999999999996</v>
      </c>
      <c r="M25" s="3"/>
      <c r="N25" s="6">
        <f>AVERAGE(D25,F25,H25,J25,L25)</f>
        <v>0.55220000000000002</v>
      </c>
    </row>
    <row r="26" spans="1:14" x14ac:dyDescent="0.4">
      <c r="B26" s="34" t="s">
        <v>79</v>
      </c>
      <c r="D26" s="3">
        <f>ROUND((SUM(D69:D75)+D81)/D10,3)</f>
        <v>4.2999999999999997E-2</v>
      </c>
      <c r="E26" s="3"/>
      <c r="F26" s="3">
        <f>ROUND((SUM(F69:F75)+F81)/F10,3)</f>
        <v>4.4999999999999998E-2</v>
      </c>
      <c r="G26" s="3"/>
      <c r="H26" s="3">
        <f>ROUND((SUM(H69:H75)+H81)/H10,3)</f>
        <v>2E-3</v>
      </c>
      <c r="I26" s="3"/>
      <c r="J26" s="3">
        <f>ROUND((SUM(J69:J75)+J81)/J10,3)</f>
        <v>0</v>
      </c>
      <c r="K26" s="3"/>
      <c r="L26" s="3">
        <f>ROUND((SUM(L69:L75)+L81)/L10,3)</f>
        <v>0</v>
      </c>
      <c r="M26" s="3"/>
      <c r="N26" s="6">
        <f>AVERAGE(D26,F26,H26,J26,L26)</f>
        <v>1.7999999999999999E-2</v>
      </c>
    </row>
    <row r="27" spans="1:14" ht="17.25" x14ac:dyDescent="0.4">
      <c r="B27" s="35" t="s">
        <v>80</v>
      </c>
      <c r="D27" s="4">
        <f>ROUND((D68-D103)/D10,3)</f>
        <v>0.40699999999999997</v>
      </c>
      <c r="E27" s="3"/>
      <c r="F27" s="4">
        <f>ROUND((F68-F103)/F10,3)</f>
        <v>0.42799999999999999</v>
      </c>
      <c r="G27" s="3"/>
      <c r="H27" s="4">
        <f>ROUND((H68-H103)/H10,3)</f>
        <v>0.46</v>
      </c>
      <c r="I27" s="3"/>
      <c r="J27" s="4">
        <f>ROUND((J68-J103)/J10,3)</f>
        <v>0.436</v>
      </c>
      <c r="K27" s="3"/>
      <c r="L27" s="4">
        <f>ROUND((L68-L103)/L10,3)</f>
        <v>0.41699999999999998</v>
      </c>
      <c r="M27" s="3"/>
      <c r="N27" s="8">
        <f>AVERAGE(D27,F27,H27,J27,L27)</f>
        <v>0.42959999999999993</v>
      </c>
    </row>
    <row r="28" spans="1:14" ht="15.4" thickBot="1" x14ac:dyDescent="0.45">
      <c r="D28" s="5">
        <f>SUM(D25:D27)</f>
        <v>1</v>
      </c>
      <c r="E28" s="3"/>
      <c r="F28" s="5">
        <f>SUM(F25:F27)</f>
        <v>0.99900000000000011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9">
        <f>AVERAGE(D28,F28,H28,J28,L28)</f>
        <v>0.99980000000000013</v>
      </c>
    </row>
    <row r="29" spans="1:14" ht="15.4" thickTop="1" x14ac:dyDescent="0.4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7.25" x14ac:dyDescent="0.4">
      <c r="A30" s="36" t="s">
        <v>82</v>
      </c>
      <c r="D30" s="3">
        <f>ROUND(+D66/(((D68-D103)+(F68-F103))/2),3)</f>
        <v>3.2000000000000001E-2</v>
      </c>
      <c r="E30" s="3"/>
      <c r="F30" s="3">
        <f>ROUND(+F66/(((F68-F103)+(H68-H103))/2),3)</f>
        <v>7.8E-2</v>
      </c>
      <c r="G30" s="3"/>
      <c r="H30" s="3">
        <f>ROUND(+H66/(((H68-H103)+(J68-J103))/2),3)</f>
        <v>0.10100000000000001</v>
      </c>
      <c r="I30" s="3"/>
      <c r="J30" s="3">
        <f>ROUND(+J66/(((J68-J103)+(L68-L103))/2),3)</f>
        <v>8.5999999999999993E-2</v>
      </c>
      <c r="K30" s="3"/>
      <c r="L30" s="3">
        <f>ROUND(+L66/(((L68-L103)+(N68-N103))/2),3)</f>
        <v>8.5999999999999993E-2</v>
      </c>
      <c r="M30" s="3"/>
      <c r="N30" s="6">
        <f>AVERAGE(D30,F30,H30,J30,L30)</f>
        <v>7.6600000000000001E-2</v>
      </c>
    </row>
    <row r="31" spans="1:14" x14ac:dyDescent="0.4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 x14ac:dyDescent="0.4">
      <c r="A32" s="36" t="s">
        <v>83</v>
      </c>
      <c r="D32" s="3">
        <f>ROUND((+D58-D57)/D56,3)</f>
        <v>0.88900000000000001</v>
      </c>
      <c r="E32" s="3"/>
      <c r="F32" s="3">
        <f>ROUND((+F58-F57)/F56,3)</f>
        <v>0.84499999999999997</v>
      </c>
      <c r="G32" s="3"/>
      <c r="H32" s="3">
        <f>ROUND((+H58-H57)/H56,3)</f>
        <v>0.85099999999999998</v>
      </c>
      <c r="I32" s="3"/>
      <c r="J32" s="3">
        <f>ROUND((+J58-J57)/J56,3)</f>
        <v>0.81299999999999994</v>
      </c>
      <c r="K32" s="3"/>
      <c r="L32" s="3">
        <f>ROUND((+L58-L57)/L56,3)</f>
        <v>0.81</v>
      </c>
      <c r="M32" s="3"/>
      <c r="N32" s="6">
        <f>AVERAGE(D32,F32,H32,J32,L32)</f>
        <v>0.84160000000000001</v>
      </c>
    </row>
    <row r="34" spans="1:15" ht="17.25" x14ac:dyDescent="0.4">
      <c r="A34" s="36" t="s">
        <v>84</v>
      </c>
    </row>
    <row r="35" spans="1:15" x14ac:dyDescent="0.4">
      <c r="B35" t="s">
        <v>13</v>
      </c>
      <c r="D35" s="7">
        <f>ROUND(((+D66+D65+D64+D63+D61+D59+D57)/D61),2)</f>
        <v>1.96</v>
      </c>
      <c r="E35" s="7" t="s">
        <v>3</v>
      </c>
      <c r="F35" s="7">
        <f>ROUND(((+F66+F65+F64+F63+F61+F59+F57)/F61),2)</f>
        <v>3.09</v>
      </c>
      <c r="G35" s="7" t="s">
        <v>3</v>
      </c>
      <c r="H35" s="7">
        <f>ROUND(((+H66+H65+H64+H63+H61+H59+H57)/H61),2)</f>
        <v>2.9</v>
      </c>
      <c r="I35" s="7" t="s">
        <v>3</v>
      </c>
      <c r="J35" s="7">
        <f>ROUND(((+J66+J65+J64+J63+J61+J59+J57)/J61),2)</f>
        <v>3.68</v>
      </c>
      <c r="K35" s="7" t="s">
        <v>3</v>
      </c>
      <c r="L35" s="7">
        <f>ROUND(((+L66+L65+L64+L63+L61+L59+L57)/L61),2)</f>
        <v>3.76</v>
      </c>
      <c r="M35" s="7" t="s">
        <v>3</v>
      </c>
      <c r="N35" s="27">
        <f>AVERAGE(D35,F35,H35,J35,L35)</f>
        <v>3.0779999999999998</v>
      </c>
      <c r="O35" t="s">
        <v>3</v>
      </c>
    </row>
    <row r="36" spans="1:15" x14ac:dyDescent="0.4">
      <c r="B36" t="s">
        <v>21</v>
      </c>
      <c r="D36" s="7">
        <f>ROUND(((+D66+D65+D64+D63+D61)/(D61)),2)</f>
        <v>1.84</v>
      </c>
      <c r="E36" s="7" t="s">
        <v>3</v>
      </c>
      <c r="F36" s="7">
        <f>ROUND(((+F66+F65+F64+F63+F61)/(F61)),2)</f>
        <v>2.76</v>
      </c>
      <c r="G36" s="7" t="s">
        <v>3</v>
      </c>
      <c r="H36" s="7">
        <f>ROUND(((+H66+H65+H64+H63+H61)/(H61)),2)</f>
        <v>3.17</v>
      </c>
      <c r="I36" s="7" t="s">
        <v>3</v>
      </c>
      <c r="J36" s="7">
        <f>ROUND(((+J66+J65+J64+J63+J61)/(J61)),2)</f>
        <v>2.81</v>
      </c>
      <c r="K36" s="7" t="s">
        <v>3</v>
      </c>
      <c r="L36" s="7">
        <f>ROUND(((+L66+L65+L64+L63+L61)/(L61)),2)</f>
        <v>2.86</v>
      </c>
      <c r="M36" s="7" t="s">
        <v>3</v>
      </c>
      <c r="N36" s="27">
        <f>AVERAGE(D36,F36,H36,J36,L36)</f>
        <v>2.6879999999999997</v>
      </c>
      <c r="O36" t="s">
        <v>3</v>
      </c>
    </row>
    <row r="37" spans="1:15" x14ac:dyDescent="0.4">
      <c r="B37" t="s">
        <v>14</v>
      </c>
      <c r="D37" s="7">
        <f>ROUND(((+D66+D65+D64+D63+D61)/(D61+D63+D64+D65)),2)</f>
        <v>1.61</v>
      </c>
      <c r="E37" s="7" t="s">
        <v>3</v>
      </c>
      <c r="F37" s="7">
        <f>ROUND(((+F66+F65+F64+F63+F61)/(F61+F63+F64+F65)),2)</f>
        <v>2.63</v>
      </c>
      <c r="G37" s="7" t="s">
        <v>3</v>
      </c>
      <c r="H37" s="7">
        <f>ROUND(((+H66+H65+H64+H63+H61)/(H61+H63+H64+H65)),2)</f>
        <v>3.17</v>
      </c>
      <c r="I37" s="7" t="s">
        <v>3</v>
      </c>
      <c r="J37" s="7">
        <f>ROUND(((+J66+J65+J64+J63+J61)/(J61+J63+J64+J65)),2)</f>
        <v>2.81</v>
      </c>
      <c r="K37" s="7" t="s">
        <v>3</v>
      </c>
      <c r="L37" s="7">
        <f>ROUND(((+L66+L65+L64+L63+L61)/(L61+L63+L64+L65)),2)</f>
        <v>2.86</v>
      </c>
      <c r="M37" s="7" t="s">
        <v>3</v>
      </c>
      <c r="N37" s="27">
        <f>AVERAGE(D37,F37,H37,J37,L37)</f>
        <v>2.6160000000000001</v>
      </c>
      <c r="O37" t="s">
        <v>3</v>
      </c>
    </row>
    <row r="38" spans="1:1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7.25" x14ac:dyDescent="0.4">
      <c r="A39" s="36" t="s">
        <v>85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x14ac:dyDescent="0.4">
      <c r="B40" t="s">
        <v>13</v>
      </c>
      <c r="D40" s="7">
        <f>ROUND(((+D66+D65+D64+D63-D62+D61+D59+D57)/D61),2)</f>
        <v>1.96</v>
      </c>
      <c r="E40" s="7" t="s">
        <v>3</v>
      </c>
      <c r="F40" s="7">
        <f>ROUND(((+F66+F65+F64+F63-F62+F61+F59+F57)/F61),2)</f>
        <v>3.09</v>
      </c>
      <c r="G40" s="7" t="s">
        <v>3</v>
      </c>
      <c r="H40" s="7">
        <f>ROUND(((+H66+H65+H64+H63-H62+H61+H59+H57)/H61),2)</f>
        <v>2.9</v>
      </c>
      <c r="I40" s="7" t="s">
        <v>3</v>
      </c>
      <c r="J40" s="7">
        <f>ROUND(((+J66+J65+J64+J63-J62+J61+J59+J57)/J61),2)</f>
        <v>3.68</v>
      </c>
      <c r="K40" s="7" t="s">
        <v>3</v>
      </c>
      <c r="L40" s="7">
        <f>ROUND(((+L66+L65+L64+L63-L62+L61+L59+L57)/L61),2)</f>
        <v>3.76</v>
      </c>
      <c r="M40" s="7" t="s">
        <v>3</v>
      </c>
      <c r="N40" s="27">
        <f>AVERAGE(D40,F40,H40,J40,L40)</f>
        <v>3.0779999999999998</v>
      </c>
      <c r="O40" t="s">
        <v>3</v>
      </c>
    </row>
    <row r="41" spans="1:15" x14ac:dyDescent="0.4">
      <c r="B41" t="s">
        <v>21</v>
      </c>
      <c r="D41" s="7">
        <f>ROUND(((+D66+D65+D64+D63-D62+D61)/D61),2)</f>
        <v>1.84</v>
      </c>
      <c r="E41" s="7" t="s">
        <v>3</v>
      </c>
      <c r="F41" s="7">
        <f>ROUND(((+F66+F65+F64+F63-F62+F61)/F61),2)</f>
        <v>2.76</v>
      </c>
      <c r="G41" s="7" t="s">
        <v>3</v>
      </c>
      <c r="H41" s="7">
        <f>ROUND(((+H66+H65+H64+H63-H62+H61)/H61),2)</f>
        <v>3.17</v>
      </c>
      <c r="I41" s="7" t="s">
        <v>3</v>
      </c>
      <c r="J41" s="7">
        <f>ROUND(((+J66+J65+J64+J63-J62+J61)/J61),2)</f>
        <v>2.81</v>
      </c>
      <c r="K41" s="7" t="s">
        <v>3</v>
      </c>
      <c r="L41" s="7">
        <f>ROUND(((+L66+L65+L64+L63-L62+L61)/L61),2)</f>
        <v>2.86</v>
      </c>
      <c r="M41" s="7" t="s">
        <v>3</v>
      </c>
      <c r="N41" s="27">
        <f>AVERAGE(D41,F41,H41,J41,L41)</f>
        <v>2.6879999999999997</v>
      </c>
      <c r="O41" t="s">
        <v>3</v>
      </c>
    </row>
    <row r="42" spans="1:15" x14ac:dyDescent="0.4">
      <c r="B42" t="s">
        <v>14</v>
      </c>
      <c r="D42" s="7">
        <f>ROUND(((+D66+D65+D64+D63-D62+D61)/(D61+D63+D64+D65)),2)</f>
        <v>1.61</v>
      </c>
      <c r="E42" s="7" t="s">
        <v>3</v>
      </c>
      <c r="F42" s="7">
        <f>ROUND(((+F66+F65+F64+F63-F62+F61)/(F61+F63+F64+F65)),2)</f>
        <v>2.63</v>
      </c>
      <c r="G42" s="7" t="s">
        <v>3</v>
      </c>
      <c r="H42" s="7">
        <f>ROUND(((+H66+H65+H64+H63-H62+H61)/(H61+H63+H64+H65)),2)</f>
        <v>3.17</v>
      </c>
      <c r="I42" s="7" t="s">
        <v>3</v>
      </c>
      <c r="J42" s="7">
        <f>ROUND(((+J66+J65+J64+J63-J62+J61)/(J61+J63+J64+J65)),2)</f>
        <v>2.81</v>
      </c>
      <c r="K42" s="7" t="s">
        <v>3</v>
      </c>
      <c r="L42" s="7">
        <f>ROUND(((+L66+L65+L64+L63-L62+L61)/(L61+L63+L64+L65)),2)</f>
        <v>2.86</v>
      </c>
      <c r="M42" s="7" t="s">
        <v>3</v>
      </c>
      <c r="N42" s="27">
        <f>AVERAGE(D42,F42,H42,J42,L42)</f>
        <v>2.6160000000000001</v>
      </c>
      <c r="O42" t="s">
        <v>3</v>
      </c>
    </row>
    <row r="44" spans="1:15" x14ac:dyDescent="0.4">
      <c r="A44" t="s">
        <v>15</v>
      </c>
    </row>
    <row r="45" spans="1:15" x14ac:dyDescent="0.4">
      <c r="B45" t="s">
        <v>16</v>
      </c>
      <c r="D45" s="13">
        <f>ROUND(D62/D66,3)</f>
        <v>0</v>
      </c>
      <c r="E45" s="13"/>
      <c r="F45" s="13">
        <f>ROUND(F62/F66,3)</f>
        <v>0</v>
      </c>
      <c r="G45" s="13"/>
      <c r="H45" s="13">
        <f>ROUND(H62/H66,3)</f>
        <v>0</v>
      </c>
      <c r="I45" s="13"/>
      <c r="J45" s="13">
        <f>ROUND(J62/J66,3)</f>
        <v>0</v>
      </c>
      <c r="K45" s="13"/>
      <c r="L45" s="13">
        <f>ROUND(L62/L66,3)</f>
        <v>0</v>
      </c>
      <c r="M45" s="3"/>
      <c r="N45" s="6">
        <f t="shared" ref="N45:N50" si="0">AVERAGE(D45,F45,H45,J45,L45)</f>
        <v>0</v>
      </c>
    </row>
    <row r="46" spans="1:15" x14ac:dyDescent="0.4">
      <c r="B46" t="s">
        <v>17</v>
      </c>
      <c r="D46" s="17">
        <f>ROUND((D57+D59)/(D57+D59+D66+D63+D64+D65),3)</f>
        <v>0.123</v>
      </c>
      <c r="E46" s="18"/>
      <c r="F46" s="17">
        <f>ROUND((F57+F59)/(F57+F59+F66+F63+F64+F65),3)</f>
        <v>0.158</v>
      </c>
      <c r="G46" s="18"/>
      <c r="H46" s="17">
        <f>ROUND((H57+H59)/(H57+H59+H66+H63+H64+H65),3)</f>
        <v>-0.14199999999999999</v>
      </c>
      <c r="I46" s="18"/>
      <c r="J46" s="17">
        <f>ROUND((J57+J59)/(J57+J59+J66+J63+J64+J65),3)</f>
        <v>0.32500000000000001</v>
      </c>
      <c r="K46" s="18"/>
      <c r="L46" s="17">
        <f>ROUND((L57+L59)/(L57+L59+L66+L63+L64+L65),3)</f>
        <v>0.32600000000000001</v>
      </c>
      <c r="N46" s="6">
        <f t="shared" si="0"/>
        <v>0.158</v>
      </c>
    </row>
    <row r="47" spans="1:15" ht="17.25" x14ac:dyDescent="0.4">
      <c r="B47" s="36" t="s">
        <v>86</v>
      </c>
      <c r="D47" s="13">
        <f>ROUND(((+D82+D83+D84+D85+D86-D87+D88-D90-D91)/(+D89-D87)),3)</f>
        <v>0.48399999999999999</v>
      </c>
      <c r="E47" s="14"/>
      <c r="F47" s="13">
        <f>ROUND(((+F82+F83+F84+F85+F86-F87+F88-F90-F91)/(+F89-F87)),3)</f>
        <v>0.33</v>
      </c>
      <c r="G47" s="14"/>
      <c r="H47" s="13">
        <f>ROUND(((+H82+H83+H84+H85+H86-H87+H88-H90-H91)/(+H89-H87)),3)</f>
        <v>0.57899999999999996</v>
      </c>
      <c r="I47" s="14"/>
      <c r="J47" s="13">
        <f>ROUND(((+J82+J83+J84+J85+J86-J87+J88-J90-J91)/(+J89-J87)),3)</f>
        <v>0.68600000000000005</v>
      </c>
      <c r="K47" s="14"/>
      <c r="L47" s="13">
        <f>ROUND(((+L82+L83+L84+L85+L86-L87+L88-L90-L91)/(+L89-L87)),3)</f>
        <v>0.92100000000000004</v>
      </c>
      <c r="N47" s="6">
        <f t="shared" si="0"/>
        <v>0.6</v>
      </c>
    </row>
    <row r="48" spans="1:15" ht="17.25" x14ac:dyDescent="0.4">
      <c r="B48" s="36" t="s">
        <v>87</v>
      </c>
      <c r="D48" s="13">
        <f>ROUND(((+D82+D83+D84+D85+D86-D87+D88)/(AVERAGE(D76,F76)+AVERAGE(D79,F79)+AVERAGE(D80,F80))),3)</f>
        <v>0.151</v>
      </c>
      <c r="E48" s="14"/>
      <c r="F48" s="13">
        <f>ROUND(((+F82+F83+F84+F85+F86-F87+F88)/(AVERAGE(F76,H76)+AVERAGE(F79,H79)+AVERAGE(F80,H80))),3)</f>
        <v>0.14299999999999999</v>
      </c>
      <c r="G48" s="14"/>
      <c r="H48" s="13">
        <f>ROUND(((+H82+H83+H84+H85+H86-H87+H88)/(AVERAGE(H76,J76)+AVERAGE(H79,J79)+AVERAGE(H80,J80))),3)</f>
        <v>0.153</v>
      </c>
      <c r="I48" s="14"/>
      <c r="J48" s="13">
        <f>ROUND(((+J82+J83+J84+J85+J86-J87+J88)/(AVERAGE(J76,L76)+AVERAGE(J79,L79)+AVERAGE(J80,L80))),3)</f>
        <v>0.157</v>
      </c>
      <c r="K48" s="14"/>
      <c r="L48" s="13">
        <f>ROUND(((+L82+L83+L84+L85+L86-L87+L88)/(AVERAGE(L76,N76)+AVERAGE(L79,N79)+AVERAGE(L80,N80))),3)</f>
        <v>0.152</v>
      </c>
      <c r="N48" s="6">
        <f t="shared" si="0"/>
        <v>0.1512</v>
      </c>
    </row>
    <row r="49" spans="1:15" ht="17.25" x14ac:dyDescent="0.4">
      <c r="B49" s="36" t="s">
        <v>88</v>
      </c>
      <c r="D49" s="28">
        <f>ROUND(((+D82+D83+D84+D85+D86-D87+D88+D92)/D61),2)</f>
        <v>5.23</v>
      </c>
      <c r="E49" t="s">
        <v>3</v>
      </c>
      <c r="F49" s="28">
        <f>ROUND(((+F82+F83+F84+F85+F86-F87+F88+F92)/F61),2)</f>
        <v>4.76</v>
      </c>
      <c r="G49" t="s">
        <v>3</v>
      </c>
      <c r="H49" s="28">
        <f>ROUND(((+H82+H83+H84+H85+H86-H87+H88+H92)/H61),2)</f>
        <v>5.01</v>
      </c>
      <c r="I49" t="s">
        <v>3</v>
      </c>
      <c r="J49" s="28">
        <f>ROUND(((+J82+J83+J84+J85+J86-J87+J88+J92)/J61),2)</f>
        <v>5.41</v>
      </c>
      <c r="K49" t="s">
        <v>3</v>
      </c>
      <c r="L49" s="28">
        <f>ROUND(((+L82+L83+L84+L85+L86-L87+L88+L92)/L61),2)</f>
        <v>5.54</v>
      </c>
      <c r="M49" t="s">
        <v>3</v>
      </c>
      <c r="N49" s="29">
        <f t="shared" si="0"/>
        <v>5.1899999999999995</v>
      </c>
      <c r="O49" t="s">
        <v>3</v>
      </c>
    </row>
    <row r="50" spans="1:15" ht="17.25" x14ac:dyDescent="0.4">
      <c r="B50" s="36" t="s">
        <v>89</v>
      </c>
      <c r="D50" s="28">
        <f>ROUND(((+D82+D83+D84+D85+D86-D87+D88-D91)/+D90),2)</f>
        <v>3.41</v>
      </c>
      <c r="E50" t="s">
        <v>3</v>
      </c>
      <c r="F50" s="28">
        <f>ROUND(((+F82+F83+F84+F85+F86-F87+F88-F91)/+F90),2)</f>
        <v>3.28</v>
      </c>
      <c r="G50" t="s">
        <v>3</v>
      </c>
      <c r="H50" s="28">
        <f>ROUND(((+H82+H83+H84+H85+H86-H87+H88-H91)/+H90),2)</f>
        <v>3.66</v>
      </c>
      <c r="I50" t="s">
        <v>3</v>
      </c>
      <c r="J50" s="28">
        <f>ROUND(((+J82+J83+J84+J85+J86-J87+J88-J91)/+J90),2)</f>
        <v>4.13</v>
      </c>
      <c r="K50" t="s">
        <v>3</v>
      </c>
      <c r="L50" s="28">
        <f>ROUND(((+L82+L83+L84+L85+L86-L87+L88-L91)/+L90),2)</f>
        <v>4.17</v>
      </c>
      <c r="M50" t="s">
        <v>3</v>
      </c>
      <c r="N50" s="29">
        <f t="shared" si="0"/>
        <v>3.7299999999999995</v>
      </c>
      <c r="O50" t="s">
        <v>3</v>
      </c>
    </row>
    <row r="52" spans="1:15" x14ac:dyDescent="0.4">
      <c r="A52" t="s">
        <v>4</v>
      </c>
    </row>
    <row r="53" spans="1:15" x14ac:dyDescent="0.4">
      <c r="D53" s="38"/>
    </row>
    <row r="54" spans="1:15" x14ac:dyDescent="0.4">
      <c r="A54" s="19" t="s">
        <v>104</v>
      </c>
      <c r="B54" s="19"/>
      <c r="C54" s="19"/>
      <c r="D54" s="38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5" x14ac:dyDescent="0.4">
      <c r="A55" s="20"/>
      <c r="B55" s="20"/>
      <c r="C55" s="20"/>
      <c r="D55" s="21">
        <v>2020</v>
      </c>
      <c r="E55" s="19"/>
      <c r="F55" s="21">
        <v>2019</v>
      </c>
      <c r="G55" s="19"/>
      <c r="H55" s="21">
        <v>2018</v>
      </c>
      <c r="I55" s="19"/>
      <c r="J55" s="21">
        <v>2017</v>
      </c>
      <c r="K55" s="19"/>
      <c r="L55" s="21">
        <v>2016</v>
      </c>
      <c r="M55" s="19"/>
      <c r="N55" s="21">
        <v>2015</v>
      </c>
    </row>
    <row r="56" spans="1:15" x14ac:dyDescent="0.4">
      <c r="A56" s="20" t="s">
        <v>22</v>
      </c>
      <c r="B56" s="20"/>
      <c r="C56" s="20"/>
      <c r="D56" s="22">
        <v>1855.4</v>
      </c>
      <c r="E56" s="22"/>
      <c r="F56" s="22">
        <v>1952.4</v>
      </c>
      <c r="G56" s="22"/>
      <c r="H56" s="22">
        <v>1965</v>
      </c>
      <c r="I56" s="22"/>
      <c r="J56" s="22">
        <v>1740.7</v>
      </c>
      <c r="K56" s="22"/>
      <c r="L56" s="22">
        <v>1537.3</v>
      </c>
      <c r="M56" s="22"/>
      <c r="N56" s="22">
        <v>1976.4</v>
      </c>
    </row>
    <row r="57" spans="1:15" x14ac:dyDescent="0.4">
      <c r="A57" s="20" t="s">
        <v>23</v>
      </c>
      <c r="B57" s="20"/>
      <c r="C57" s="20"/>
      <c r="D57" s="22">
        <v>12.4</v>
      </c>
      <c r="E57" s="22"/>
      <c r="F57" s="22">
        <v>34.5</v>
      </c>
      <c r="G57" s="22"/>
      <c r="H57" s="22">
        <v>-26.5</v>
      </c>
      <c r="I57" s="22"/>
      <c r="J57" s="22">
        <v>77.599999999999994</v>
      </c>
      <c r="K57" s="22"/>
      <c r="L57" s="22">
        <v>69.5</v>
      </c>
      <c r="M57" s="22"/>
      <c r="N57" s="22">
        <v>62.2</v>
      </c>
    </row>
    <row r="58" spans="1:15" x14ac:dyDescent="0.4">
      <c r="A58" s="20" t="s">
        <v>24</v>
      </c>
      <c r="B58" s="20"/>
      <c r="C58" s="20"/>
      <c r="D58" s="22">
        <f>1649+D57</f>
        <v>1661.4</v>
      </c>
      <c r="E58" s="22"/>
      <c r="F58" s="22">
        <f>1650.1+F57</f>
        <v>1684.6</v>
      </c>
      <c r="G58" s="22"/>
      <c r="H58" s="22">
        <v>1645.2</v>
      </c>
      <c r="I58" s="22"/>
      <c r="J58" s="22">
        <v>1492.6</v>
      </c>
      <c r="K58" s="22"/>
      <c r="L58" s="22">
        <v>1315.3</v>
      </c>
      <c r="M58" s="22"/>
      <c r="N58" s="22">
        <v>1763.9</v>
      </c>
    </row>
    <row r="59" spans="1:15" x14ac:dyDescent="0.4">
      <c r="A59" s="20" t="s">
        <v>25</v>
      </c>
      <c r="B59" s="20"/>
      <c r="C59" s="20"/>
      <c r="D59" s="22">
        <v>0</v>
      </c>
      <c r="E59" s="22"/>
      <c r="F59" s="22">
        <v>0</v>
      </c>
      <c r="G59" s="22"/>
      <c r="H59" s="22">
        <v>0</v>
      </c>
      <c r="I59" s="22"/>
      <c r="J59" s="22">
        <v>0</v>
      </c>
      <c r="K59" s="22"/>
      <c r="L59" s="22">
        <v>0</v>
      </c>
      <c r="M59" s="22"/>
      <c r="N59" s="22">
        <v>0</v>
      </c>
    </row>
    <row r="60" spans="1:15" x14ac:dyDescent="0.4">
      <c r="A60" s="20" t="s">
        <v>26</v>
      </c>
      <c r="B60" s="20"/>
      <c r="C60" s="20"/>
      <c r="D60" s="22">
        <f>206.4-D57+0.1-0.1</f>
        <v>194</v>
      </c>
      <c r="E60" s="22"/>
      <c r="F60" s="22">
        <f>302.3-F57+21.2-0.4</f>
        <v>288.60000000000002</v>
      </c>
      <c r="G60" s="22"/>
      <c r="H60" s="22">
        <v>312.60000000000002</v>
      </c>
      <c r="I60" s="22"/>
      <c r="J60" s="22">
        <v>250.7</v>
      </c>
      <c r="K60" s="22"/>
      <c r="L60" s="22">
        <v>221.4</v>
      </c>
      <c r="M60" s="22"/>
      <c r="N60" s="22">
        <v>211.5</v>
      </c>
    </row>
    <row r="61" spans="1:15" x14ac:dyDescent="0.4">
      <c r="A61" s="20" t="s">
        <v>27</v>
      </c>
      <c r="B61" s="20"/>
      <c r="C61" s="20"/>
      <c r="D61" s="22">
        <v>105.5</v>
      </c>
      <c r="E61" s="22"/>
      <c r="F61" s="22">
        <v>104.4</v>
      </c>
      <c r="G61" s="22"/>
      <c r="H61" s="22">
        <v>98.4</v>
      </c>
      <c r="I61" s="22"/>
      <c r="J61" s="22">
        <v>89.1</v>
      </c>
      <c r="K61" s="22"/>
      <c r="L61" s="22">
        <v>77.2</v>
      </c>
      <c r="M61" s="22"/>
      <c r="N61" s="22">
        <v>74.599999999999994</v>
      </c>
    </row>
    <row r="62" spans="1:15" x14ac:dyDescent="0.4">
      <c r="A62" s="20" t="s">
        <v>28</v>
      </c>
      <c r="B62" s="20"/>
      <c r="C62" s="20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1:15" x14ac:dyDescent="0.4">
      <c r="A63" s="20" t="s">
        <v>29</v>
      </c>
      <c r="B63" s="20"/>
      <c r="C63" s="20"/>
      <c r="D63" s="22">
        <v>0</v>
      </c>
      <c r="E63" s="22"/>
      <c r="F63" s="22">
        <v>0</v>
      </c>
      <c r="G63" s="22"/>
      <c r="H63" s="22">
        <v>0</v>
      </c>
      <c r="I63" s="22"/>
      <c r="J63" s="22">
        <v>0</v>
      </c>
      <c r="K63" s="22"/>
      <c r="L63" s="22">
        <v>0</v>
      </c>
      <c r="M63" s="22"/>
      <c r="N63" s="22">
        <v>0</v>
      </c>
    </row>
    <row r="64" spans="1:15" x14ac:dyDescent="0.4">
      <c r="A64" s="20" t="s">
        <v>30</v>
      </c>
      <c r="B64" s="20"/>
      <c r="C64" s="20"/>
      <c r="D64" s="22">
        <v>14.8</v>
      </c>
      <c r="E64" s="22"/>
      <c r="F64" s="22">
        <v>5.3</v>
      </c>
      <c r="G64" s="22"/>
      <c r="H64" s="22">
        <v>0</v>
      </c>
      <c r="I64" s="22"/>
      <c r="J64" s="22">
        <v>0</v>
      </c>
      <c r="K64" s="22"/>
      <c r="L64" s="22">
        <v>0</v>
      </c>
      <c r="M64" s="22"/>
      <c r="N64" s="22">
        <v>0</v>
      </c>
    </row>
    <row r="65" spans="1:14" x14ac:dyDescent="0.4">
      <c r="A65" s="20" t="s">
        <v>31</v>
      </c>
      <c r="B65" s="20"/>
      <c r="C65" s="20"/>
      <c r="D65" s="22">
        <v>0</v>
      </c>
      <c r="E65" s="22"/>
      <c r="F65" s="22">
        <v>0</v>
      </c>
      <c r="G65" s="22"/>
      <c r="H65" s="22">
        <v>0</v>
      </c>
      <c r="I65" s="22"/>
      <c r="J65" s="22">
        <v>0</v>
      </c>
      <c r="K65" s="22"/>
      <c r="L65" s="22">
        <v>0</v>
      </c>
      <c r="M65" s="22"/>
      <c r="N65" s="22">
        <v>0</v>
      </c>
    </row>
    <row r="66" spans="1:14" x14ac:dyDescent="0.4">
      <c r="A66" s="20" t="s">
        <v>32</v>
      </c>
      <c r="B66" s="20"/>
      <c r="C66" s="20"/>
      <c r="D66" s="22">
        <v>73.7</v>
      </c>
      <c r="E66" s="22"/>
      <c r="F66" s="22">
        <v>178.9</v>
      </c>
      <c r="G66" s="22"/>
      <c r="H66" s="22">
        <v>213.7</v>
      </c>
      <c r="I66" s="22"/>
      <c r="J66" s="22">
        <v>161.19999999999999</v>
      </c>
      <c r="K66" s="22"/>
      <c r="L66" s="22">
        <v>143.69999999999999</v>
      </c>
      <c r="M66" s="22"/>
      <c r="N66" s="22">
        <v>136.4</v>
      </c>
    </row>
    <row r="67" spans="1:14" x14ac:dyDescent="0.4">
      <c r="A67" s="20" t="s">
        <v>33</v>
      </c>
      <c r="B67" s="20"/>
      <c r="C67" s="20"/>
      <c r="D67" s="22">
        <v>1.44</v>
      </c>
      <c r="E67" s="22"/>
      <c r="F67" s="22">
        <v>3.53</v>
      </c>
      <c r="G67" s="22"/>
      <c r="H67" s="22">
        <v>4.3499999999999996</v>
      </c>
      <c r="I67" s="22"/>
      <c r="J67" s="22">
        <v>3.44</v>
      </c>
      <c r="K67" s="22"/>
      <c r="L67" s="22">
        <v>3.26</v>
      </c>
      <c r="M67" s="22"/>
      <c r="N67" s="22">
        <v>3.16</v>
      </c>
    </row>
    <row r="68" spans="1:14" x14ac:dyDescent="0.4">
      <c r="A68" s="20" t="s">
        <v>34</v>
      </c>
      <c r="B68" s="20"/>
      <c r="C68" s="20"/>
      <c r="D68" s="22">
        <f>2522.3-D71</f>
        <v>2280.3000000000002</v>
      </c>
      <c r="E68" s="22"/>
      <c r="F68" s="22">
        <f>2543-F71</f>
        <v>2301</v>
      </c>
      <c r="G68" s="22"/>
      <c r="H68" s="22">
        <v>2255.4</v>
      </c>
      <c r="I68" s="22"/>
      <c r="J68" s="22">
        <v>1991.3</v>
      </c>
      <c r="K68" s="22"/>
      <c r="L68" s="22">
        <v>1768.2</v>
      </c>
      <c r="M68" s="22"/>
      <c r="N68" s="22">
        <v>1573.6</v>
      </c>
    </row>
    <row r="69" spans="1:14" x14ac:dyDescent="0.4">
      <c r="A69" s="20" t="s">
        <v>35</v>
      </c>
      <c r="B69" s="20"/>
      <c r="C69" s="20"/>
      <c r="D69" s="22">
        <v>0</v>
      </c>
      <c r="E69" s="22"/>
      <c r="F69" s="22">
        <v>0</v>
      </c>
      <c r="G69" s="22"/>
      <c r="H69" s="22">
        <v>0</v>
      </c>
      <c r="I69" s="22"/>
      <c r="J69" s="22">
        <v>0</v>
      </c>
      <c r="K69" s="22"/>
      <c r="L69" s="22">
        <v>0</v>
      </c>
      <c r="M69" s="22"/>
      <c r="N69" s="22">
        <v>0</v>
      </c>
    </row>
    <row r="70" spans="1:14" x14ac:dyDescent="0.4">
      <c r="A70" s="20" t="s">
        <v>36</v>
      </c>
      <c r="B70" s="20"/>
      <c r="C70" s="20"/>
      <c r="D70" s="22">
        <v>0</v>
      </c>
      <c r="E70" s="22"/>
      <c r="F70" s="22">
        <v>0</v>
      </c>
      <c r="G70" s="22"/>
      <c r="H70" s="22">
        <v>0</v>
      </c>
      <c r="I70" s="22"/>
      <c r="J70" s="22">
        <v>0</v>
      </c>
      <c r="K70" s="22"/>
      <c r="L70" s="22">
        <v>0</v>
      </c>
      <c r="M70" s="22"/>
      <c r="N70" s="22">
        <v>0</v>
      </c>
    </row>
    <row r="71" spans="1:14" x14ac:dyDescent="0.4">
      <c r="A71" s="20" t="s">
        <v>37</v>
      </c>
      <c r="B71" s="20"/>
      <c r="C71" s="20"/>
      <c r="D71" s="22">
        <v>242</v>
      </c>
      <c r="E71" s="22"/>
      <c r="F71" s="22">
        <v>242</v>
      </c>
      <c r="G71" s="22"/>
      <c r="H71" s="22">
        <v>0</v>
      </c>
      <c r="I71" s="22"/>
      <c r="J71" s="22">
        <v>0</v>
      </c>
      <c r="K71" s="22"/>
      <c r="L71" s="22">
        <v>0</v>
      </c>
      <c r="M71" s="22"/>
      <c r="N71" s="22">
        <v>0</v>
      </c>
    </row>
    <row r="72" spans="1:14" x14ac:dyDescent="0.4">
      <c r="A72" s="20" t="s">
        <v>38</v>
      </c>
      <c r="B72" s="20"/>
      <c r="C72" s="20"/>
      <c r="D72" s="22">
        <v>0</v>
      </c>
      <c r="E72" s="22"/>
      <c r="F72" s="22">
        <v>0</v>
      </c>
      <c r="G72" s="22"/>
      <c r="H72" s="22">
        <v>0</v>
      </c>
      <c r="I72" s="22"/>
      <c r="J72" s="22">
        <v>0</v>
      </c>
      <c r="K72" s="22"/>
      <c r="L72" s="22">
        <v>0</v>
      </c>
      <c r="M72" s="22"/>
      <c r="N72" s="22">
        <v>0</v>
      </c>
    </row>
    <row r="73" spans="1:14" x14ac:dyDescent="0.4">
      <c r="A73" s="20" t="s">
        <v>39</v>
      </c>
      <c r="B73" s="20"/>
      <c r="C73" s="20"/>
      <c r="D73" s="22">
        <v>0</v>
      </c>
      <c r="E73" s="22"/>
      <c r="F73" s="22">
        <v>0</v>
      </c>
      <c r="G73" s="22"/>
      <c r="H73" s="22">
        <v>0</v>
      </c>
      <c r="I73" s="22"/>
      <c r="J73" s="22">
        <v>0</v>
      </c>
      <c r="K73" s="22"/>
      <c r="L73" s="22">
        <v>0</v>
      </c>
      <c r="M73" s="22"/>
      <c r="N73" s="22">
        <v>0</v>
      </c>
    </row>
    <row r="74" spans="1:14" x14ac:dyDescent="0.4">
      <c r="A74" s="20" t="s">
        <v>40</v>
      </c>
      <c r="B74" s="20"/>
      <c r="C74" s="20"/>
      <c r="D74" s="22">
        <v>0</v>
      </c>
      <c r="E74" s="22"/>
      <c r="F74" s="22">
        <v>0</v>
      </c>
      <c r="G74" s="22"/>
      <c r="H74" s="22">
        <v>0</v>
      </c>
      <c r="I74" s="22"/>
      <c r="J74" s="22">
        <v>0</v>
      </c>
      <c r="K74" s="22"/>
      <c r="L74" s="22">
        <v>0</v>
      </c>
      <c r="M74" s="22"/>
      <c r="N74" s="22">
        <v>0</v>
      </c>
    </row>
    <row r="75" spans="1:14" x14ac:dyDescent="0.4">
      <c r="A75" s="20" t="s">
        <v>41</v>
      </c>
      <c r="B75" s="20"/>
      <c r="C75" s="20"/>
      <c r="D75" s="22">
        <v>3.4</v>
      </c>
      <c r="E75" s="22"/>
      <c r="F75" s="22">
        <v>3.4</v>
      </c>
      <c r="G75" s="22"/>
      <c r="H75" s="22">
        <v>7.9</v>
      </c>
      <c r="I75" s="22"/>
      <c r="J75" s="22">
        <v>0</v>
      </c>
      <c r="K75" s="22"/>
      <c r="L75" s="22">
        <v>0</v>
      </c>
      <c r="M75" s="22"/>
      <c r="N75" s="22">
        <v>0</v>
      </c>
    </row>
    <row r="76" spans="1:14" x14ac:dyDescent="0.4">
      <c r="A76" s="20" t="s">
        <v>42</v>
      </c>
      <c r="B76" s="20"/>
      <c r="C76" s="20"/>
      <c r="D76" s="22">
        <v>2423.6999999999998</v>
      </c>
      <c r="E76" s="22"/>
      <c r="F76" s="22">
        <v>2082.6</v>
      </c>
      <c r="G76" s="22"/>
      <c r="H76" s="22">
        <v>1900.1</v>
      </c>
      <c r="I76" s="22"/>
      <c r="J76" s="22">
        <v>1995</v>
      </c>
      <c r="K76" s="22"/>
      <c r="L76" s="22">
        <v>1833.7</v>
      </c>
      <c r="M76" s="22"/>
      <c r="N76" s="22">
        <v>1771.5</v>
      </c>
    </row>
    <row r="77" spans="1:14" x14ac:dyDescent="0.4">
      <c r="A77" s="20" t="s">
        <v>43</v>
      </c>
      <c r="B77" s="20"/>
      <c r="C77" s="20"/>
      <c r="D77" s="22">
        <v>0</v>
      </c>
      <c r="E77" s="22"/>
      <c r="F77" s="22">
        <v>0</v>
      </c>
      <c r="G77" s="22"/>
      <c r="H77" s="22">
        <v>0</v>
      </c>
      <c r="I77" s="22"/>
      <c r="J77" s="22">
        <v>0</v>
      </c>
      <c r="K77" s="22"/>
      <c r="L77" s="22">
        <v>0</v>
      </c>
      <c r="M77" s="22"/>
      <c r="N77" s="22">
        <v>0</v>
      </c>
    </row>
    <row r="78" spans="1:14" x14ac:dyDescent="0.4">
      <c r="A78" s="20" t="s">
        <v>44</v>
      </c>
      <c r="B78" s="20"/>
      <c r="C78" s="20"/>
      <c r="D78" s="22">
        <f>SUM(D68:D77)</f>
        <v>4949.3999999999996</v>
      </c>
      <c r="E78" s="22"/>
      <c r="F78" s="22">
        <f>SUM(F68:F77)</f>
        <v>4629</v>
      </c>
      <c r="G78" s="22"/>
      <c r="H78" s="22">
        <v>4163.3999999999996</v>
      </c>
      <c r="I78" s="22"/>
      <c r="J78" s="22">
        <v>3986.3</v>
      </c>
      <c r="K78" s="22"/>
      <c r="L78" s="22">
        <v>3601.9</v>
      </c>
      <c r="M78" s="22"/>
      <c r="N78" s="22">
        <v>3345.1</v>
      </c>
    </row>
    <row r="79" spans="1:14" x14ac:dyDescent="0.4">
      <c r="A79" s="20" t="s">
        <v>45</v>
      </c>
      <c r="B79" s="20"/>
      <c r="C79" s="20"/>
      <c r="D79" s="22">
        <v>60.4</v>
      </c>
      <c r="E79" s="22"/>
      <c r="F79" s="22">
        <v>40</v>
      </c>
      <c r="G79" s="22"/>
      <c r="H79" s="22">
        <v>175.5</v>
      </c>
      <c r="I79" s="22"/>
      <c r="J79" s="22">
        <v>100</v>
      </c>
      <c r="K79" s="22"/>
      <c r="L79" s="22">
        <v>250</v>
      </c>
      <c r="M79" s="22"/>
      <c r="N79" s="22">
        <v>80</v>
      </c>
    </row>
    <row r="80" spans="1:14" x14ac:dyDescent="0.4">
      <c r="A80" s="20" t="s">
        <v>46</v>
      </c>
      <c r="B80" s="20"/>
      <c r="C80" s="20"/>
      <c r="D80" s="22">
        <v>648</v>
      </c>
      <c r="E80" s="22"/>
      <c r="F80" s="22">
        <v>743.2</v>
      </c>
      <c r="G80" s="22"/>
      <c r="H80" s="22">
        <v>553.6</v>
      </c>
      <c r="I80" s="22"/>
      <c r="J80" s="22">
        <v>477.3</v>
      </c>
      <c r="K80" s="22"/>
      <c r="L80" s="22">
        <v>398.7</v>
      </c>
      <c r="M80" s="22"/>
      <c r="N80" s="22">
        <v>338</v>
      </c>
    </row>
    <row r="81" spans="1:14" x14ac:dyDescent="0.4">
      <c r="A81" s="20" t="s">
        <v>47</v>
      </c>
      <c r="B81" s="20"/>
      <c r="C81" s="20"/>
      <c r="D81" s="22">
        <v>0</v>
      </c>
      <c r="E81" s="22"/>
      <c r="F81" s="22">
        <v>0</v>
      </c>
      <c r="G81" s="22"/>
      <c r="H81" s="22">
        <v>0</v>
      </c>
      <c r="I81" s="22"/>
      <c r="J81" s="22">
        <v>0</v>
      </c>
      <c r="K81" s="22"/>
      <c r="L81" s="22">
        <v>0</v>
      </c>
      <c r="M81" s="22"/>
      <c r="N81" s="22">
        <v>0</v>
      </c>
    </row>
    <row r="82" spans="1:14" x14ac:dyDescent="0.4">
      <c r="A82" s="20" t="s">
        <v>48</v>
      </c>
      <c r="B82" s="20"/>
      <c r="C82" s="20"/>
      <c r="D82" s="22">
        <v>88.6</v>
      </c>
      <c r="E82" s="22"/>
      <c r="F82" s="22">
        <v>184.6</v>
      </c>
      <c r="G82" s="22"/>
      <c r="H82" s="22">
        <v>214.2</v>
      </c>
      <c r="I82" s="22"/>
      <c r="J82" s="22">
        <v>161.6</v>
      </c>
      <c r="K82" s="22"/>
      <c r="L82" s="22">
        <v>144.19999999999999</v>
      </c>
      <c r="M82" s="22"/>
      <c r="N82" s="22">
        <v>136.9</v>
      </c>
    </row>
    <row r="83" spans="1:14" x14ac:dyDescent="0.4">
      <c r="A83" s="20" t="s">
        <v>49</v>
      </c>
      <c r="B83" s="20"/>
      <c r="C83" s="20"/>
      <c r="D83" s="22">
        <v>197.3</v>
      </c>
      <c r="E83" s="22"/>
      <c r="F83" s="22">
        <v>181.7</v>
      </c>
      <c r="G83" s="22"/>
      <c r="H83" s="22">
        <v>168.4</v>
      </c>
      <c r="I83" s="22"/>
      <c r="J83" s="22">
        <v>154.1</v>
      </c>
      <c r="K83" s="22"/>
      <c r="L83" s="22">
        <v>137.5</v>
      </c>
      <c r="M83" s="22"/>
      <c r="N83" s="22">
        <v>130.80000000000001</v>
      </c>
    </row>
    <row r="84" spans="1:14" x14ac:dyDescent="0.4">
      <c r="A84" s="20" t="s">
        <v>50</v>
      </c>
      <c r="B84" s="20"/>
      <c r="C84" s="20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x14ac:dyDescent="0.4">
      <c r="A85" s="20" t="s">
        <v>51</v>
      </c>
      <c r="B85" s="20"/>
      <c r="C85" s="20"/>
      <c r="D85" s="22">
        <v>9</v>
      </c>
      <c r="E85" s="22"/>
      <c r="F85" s="22">
        <v>31.8</v>
      </c>
      <c r="G85" s="22"/>
      <c r="H85" s="22">
        <v>-28.7</v>
      </c>
      <c r="I85" s="22"/>
      <c r="J85" s="22">
        <v>77</v>
      </c>
      <c r="K85" s="22"/>
      <c r="L85" s="22">
        <v>68.8</v>
      </c>
      <c r="M85" s="22"/>
      <c r="N85" s="22">
        <v>65.5</v>
      </c>
    </row>
    <row r="86" spans="1:14" x14ac:dyDescent="0.4">
      <c r="A86" s="20" t="s">
        <v>52</v>
      </c>
      <c r="B86" s="20"/>
      <c r="C86" s="20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 x14ac:dyDescent="0.4">
      <c r="A87" s="20" t="s">
        <v>53</v>
      </c>
      <c r="B87" s="20"/>
      <c r="C87" s="20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 x14ac:dyDescent="0.4">
      <c r="A88" s="20" t="s">
        <v>69</v>
      </c>
      <c r="B88" s="20"/>
      <c r="C88" s="20"/>
      <c r="D88" s="22">
        <f>148.6+8.2</f>
        <v>156.79999999999998</v>
      </c>
      <c r="E88" s="22"/>
      <c r="F88" s="22">
        <v>-4</v>
      </c>
      <c r="G88" s="22"/>
      <c r="H88" s="22">
        <v>44.2</v>
      </c>
      <c r="I88" s="22"/>
      <c r="J88" s="22">
        <v>4.2</v>
      </c>
      <c r="K88" s="22"/>
      <c r="L88" s="22">
        <v>4.9000000000000004</v>
      </c>
      <c r="M88" s="22"/>
      <c r="N88" s="22">
        <v>6.4</v>
      </c>
    </row>
    <row r="89" spans="1:14" x14ac:dyDescent="0.4">
      <c r="A89" s="20" t="s">
        <v>54</v>
      </c>
      <c r="B89" s="20"/>
      <c r="C89" s="20"/>
      <c r="D89" s="22">
        <v>638.4</v>
      </c>
      <c r="E89" s="22"/>
      <c r="F89" s="22">
        <v>823.3</v>
      </c>
      <c r="G89" s="22"/>
      <c r="H89" s="22">
        <v>499.4</v>
      </c>
      <c r="I89" s="22"/>
      <c r="J89" s="22">
        <v>438.1</v>
      </c>
      <c r="K89" s="22"/>
      <c r="L89" s="22">
        <v>293.3</v>
      </c>
      <c r="M89" s="22"/>
      <c r="N89" s="22">
        <v>289.8</v>
      </c>
    </row>
    <row r="90" spans="1:14" x14ac:dyDescent="0.4">
      <c r="A90" s="20" t="s">
        <v>55</v>
      </c>
      <c r="B90" s="20"/>
      <c r="C90" s="20"/>
      <c r="D90" s="22">
        <v>128</v>
      </c>
      <c r="E90" s="22"/>
      <c r="F90" s="22">
        <v>119</v>
      </c>
      <c r="G90" s="22"/>
      <c r="H90" s="22">
        <v>108.7</v>
      </c>
      <c r="I90" s="22"/>
      <c r="J90" s="22">
        <v>96.2</v>
      </c>
      <c r="K90" s="22"/>
      <c r="L90" s="22">
        <v>85.2</v>
      </c>
      <c r="M90" s="22"/>
      <c r="N90" s="22">
        <v>79</v>
      </c>
    </row>
    <row r="91" spans="1:14" x14ac:dyDescent="0.4">
      <c r="A91" s="20" t="s">
        <v>56</v>
      </c>
      <c r="B91" s="20"/>
      <c r="C91" s="20"/>
      <c r="D91" s="22">
        <v>14.8</v>
      </c>
      <c r="E91" s="22"/>
      <c r="F91" s="22">
        <v>3.4</v>
      </c>
      <c r="G91" s="22"/>
      <c r="H91" s="22">
        <v>0</v>
      </c>
      <c r="I91" s="22"/>
      <c r="J91" s="22">
        <v>0</v>
      </c>
      <c r="K91" s="22"/>
      <c r="L91" s="22">
        <v>0</v>
      </c>
      <c r="M91" s="22"/>
      <c r="N91" s="22">
        <v>0</v>
      </c>
    </row>
    <row r="92" spans="1:14" x14ac:dyDescent="0.4">
      <c r="A92" s="20" t="s">
        <v>57</v>
      </c>
      <c r="B92" s="20"/>
      <c r="C92" s="20"/>
      <c r="D92" s="22">
        <v>100</v>
      </c>
      <c r="E92" s="22"/>
      <c r="F92" s="22">
        <v>102.4</v>
      </c>
      <c r="G92" s="22"/>
      <c r="H92" s="22">
        <v>95.1</v>
      </c>
      <c r="I92" s="22"/>
      <c r="J92" s="22">
        <v>85.5</v>
      </c>
      <c r="K92" s="22"/>
      <c r="L92" s="22">
        <v>72.5</v>
      </c>
      <c r="M92" s="22"/>
      <c r="N92" s="22">
        <v>65.3</v>
      </c>
    </row>
    <row r="93" spans="1:14" x14ac:dyDescent="0.4">
      <c r="A93" s="20" t="s">
        <v>58</v>
      </c>
      <c r="B93" s="20"/>
      <c r="C93" s="20"/>
      <c r="D93" s="22">
        <v>2.9</v>
      </c>
      <c r="E93" s="22"/>
      <c r="F93" s="22">
        <v>2.7</v>
      </c>
      <c r="G93" s="22"/>
      <c r="H93" s="22">
        <v>1.5</v>
      </c>
      <c r="I93" s="22"/>
      <c r="J93" s="22">
        <v>1.3</v>
      </c>
      <c r="K93" s="22"/>
      <c r="L93" s="22">
        <v>-2.9</v>
      </c>
      <c r="M93" s="22"/>
      <c r="N93" s="22">
        <v>-1.3</v>
      </c>
    </row>
    <row r="94" spans="1:14" x14ac:dyDescent="0.4">
      <c r="A94" s="20" t="s">
        <v>67</v>
      </c>
      <c r="B94" s="20"/>
      <c r="C94" s="20"/>
      <c r="D94" s="22">
        <v>1</v>
      </c>
      <c r="E94" s="22"/>
      <c r="F94" s="22">
        <v>1</v>
      </c>
      <c r="G94" s="22"/>
      <c r="H94" s="22">
        <v>1</v>
      </c>
      <c r="I94" s="22"/>
      <c r="J94" s="22">
        <v>1</v>
      </c>
      <c r="K94" s="22"/>
      <c r="L94" s="22">
        <v>1</v>
      </c>
      <c r="M94" s="22"/>
      <c r="N94" s="22">
        <v>1</v>
      </c>
    </row>
    <row r="95" spans="1:14" x14ac:dyDescent="0.4">
      <c r="A95" s="20" t="s">
        <v>68</v>
      </c>
      <c r="B95" s="20"/>
      <c r="C95" s="20"/>
      <c r="D95" s="22">
        <v>1</v>
      </c>
      <c r="E95" s="22"/>
      <c r="F95" s="22">
        <v>1</v>
      </c>
      <c r="G95" s="22"/>
      <c r="H95" s="22">
        <v>1</v>
      </c>
      <c r="I95" s="22"/>
      <c r="J95" s="22">
        <v>1</v>
      </c>
      <c r="K95" s="22"/>
      <c r="L95" s="22">
        <v>1</v>
      </c>
      <c r="M95" s="22"/>
      <c r="N95" s="22">
        <v>1</v>
      </c>
    </row>
    <row r="96" spans="1:14" x14ac:dyDescent="0.4">
      <c r="A96" s="20" t="s">
        <v>59</v>
      </c>
      <c r="B96" s="20"/>
      <c r="C96" s="20"/>
      <c r="D96" s="22">
        <v>128.4</v>
      </c>
      <c r="E96" s="22"/>
      <c r="F96" s="22">
        <v>120.5</v>
      </c>
      <c r="G96" s="22"/>
      <c r="H96" s="22">
        <v>112.1</v>
      </c>
      <c r="I96" s="22"/>
      <c r="J96" s="22">
        <v>99.2</v>
      </c>
      <c r="K96" s="22"/>
      <c r="L96" s="22">
        <v>87.5</v>
      </c>
      <c r="M96" s="22"/>
      <c r="N96" s="22">
        <v>80.2</v>
      </c>
    </row>
    <row r="97" spans="1:14" x14ac:dyDescent="0.4">
      <c r="A97" s="20" t="s">
        <v>60</v>
      </c>
      <c r="B97" s="20"/>
      <c r="C97" s="20"/>
      <c r="D97" s="22">
        <v>2.4900000000000002</v>
      </c>
      <c r="E97" s="22"/>
      <c r="F97" s="22">
        <v>2.37</v>
      </c>
      <c r="G97" s="22"/>
      <c r="H97" s="22">
        <v>2.25</v>
      </c>
      <c r="I97" s="22"/>
      <c r="J97" s="22">
        <v>2.1</v>
      </c>
      <c r="K97" s="22"/>
      <c r="L97" s="22">
        <v>1.96</v>
      </c>
      <c r="M97" s="22"/>
      <c r="N97" s="22">
        <v>1.84</v>
      </c>
    </row>
    <row r="98" spans="1:14" x14ac:dyDescent="0.4">
      <c r="A98" s="20" t="s">
        <v>61</v>
      </c>
      <c r="B98" s="20"/>
      <c r="C98" s="20"/>
      <c r="D98" s="22">
        <v>2.4900000000000002</v>
      </c>
      <c r="E98" s="22"/>
      <c r="F98" s="22">
        <v>2.37</v>
      </c>
      <c r="G98" s="22"/>
      <c r="H98" s="22">
        <v>2.2130000000000001</v>
      </c>
      <c r="I98" s="22"/>
      <c r="J98" s="22">
        <v>2.0649999999999999</v>
      </c>
      <c r="K98" s="22"/>
      <c r="L98" s="22">
        <v>1.93</v>
      </c>
      <c r="M98" s="22"/>
      <c r="N98" s="22">
        <v>1.82</v>
      </c>
    </row>
    <row r="99" spans="1:14" x14ac:dyDescent="0.4">
      <c r="A99" s="20" t="s">
        <v>62</v>
      </c>
      <c r="B99" s="20"/>
      <c r="C99" s="20"/>
      <c r="D99" s="22">
        <v>87.96</v>
      </c>
      <c r="E99" s="22"/>
      <c r="F99" s="22">
        <v>88</v>
      </c>
      <c r="G99" s="22"/>
      <c r="H99" s="22">
        <v>81.13</v>
      </c>
      <c r="I99" s="22"/>
      <c r="J99" s="22">
        <v>82.85</v>
      </c>
      <c r="K99" s="22"/>
      <c r="L99" s="22">
        <v>71.204999999999998</v>
      </c>
      <c r="M99" s="22"/>
      <c r="N99" s="22">
        <v>61.04</v>
      </c>
    </row>
    <row r="100" spans="1:14" x14ac:dyDescent="0.4">
      <c r="A100" s="20" t="s">
        <v>63</v>
      </c>
      <c r="B100" s="20"/>
      <c r="C100" s="20"/>
      <c r="D100" s="22">
        <v>50.58</v>
      </c>
      <c r="E100" s="22"/>
      <c r="F100" s="22">
        <v>71.67</v>
      </c>
      <c r="G100" s="22"/>
      <c r="H100" s="22">
        <v>60.085000000000001</v>
      </c>
      <c r="I100" s="22"/>
      <c r="J100" s="22">
        <v>62.325000000000003</v>
      </c>
      <c r="K100" s="22"/>
      <c r="L100" s="22">
        <v>57.098999999999997</v>
      </c>
      <c r="M100" s="22"/>
      <c r="N100" s="22">
        <v>49.07</v>
      </c>
    </row>
    <row r="101" spans="1:14" x14ac:dyDescent="0.4">
      <c r="A101" s="20" t="s">
        <v>64</v>
      </c>
      <c r="B101" s="20"/>
      <c r="C101" s="20"/>
      <c r="D101" s="22">
        <v>64.040000000000006</v>
      </c>
      <c r="E101" s="22"/>
      <c r="F101" s="22">
        <v>83.309997999999993</v>
      </c>
      <c r="G101" s="22"/>
      <c r="H101" s="22">
        <v>74.08</v>
      </c>
      <c r="I101" s="22"/>
      <c r="J101" s="22">
        <v>75.150000000000006</v>
      </c>
      <c r="K101" s="22"/>
      <c r="L101" s="22">
        <v>64.55</v>
      </c>
      <c r="M101" s="22"/>
      <c r="N101" s="22">
        <v>59.41</v>
      </c>
    </row>
    <row r="102" spans="1:14" x14ac:dyDescent="0.4">
      <c r="A102" s="20" t="s">
        <v>65</v>
      </c>
      <c r="B102" s="20"/>
      <c r="C102" s="20"/>
      <c r="D102" s="22">
        <v>51.611789000000002</v>
      </c>
      <c r="E102" s="22"/>
      <c r="F102" s="22">
        <v>50.973514999999999</v>
      </c>
      <c r="G102" s="22"/>
      <c r="H102" s="22">
        <v>50.671999999999997</v>
      </c>
      <c r="I102" s="22"/>
      <c r="J102" s="22">
        <v>48.262999999999998</v>
      </c>
      <c r="K102" s="22"/>
      <c r="L102" s="22">
        <v>45.651000000000003</v>
      </c>
      <c r="M102" s="22"/>
      <c r="N102" s="22">
        <v>43.335000000000001</v>
      </c>
    </row>
    <row r="103" spans="1:14" x14ac:dyDescent="0.4">
      <c r="A103" s="20" t="s">
        <v>77</v>
      </c>
      <c r="B103" s="20"/>
      <c r="C103" s="20"/>
      <c r="D103" s="22">
        <v>-41.2</v>
      </c>
      <c r="E103" s="22"/>
      <c r="F103" s="22">
        <v>-31.3</v>
      </c>
      <c r="G103" s="22"/>
      <c r="H103" s="22">
        <v>6.4</v>
      </c>
      <c r="I103" s="22"/>
      <c r="J103" s="22">
        <v>3.2</v>
      </c>
      <c r="K103" s="22"/>
      <c r="L103" s="22">
        <v>-4.2</v>
      </c>
      <c r="M103" s="22"/>
      <c r="N103" s="22">
        <v>-2</v>
      </c>
    </row>
    <row r="104" spans="1:14" x14ac:dyDescent="0.4">
      <c r="A104" t="s">
        <v>71</v>
      </c>
    </row>
    <row r="105" spans="1:14" x14ac:dyDescent="0.4">
      <c r="B105" t="s">
        <v>70</v>
      </c>
      <c r="D105" s="15">
        <f>D67/D94</f>
        <v>1.44</v>
      </c>
      <c r="F105" s="15">
        <f>F67/F94</f>
        <v>3.53</v>
      </c>
      <c r="H105" s="15">
        <f>H67/H94</f>
        <v>4.3499999999999996</v>
      </c>
      <c r="J105" s="15">
        <f>J67/J94</f>
        <v>3.44</v>
      </c>
      <c r="L105" s="15">
        <f>L67/L94</f>
        <v>3.26</v>
      </c>
      <c r="N105" s="15">
        <f>N67/N94</f>
        <v>3.16</v>
      </c>
    </row>
    <row r="106" spans="1:14" x14ac:dyDescent="0.4">
      <c r="B106" t="s">
        <v>60</v>
      </c>
      <c r="D106" s="15">
        <f>D97/D94</f>
        <v>2.4900000000000002</v>
      </c>
      <c r="F106" s="15">
        <f>F97/F94</f>
        <v>2.37</v>
      </c>
      <c r="H106" s="15">
        <f>H97/H94</f>
        <v>2.25</v>
      </c>
      <c r="J106" s="15">
        <f>J97/J94</f>
        <v>2.1</v>
      </c>
      <c r="L106" s="15">
        <f>L97/L94</f>
        <v>1.96</v>
      </c>
      <c r="N106" s="15">
        <f>N97/N94</f>
        <v>1.84</v>
      </c>
    </row>
    <row r="107" spans="1:14" x14ac:dyDescent="0.4">
      <c r="B107" t="s">
        <v>61</v>
      </c>
      <c r="D107" s="15">
        <f>D98/D94</f>
        <v>2.4900000000000002</v>
      </c>
      <c r="F107" s="15">
        <f>F98/F94</f>
        <v>2.37</v>
      </c>
      <c r="H107" s="15">
        <f>H98/H94</f>
        <v>2.2130000000000001</v>
      </c>
      <c r="J107" s="15">
        <f>J98/J94</f>
        <v>2.0649999999999999</v>
      </c>
      <c r="L107" s="15">
        <f>L98/L94</f>
        <v>1.93</v>
      </c>
      <c r="N107" s="15">
        <f>N98/N94</f>
        <v>1.82</v>
      </c>
    </row>
    <row r="108" spans="1:14" x14ac:dyDescent="0.4">
      <c r="B108" t="s">
        <v>62</v>
      </c>
      <c r="D108" s="15">
        <f>D99/D94</f>
        <v>87.96</v>
      </c>
      <c r="F108" s="15">
        <f>F99/F94</f>
        <v>88</v>
      </c>
      <c r="H108" s="15">
        <f>H99/H94</f>
        <v>81.13</v>
      </c>
      <c r="J108" s="15">
        <f>J99/J94</f>
        <v>82.85</v>
      </c>
      <c r="L108" s="15">
        <f>L99/L94</f>
        <v>71.204999999999998</v>
      </c>
      <c r="N108" s="15">
        <f>N99/N94</f>
        <v>61.04</v>
      </c>
    </row>
    <row r="109" spans="1:14" x14ac:dyDescent="0.4">
      <c r="B109" t="s">
        <v>63</v>
      </c>
      <c r="D109" s="15">
        <f>D100/D94</f>
        <v>50.58</v>
      </c>
      <c r="F109" s="15">
        <f>F100/F94</f>
        <v>71.67</v>
      </c>
      <c r="H109" s="15">
        <f>H100/H94</f>
        <v>60.085000000000001</v>
      </c>
      <c r="J109" s="15">
        <f>J100/J94</f>
        <v>62.325000000000003</v>
      </c>
      <c r="L109" s="15">
        <f>L100/L94</f>
        <v>57.098999999999997</v>
      </c>
      <c r="N109" s="15">
        <f>N100/N94</f>
        <v>49.07</v>
      </c>
    </row>
    <row r="110" spans="1:14" x14ac:dyDescent="0.4">
      <c r="B110" t="s">
        <v>64</v>
      </c>
      <c r="D110" s="15">
        <f>D101/D94</f>
        <v>64.040000000000006</v>
      </c>
      <c r="F110" s="15">
        <f>F101/F94</f>
        <v>83.309997999999993</v>
      </c>
      <c r="H110" s="15">
        <f>H101/H94</f>
        <v>74.08</v>
      </c>
      <c r="J110" s="15">
        <f>J101/J94</f>
        <v>75.150000000000006</v>
      </c>
      <c r="L110" s="15">
        <f>L101/L94</f>
        <v>64.55</v>
      </c>
      <c r="N110" s="15">
        <f>N101/N94</f>
        <v>59.41</v>
      </c>
    </row>
    <row r="111" spans="1:14" x14ac:dyDescent="0.4">
      <c r="B111" t="s">
        <v>65</v>
      </c>
      <c r="D111" s="16">
        <f>D102*D94</f>
        <v>51.611789000000002</v>
      </c>
      <c r="E111" s="16"/>
      <c r="F111" s="16">
        <f>F102*F94</f>
        <v>50.973514999999999</v>
      </c>
      <c r="G111" s="16"/>
      <c r="H111" s="16">
        <f>H102*H94</f>
        <v>50.671999999999997</v>
      </c>
      <c r="I111" s="16"/>
      <c r="J111" s="16">
        <f>J102*J94</f>
        <v>48.262999999999998</v>
      </c>
      <c r="K111" s="16"/>
      <c r="L111" s="16">
        <f>L102*L94</f>
        <v>45.651000000000003</v>
      </c>
      <c r="M111" s="16"/>
      <c r="N111" s="16">
        <f>N102*N94</f>
        <v>43.335000000000001</v>
      </c>
    </row>
    <row r="112" spans="1:14" x14ac:dyDescent="0.4">
      <c r="B112" t="s">
        <v>66</v>
      </c>
      <c r="D112" s="15">
        <f>ROUND(D68/D111,2)</f>
        <v>44.18</v>
      </c>
      <c r="F112" s="15">
        <f>ROUND(F68/F111,2)</f>
        <v>45.14</v>
      </c>
      <c r="H112" s="15">
        <f>ROUND(H68/H111,2)</f>
        <v>44.51</v>
      </c>
      <c r="J112" s="15">
        <f>ROUND(J68/J111,2)</f>
        <v>41.26</v>
      </c>
      <c r="L112" s="15">
        <f>ROUND(L68/L111,2)</f>
        <v>38.729999999999997</v>
      </c>
      <c r="N112" s="15">
        <f>ROUND(N68/N111,2)</f>
        <v>36.31</v>
      </c>
    </row>
  </sheetData>
  <mergeCells count="4">
    <mergeCell ref="D6:L6"/>
    <mergeCell ref="A1:O1"/>
    <mergeCell ref="A2:O2"/>
    <mergeCell ref="A3:O3"/>
  </mergeCells>
  <phoneticPr fontId="0" type="noConversion"/>
  <pageMargins left="1.25" right="0" top="1.5" bottom="1" header="0.5" footer="0.5"/>
  <pageSetup scale="61" orientation="portrait" r:id="rId1"/>
  <headerFooter alignWithMargins="0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Page 1</vt:lpstr>
      <vt:lpstr>Atmos</vt:lpstr>
      <vt:lpstr>Chesapeake</vt:lpstr>
      <vt:lpstr>NJ Res</vt:lpstr>
      <vt:lpstr>Northwest</vt:lpstr>
      <vt:lpstr>One Gas</vt:lpstr>
      <vt:lpstr>SJI</vt:lpstr>
      <vt:lpstr>Southwest</vt:lpstr>
      <vt:lpstr>Spire</vt:lpstr>
      <vt:lpstr>'Page 1'!Print_Area</vt:lpstr>
    </vt:vector>
  </TitlesOfParts>
  <Company>DellComputerCorporation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Paul</cp:lastModifiedBy>
  <cp:lastPrinted>2009-12-08T20:08:52Z</cp:lastPrinted>
  <dcterms:created xsi:type="dcterms:W3CDTF">2001-03-03T20:55:32Z</dcterms:created>
  <dcterms:modified xsi:type="dcterms:W3CDTF">2021-06-10T14:24:11Z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{04D34D7E-9ED1-434E-AF91-B28BBA8682BC}</vt:lpwstr>
  </property>
</Properties>
</file>