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KY\Rate Case Filings\Rate Case - 2021\Schedules\Schedule M (Revenues)\Scenarios\Settlement\Stipulation\"/>
    </mc:Choice>
  </mc:AlternateContent>
  <bookViews>
    <workbookView xWindow="-50" yWindow="220" windowWidth="11680" windowHeight="8950" tabRatio="854" activeTab="13"/>
  </bookViews>
  <sheets>
    <sheet name="Input" sheetId="9" r:id="rId1"/>
    <sheet name="INDEX N" sheetId="23" r:id="rId2"/>
    <sheet name="GSR" sheetId="7" r:id="rId3"/>
    <sheet name="G1C" sheetId="6" r:id="rId4"/>
    <sheet name="G1R" sheetId="5" r:id="rId5"/>
    <sheet name="IN3R" sheetId="4" r:id="rId6"/>
    <sheet name="IN3C" sheetId="19" r:id="rId7"/>
    <sheet name="IN4" sheetId="1" r:id="rId8"/>
    <sheet name="IN5" sheetId="2" r:id="rId9"/>
    <sheet name="LG2R" sheetId="13" r:id="rId10"/>
    <sheet name="LG2C" sheetId="20" r:id="rId11"/>
    <sheet name="LG3" sheetId="12" r:id="rId12"/>
    <sheet name="LG4" sheetId="11" r:id="rId13"/>
    <sheet name="GSO" sheetId="10" r:id="rId14"/>
    <sheet name="IS" sheetId="21" r:id="rId15"/>
    <sheet name="IUS" sheetId="18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p">#REF!</definedName>
    <definedName name="_Regression_Int" localSheetId="1" hidden="1">1</definedName>
    <definedName name="Bank" localSheetId="1">[1]Input!#REF!</definedName>
    <definedName name="Bank">[2]Input!#REF!</definedName>
    <definedName name="bdate">'[3]Oper Rev&amp;Exp by Accts C2.1A'!$A$4</definedName>
    <definedName name="case" localSheetId="1">'[3]Operating Income Summary C-1'!$A$2</definedName>
    <definedName name="case">[2]Input!$B$12</definedName>
    <definedName name="Commodity" localSheetId="1">[1]Input!$C$16</definedName>
    <definedName name="Commodity">[2]Input!$C$16</definedName>
    <definedName name="company">'[3]Operating Income Summary C-1'!$A$1</definedName>
    <definedName name="CONAME" localSheetId="1">[1]B!$A$1</definedName>
    <definedName name="CONAME">[2]B!$A$1</definedName>
    <definedName name="date">'[4]Operating Income Summary C-1'!$A$4</definedName>
    <definedName name="EGC" localSheetId="1">[1]Input!$C$17</definedName>
    <definedName name="EGC">[2]Input!$C$17</definedName>
    <definedName name="EGCDATE" localSheetId="1">[1]Input!$C$20</definedName>
    <definedName name="EGCDATE">[2]Input!$C$20</definedName>
    <definedName name="fbdate">'[3]Operating Income Summary C-1'!$A$4</definedName>
    <definedName name="FDATE">'[3]Oper Rev&amp;Exp by Accts C2.1B'!$A$4</definedName>
    <definedName name="PAGE01">#REF!</definedName>
    <definedName name="PAGE1">#REF!</definedName>
    <definedName name="PAGE2">#REF!</definedName>
    <definedName name="PAGE3">#REF!</definedName>
    <definedName name="PAGE4">#REF!</definedName>
    <definedName name="PAGE5">'[5]B-2.3'!#REF!</definedName>
    <definedName name="PAGE6">'[5]B-2.3'!#REF!</definedName>
    <definedName name="PAGE7">#REF!</definedName>
    <definedName name="PAGE8">#REF!</definedName>
    <definedName name="_xlnm.Print_Area" localSheetId="6">IN3C!$A$1:$L$34</definedName>
    <definedName name="_xlnm.Print_Area" localSheetId="7">'IN4'!$A$1:$L$34</definedName>
    <definedName name="_xlnm.Print_Area" localSheetId="1">'INDEX N'!$A$1:$C$26</definedName>
    <definedName name="_xlnm.Print_Area" localSheetId="0">Input!$A$13:$Z$39</definedName>
    <definedName name="_xlnm.Print_Area" localSheetId="10">LG2C!$A$1:$L$34</definedName>
    <definedName name="Print_Area_MI">'INDEX N'!$A$1:$N$41</definedName>
    <definedName name="SAS_GasCost" localSheetId="1">[1]Input!#REF!</definedName>
    <definedName name="SAS_GasCost">[2]Input!#REF!</definedName>
    <definedName name="TY" localSheetId="1">[1]B!#REF!</definedName>
    <definedName name="TY">[2]B!#REF!</definedName>
    <definedName name="TYDESC" localSheetId="1">[1]B!$A$3</definedName>
    <definedName name="TYDESC">[2]B!$A$3</definedName>
    <definedName name="wit">'[3]Operating Income Summary C-1'!$M$9</definedName>
    <definedName name="Witness" localSheetId="1">[1]Input!$B$14</definedName>
    <definedName name="Witness">[2]Input!$B$14</definedName>
  </definedNames>
  <calcPr calcId="152511"/>
</workbook>
</file>

<file path=xl/calcChain.xml><?xml version="1.0" encoding="utf-8"?>
<calcChain xmlns="http://schemas.openxmlformats.org/spreadsheetml/2006/main">
  <c r="F34" i="21" l="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34" i="18"/>
  <c r="F33" i="18"/>
  <c r="F32" i="18"/>
  <c r="F31" i="18"/>
  <c r="F30" i="18"/>
  <c r="F29" i="18"/>
  <c r="F28" i="18"/>
  <c r="F27" i="18"/>
  <c r="F26" i="18"/>
  <c r="I23" i="5" l="1"/>
  <c r="F25" i="18"/>
  <c r="F24" i="18"/>
  <c r="F23" i="18"/>
  <c r="F22" i="18"/>
  <c r="F20" i="18"/>
  <c r="F21" i="18"/>
  <c r="L21" i="1" l="1"/>
  <c r="L22" i="1"/>
  <c r="L23" i="1"/>
  <c r="L24" i="1"/>
  <c r="L25" i="1"/>
  <c r="L26" i="1"/>
  <c r="L27" i="1"/>
  <c r="L28" i="1"/>
  <c r="L29" i="1"/>
  <c r="L30" i="1"/>
  <c r="L31" i="1"/>
  <c r="H21" i="1"/>
  <c r="H22" i="1"/>
  <c r="H23" i="1"/>
  <c r="H24" i="1"/>
  <c r="H25" i="1"/>
  <c r="H26" i="1"/>
  <c r="H27" i="1"/>
  <c r="H28" i="1"/>
  <c r="H29" i="1"/>
  <c r="H30" i="1"/>
  <c r="H31" i="1"/>
  <c r="I34" i="10" l="1"/>
  <c r="I32" i="10"/>
  <c r="I33" i="10"/>
  <c r="I35" i="10"/>
  <c r="I36" i="10"/>
  <c r="I37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20" i="7"/>
  <c r="I31" i="7"/>
  <c r="I30" i="7"/>
  <c r="I29" i="7"/>
  <c r="I28" i="7"/>
  <c r="I27" i="7"/>
  <c r="I26" i="7"/>
  <c r="I25" i="7"/>
  <c r="I24" i="7"/>
  <c r="I23" i="7"/>
  <c r="I22" i="7"/>
  <c r="I21" i="7"/>
  <c r="F37" i="10" l="1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24" i="7"/>
  <c r="F25" i="7"/>
  <c r="F26" i="7"/>
  <c r="F27" i="7"/>
  <c r="F28" i="7"/>
  <c r="F29" i="7"/>
  <c r="F30" i="7"/>
  <c r="F31" i="7"/>
  <c r="F20" i="7"/>
  <c r="F21" i="7"/>
  <c r="F22" i="7"/>
  <c r="F23" i="7"/>
  <c r="E34" i="18" l="1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AE30" i="9"/>
  <c r="AE36" i="9"/>
  <c r="AE25" i="9"/>
  <c r="AE24" i="9"/>
  <c r="AE23" i="9"/>
  <c r="AE26" i="9"/>
  <c r="AE28" i="9"/>
  <c r="AE29" i="9"/>
  <c r="AE31" i="9"/>
  <c r="AE32" i="9"/>
  <c r="AE33" i="9"/>
  <c r="I20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0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11"/>
  <c r="I31" i="11"/>
  <c r="I30" i="11"/>
  <c r="I29" i="11"/>
  <c r="I28" i="11"/>
  <c r="I27" i="11"/>
  <c r="I25" i="11"/>
  <c r="I24" i="11"/>
  <c r="I23" i="11"/>
  <c r="I22" i="11"/>
  <c r="I21" i="11"/>
  <c r="I20" i="12"/>
  <c r="I31" i="12"/>
  <c r="I30" i="12"/>
  <c r="I29" i="12"/>
  <c r="I27" i="12"/>
  <c r="I26" i="12"/>
  <c r="I25" i="12"/>
  <c r="I24" i="12"/>
  <c r="I23" i="12"/>
  <c r="I22" i="12"/>
  <c r="I21" i="12"/>
  <c r="I31" i="20"/>
  <c r="I30" i="20"/>
  <c r="I29" i="20"/>
  <c r="I28" i="20"/>
  <c r="I27" i="20"/>
  <c r="I26" i="20"/>
  <c r="I25" i="20"/>
  <c r="I24" i="20"/>
  <c r="I23" i="20"/>
  <c r="I22" i="20"/>
  <c r="I21" i="20"/>
  <c r="I20" i="13"/>
  <c r="I31" i="13"/>
  <c r="I30" i="13"/>
  <c r="I28" i="13"/>
  <c r="I27" i="13"/>
  <c r="I26" i="13"/>
  <c r="I25" i="13"/>
  <c r="I24" i="13"/>
  <c r="I23" i="13"/>
  <c r="I22" i="13"/>
  <c r="I21" i="13"/>
  <c r="I20" i="2"/>
  <c r="I31" i="2"/>
  <c r="I30" i="2"/>
  <c r="I29" i="2"/>
  <c r="I28" i="2"/>
  <c r="I27" i="2"/>
  <c r="I26" i="2"/>
  <c r="I25" i="2"/>
  <c r="I23" i="2"/>
  <c r="I22" i="2"/>
  <c r="I21" i="2"/>
  <c r="I20" i="1"/>
  <c r="I31" i="1"/>
  <c r="I30" i="1"/>
  <c r="I29" i="1"/>
  <c r="I28" i="1"/>
  <c r="I27" i="1"/>
  <c r="I26" i="1"/>
  <c r="I25" i="1"/>
  <c r="I24" i="1"/>
  <c r="I23" i="1"/>
  <c r="I22" i="1"/>
  <c r="I21" i="1"/>
  <c r="I31" i="19"/>
  <c r="I30" i="19"/>
  <c r="I29" i="19"/>
  <c r="I28" i="19"/>
  <c r="I27" i="19"/>
  <c r="I26" i="19"/>
  <c r="I25" i="19"/>
  <c r="I24" i="19"/>
  <c r="I23" i="19"/>
  <c r="I22" i="19"/>
  <c r="I21" i="19"/>
  <c r="I20" i="4"/>
  <c r="I31" i="4"/>
  <c r="I30" i="4"/>
  <c r="I29" i="4"/>
  <c r="I28" i="4"/>
  <c r="I27" i="4"/>
  <c r="I26" i="4"/>
  <c r="I24" i="4"/>
  <c r="I23" i="4"/>
  <c r="I22" i="4"/>
  <c r="I21" i="4"/>
  <c r="I20" i="5"/>
  <c r="I31" i="5"/>
  <c r="I30" i="5"/>
  <c r="I29" i="5"/>
  <c r="I28" i="5"/>
  <c r="I27" i="5"/>
  <c r="I26" i="5"/>
  <c r="I25" i="5"/>
  <c r="I24" i="5"/>
  <c r="I22" i="5"/>
  <c r="I21" i="5"/>
  <c r="I31" i="6"/>
  <c r="I30" i="6"/>
  <c r="I29" i="6"/>
  <c r="I28" i="6"/>
  <c r="I27" i="6"/>
  <c r="I26" i="6"/>
  <c r="I25" i="6"/>
  <c r="I24" i="6"/>
  <c r="I23" i="6"/>
  <c r="I22" i="6"/>
  <c r="I21" i="6"/>
  <c r="AE34" i="9"/>
  <c r="E37" i="10"/>
  <c r="E36" i="10"/>
  <c r="E35" i="10"/>
  <c r="E34" i="10"/>
  <c r="E33" i="10"/>
  <c r="E32" i="10"/>
  <c r="E30" i="10"/>
  <c r="E29" i="10"/>
  <c r="E28" i="10"/>
  <c r="E27" i="10"/>
  <c r="E26" i="10"/>
  <c r="E25" i="10"/>
  <c r="E24" i="10"/>
  <c r="E23" i="10"/>
  <c r="E22" i="10"/>
  <c r="E20" i="10"/>
  <c r="E24" i="7"/>
  <c r="E25" i="7"/>
  <c r="E26" i="7"/>
  <c r="E27" i="7"/>
  <c r="E28" i="7"/>
  <c r="E29" i="7"/>
  <c r="E30" i="7"/>
  <c r="E31" i="7"/>
  <c r="E20" i="7"/>
  <c r="E21" i="7"/>
  <c r="E22" i="7"/>
  <c r="E23" i="7"/>
  <c r="Q23" i="9" l="1"/>
  <c r="D23" i="7" l="1"/>
  <c r="Q34" i="9" l="1"/>
  <c r="Q35" i="9"/>
  <c r="Q36" i="9"/>
  <c r="Q33" i="9"/>
  <c r="Q24" i="9"/>
  <c r="AE35" i="9" l="1"/>
  <c r="J34" i="9" l="1"/>
  <c r="AE27" i="9" l="1"/>
  <c r="E33" i="19"/>
  <c r="D20" i="19" s="1"/>
  <c r="H20" i="19" l="1"/>
  <c r="I20" i="19"/>
  <c r="F26" i="6"/>
  <c r="F27" i="6"/>
  <c r="F28" i="6"/>
  <c r="F29" i="6"/>
  <c r="F30" i="6"/>
  <c r="F31" i="6"/>
  <c r="E27" i="6"/>
  <c r="E28" i="6"/>
  <c r="E29" i="6"/>
  <c r="E30" i="6"/>
  <c r="E31" i="6"/>
  <c r="AE22" i="9"/>
  <c r="E33" i="6"/>
  <c r="D20" i="6" s="1"/>
  <c r="I20" i="6" s="1"/>
  <c r="E33" i="5"/>
  <c r="D23" i="5" s="1"/>
  <c r="E33" i="4"/>
  <c r="D25" i="4" s="1"/>
  <c r="I25" i="4" s="1"/>
  <c r="E33" i="1"/>
  <c r="E33" i="2"/>
  <c r="D24" i="2" s="1"/>
  <c r="I24" i="2" s="1"/>
  <c r="E33" i="13"/>
  <c r="D29" i="13" s="1"/>
  <c r="I29" i="13" s="1"/>
  <c r="E33" i="20"/>
  <c r="D20" i="20" s="1"/>
  <c r="I20" i="20" s="1"/>
  <c r="E33" i="12"/>
  <c r="E33" i="11"/>
  <c r="E39" i="10"/>
  <c r="D21" i="10" s="1"/>
  <c r="E40" i="10"/>
  <c r="D31" i="10" s="1"/>
  <c r="D36" i="21"/>
  <c r="D20" i="21" s="1"/>
  <c r="A9" i="23"/>
  <c r="L10" i="19"/>
  <c r="L10" i="21"/>
  <c r="L10" i="12"/>
  <c r="G22" i="21"/>
  <c r="H22" i="21" s="1"/>
  <c r="A5" i="21"/>
  <c r="A2" i="21"/>
  <c r="F20" i="4"/>
  <c r="E20" i="5"/>
  <c r="E21" i="4"/>
  <c r="E22" i="4"/>
  <c r="E24" i="4"/>
  <c r="E26" i="4"/>
  <c r="E27" i="4"/>
  <c r="E28" i="4"/>
  <c r="E29" i="4"/>
  <c r="E30" i="4"/>
  <c r="E31" i="4"/>
  <c r="E20" i="4"/>
  <c r="E22" i="19"/>
  <c r="E23" i="19"/>
  <c r="E24" i="19"/>
  <c r="E25" i="19"/>
  <c r="E26" i="19"/>
  <c r="E27" i="19"/>
  <c r="E28" i="19"/>
  <c r="E29" i="19"/>
  <c r="E30" i="19"/>
  <c r="E31" i="19"/>
  <c r="E20" i="19"/>
  <c r="E21" i="1"/>
  <c r="E22" i="1"/>
  <c r="E23" i="1"/>
  <c r="E25" i="1"/>
  <c r="E26" i="1"/>
  <c r="E27" i="1"/>
  <c r="E28" i="1"/>
  <c r="E29" i="1"/>
  <c r="E30" i="1"/>
  <c r="E31" i="1"/>
  <c r="E21" i="2"/>
  <c r="E22" i="2"/>
  <c r="E23" i="2"/>
  <c r="E26" i="2"/>
  <c r="E27" i="2"/>
  <c r="E28" i="2"/>
  <c r="E29" i="2"/>
  <c r="E30" i="2"/>
  <c r="E31" i="2"/>
  <c r="E20" i="2"/>
  <c r="F21" i="2"/>
  <c r="F22" i="2"/>
  <c r="F23" i="2"/>
  <c r="F26" i="2"/>
  <c r="F27" i="2"/>
  <c r="F28" i="2"/>
  <c r="F29" i="2"/>
  <c r="F30" i="2"/>
  <c r="F31" i="2"/>
  <c r="F20" i="2"/>
  <c r="F21" i="1"/>
  <c r="F22" i="1"/>
  <c r="F23" i="1"/>
  <c r="G23" i="1" s="1"/>
  <c r="F25" i="1"/>
  <c r="F26" i="1"/>
  <c r="F27" i="1"/>
  <c r="F28" i="1"/>
  <c r="F29" i="1"/>
  <c r="F30" i="1"/>
  <c r="F31" i="1"/>
  <c r="K31" i="1" s="1"/>
  <c r="F21" i="5"/>
  <c r="F22" i="5"/>
  <c r="F25" i="5"/>
  <c r="F26" i="5"/>
  <c r="F27" i="5"/>
  <c r="F28" i="5"/>
  <c r="F29" i="5"/>
  <c r="F30" i="5"/>
  <c r="F31" i="5"/>
  <c r="E21" i="5"/>
  <c r="E22" i="5"/>
  <c r="E25" i="5"/>
  <c r="E26" i="5"/>
  <c r="E27" i="5"/>
  <c r="E28" i="5"/>
  <c r="E29" i="5"/>
  <c r="E30" i="5"/>
  <c r="E31" i="5"/>
  <c r="F20" i="5"/>
  <c r="F21" i="6"/>
  <c r="F24" i="6"/>
  <c r="F25" i="6"/>
  <c r="E21" i="6"/>
  <c r="E24" i="6"/>
  <c r="E25" i="6"/>
  <c r="E26" i="6"/>
  <c r="L10" i="18"/>
  <c r="L10" i="10"/>
  <c r="L10" i="11"/>
  <c r="L10" i="20"/>
  <c r="L10" i="13"/>
  <c r="L10" i="2"/>
  <c r="L10" i="1"/>
  <c r="L10" i="4"/>
  <c r="L10" i="5"/>
  <c r="L10" i="6"/>
  <c r="F22" i="19"/>
  <c r="F23" i="19"/>
  <c r="F24" i="19"/>
  <c r="F25" i="19"/>
  <c r="F26" i="19"/>
  <c r="K26" i="19" s="1"/>
  <c r="F27" i="19"/>
  <c r="F28" i="19"/>
  <c r="F29" i="19"/>
  <c r="F30" i="19"/>
  <c r="F31" i="19"/>
  <c r="F20" i="19"/>
  <c r="F21" i="4"/>
  <c r="F22" i="4"/>
  <c r="F24" i="4"/>
  <c r="F26" i="4"/>
  <c r="F27" i="4"/>
  <c r="F28" i="4"/>
  <c r="F29" i="4"/>
  <c r="F30" i="4"/>
  <c r="F31" i="4"/>
  <c r="A5" i="18"/>
  <c r="A5" i="10"/>
  <c r="F21" i="11"/>
  <c r="E21" i="11"/>
  <c r="F22" i="11"/>
  <c r="E22" i="11"/>
  <c r="F23" i="11"/>
  <c r="E23" i="11"/>
  <c r="F24" i="11"/>
  <c r="E24" i="11"/>
  <c r="F25" i="11"/>
  <c r="E25" i="11"/>
  <c r="F27" i="11"/>
  <c r="E27" i="11"/>
  <c r="F29" i="11"/>
  <c r="E29" i="11"/>
  <c r="F30" i="11"/>
  <c r="E30" i="11"/>
  <c r="F31" i="11"/>
  <c r="E31" i="11"/>
  <c r="F20" i="11"/>
  <c r="E20" i="11"/>
  <c r="A5" i="11"/>
  <c r="F21" i="12"/>
  <c r="E21" i="12"/>
  <c r="F22" i="12"/>
  <c r="E22" i="12"/>
  <c r="F23" i="12"/>
  <c r="E23" i="12"/>
  <c r="F24" i="12"/>
  <c r="E24" i="12"/>
  <c r="F25" i="12"/>
  <c r="E25" i="12"/>
  <c r="F26" i="12"/>
  <c r="E26" i="12"/>
  <c r="F27" i="12"/>
  <c r="E27" i="12"/>
  <c r="F30" i="12"/>
  <c r="E30" i="12"/>
  <c r="F31" i="12"/>
  <c r="E31" i="12"/>
  <c r="F20" i="12"/>
  <c r="E20" i="12"/>
  <c r="A5" i="12"/>
  <c r="E21" i="20"/>
  <c r="F21" i="20"/>
  <c r="E22" i="20"/>
  <c r="F22" i="20"/>
  <c r="E23" i="20"/>
  <c r="F23" i="20"/>
  <c r="E24" i="20"/>
  <c r="F24" i="20"/>
  <c r="E25" i="20"/>
  <c r="F25" i="20"/>
  <c r="E26" i="20"/>
  <c r="F26" i="20"/>
  <c r="E27" i="20"/>
  <c r="F27" i="20"/>
  <c r="E28" i="20"/>
  <c r="F28" i="20"/>
  <c r="E31" i="20"/>
  <c r="F31" i="20"/>
  <c r="A5" i="20"/>
  <c r="A2" i="20"/>
  <c r="F21" i="13"/>
  <c r="E21" i="13"/>
  <c r="F22" i="13"/>
  <c r="E22" i="13"/>
  <c r="F23" i="13"/>
  <c r="E23" i="13"/>
  <c r="F24" i="13"/>
  <c r="E24" i="13"/>
  <c r="F25" i="13"/>
  <c r="E25" i="13"/>
  <c r="F26" i="13"/>
  <c r="E26" i="13"/>
  <c r="F27" i="13"/>
  <c r="E27" i="13"/>
  <c r="F30" i="13"/>
  <c r="E30" i="13"/>
  <c r="F31" i="13"/>
  <c r="E31" i="13"/>
  <c r="F20" i="13"/>
  <c r="E20" i="13"/>
  <c r="A5" i="13"/>
  <c r="A5" i="2"/>
  <c r="A5" i="1"/>
  <c r="A5" i="19"/>
  <c r="A2" i="19"/>
  <c r="A5" i="4"/>
  <c r="A5" i="5"/>
  <c r="K26" i="6"/>
  <c r="A5" i="6"/>
  <c r="L10" i="7"/>
  <c r="A5" i="7"/>
  <c r="A2" i="6"/>
  <c r="A2" i="5"/>
  <c r="A2" i="10"/>
  <c r="A2" i="7"/>
  <c r="A2" i="4"/>
  <c r="A2" i="1"/>
  <c r="A2" i="2"/>
  <c r="A2" i="18"/>
  <c r="A2" i="13"/>
  <c r="A2" i="12"/>
  <c r="A2" i="11"/>
  <c r="F29" i="13"/>
  <c r="E25" i="2"/>
  <c r="F25" i="2"/>
  <c r="F25" i="4"/>
  <c r="F20" i="20" l="1"/>
  <c r="E20" i="20"/>
  <c r="H20" i="20" s="1"/>
  <c r="E20" i="6"/>
  <c r="F20" i="6"/>
  <c r="G20" i="6" s="1"/>
  <c r="H20" i="6" s="1"/>
  <c r="E25" i="4"/>
  <c r="J25" i="4" s="1"/>
  <c r="E29" i="13"/>
  <c r="F28" i="11"/>
  <c r="D26" i="11"/>
  <c r="E29" i="12"/>
  <c r="D28" i="12"/>
  <c r="I28" i="12" s="1"/>
  <c r="E21" i="10"/>
  <c r="E31" i="10"/>
  <c r="K31" i="10"/>
  <c r="G31" i="4"/>
  <c r="H31" i="4" s="1"/>
  <c r="K25" i="20"/>
  <c r="K34" i="18"/>
  <c r="D36" i="18"/>
  <c r="D21" i="18" s="1"/>
  <c r="I21" i="18" s="1"/>
  <c r="F29" i="12"/>
  <c r="K29" i="12"/>
  <c r="F29" i="20"/>
  <c r="K29" i="20" s="1"/>
  <c r="E29" i="20"/>
  <c r="J29" i="20" s="1"/>
  <c r="E33" i="7"/>
  <c r="G20" i="21"/>
  <c r="H20" i="21" s="1"/>
  <c r="G23" i="20"/>
  <c r="H23" i="20" s="1"/>
  <c r="K27" i="2"/>
  <c r="K21" i="21"/>
  <c r="K20" i="12"/>
  <c r="K22" i="19"/>
  <c r="G22" i="20"/>
  <c r="H22" i="20" s="1"/>
  <c r="G28" i="1"/>
  <c r="K30" i="12"/>
  <c r="K30" i="6"/>
  <c r="K23" i="10"/>
  <c r="G28" i="5"/>
  <c r="H28" i="5" s="1"/>
  <c r="J29" i="6"/>
  <c r="G22" i="4"/>
  <c r="H22" i="4" s="1"/>
  <c r="G21" i="1"/>
  <c r="G23" i="2"/>
  <c r="H23" i="2" s="1"/>
  <c r="G35" i="10"/>
  <c r="H35" i="10" s="1"/>
  <c r="J30" i="7"/>
  <c r="E23" i="6"/>
  <c r="E24" i="1"/>
  <c r="D20" i="1"/>
  <c r="J26" i="10"/>
  <c r="K27" i="6"/>
  <c r="K25" i="18"/>
  <c r="K36" i="10"/>
  <c r="G25" i="5"/>
  <c r="H25" i="5" s="1"/>
  <c r="G21" i="6"/>
  <c r="H21" i="6" s="1"/>
  <c r="G28" i="6"/>
  <c r="H28" i="6" s="1"/>
  <c r="K25" i="6"/>
  <c r="G26" i="6"/>
  <c r="H26" i="6" s="1"/>
  <c r="G26" i="7"/>
  <c r="H26" i="7" s="1"/>
  <c r="K26" i="18"/>
  <c r="K37" i="10"/>
  <c r="G22" i="2"/>
  <c r="H22" i="2" s="1"/>
  <c r="K29" i="7"/>
  <c r="J31" i="10"/>
  <c r="E23" i="4"/>
  <c r="E24" i="2"/>
  <c r="J24" i="2" s="1"/>
  <c r="G26" i="12"/>
  <c r="H26" i="12" s="1"/>
  <c r="J24" i="18"/>
  <c r="J30" i="2"/>
  <c r="G29" i="1"/>
  <c r="K20" i="20"/>
  <c r="K22" i="20"/>
  <c r="G20" i="5"/>
  <c r="H20" i="5" s="1"/>
  <c r="G26" i="10"/>
  <c r="H26" i="10" s="1"/>
  <c r="G25" i="13"/>
  <c r="H25" i="13" s="1"/>
  <c r="J23" i="20"/>
  <c r="J33" i="21"/>
  <c r="J34" i="18"/>
  <c r="K31" i="5"/>
  <c r="K29" i="6"/>
  <c r="E21" i="19"/>
  <c r="J21" i="19" s="1"/>
  <c r="K25" i="10"/>
  <c r="K22" i="10"/>
  <c r="G37" i="10"/>
  <c r="H37" i="10" s="1"/>
  <c r="J23" i="13"/>
  <c r="K22" i="13"/>
  <c r="G31" i="11"/>
  <c r="H31" i="11" s="1"/>
  <c r="K30" i="11"/>
  <c r="K21" i="11"/>
  <c r="K31" i="4"/>
  <c r="J24" i="10"/>
  <c r="J20" i="18"/>
  <c r="K20" i="7"/>
  <c r="K24" i="7"/>
  <c r="J20" i="10"/>
  <c r="F24" i="2"/>
  <c r="F23" i="4"/>
  <c r="K31" i="6"/>
  <c r="J28" i="20"/>
  <c r="K29" i="4"/>
  <c r="G20" i="19"/>
  <c r="G21" i="13"/>
  <c r="H21" i="13" s="1"/>
  <c r="G21" i="4"/>
  <c r="H21" i="4" s="1"/>
  <c r="J27" i="2"/>
  <c r="J21" i="1"/>
  <c r="G25" i="10"/>
  <c r="H25" i="10" s="1"/>
  <c r="G21" i="21"/>
  <c r="H21" i="21" s="1"/>
  <c r="G32" i="18"/>
  <c r="H32" i="18" s="1"/>
  <c r="G25" i="21"/>
  <c r="H25" i="21" s="1"/>
  <c r="J27" i="10"/>
  <c r="G31" i="21"/>
  <c r="H31" i="21" s="1"/>
  <c r="G30" i="21"/>
  <c r="H30" i="21" s="1"/>
  <c r="J35" i="10"/>
  <c r="K32" i="10"/>
  <c r="G20" i="11"/>
  <c r="H20" i="11" s="1"/>
  <c r="K23" i="21"/>
  <c r="G25" i="20"/>
  <c r="H25" i="20" s="1"/>
  <c r="K31" i="21"/>
  <c r="J33" i="10"/>
  <c r="K20" i="5"/>
  <c r="G31" i="20"/>
  <c r="H31" i="20" s="1"/>
  <c r="K24" i="10"/>
  <c r="K21" i="20"/>
  <c r="K26" i="10"/>
  <c r="J25" i="10"/>
  <c r="E28" i="11"/>
  <c r="G28" i="11" s="1"/>
  <c r="H28" i="11" s="1"/>
  <c r="K28" i="6"/>
  <c r="K20" i="13"/>
  <c r="G22" i="12"/>
  <c r="H22" i="12" s="1"/>
  <c r="K31" i="11"/>
  <c r="G29" i="11"/>
  <c r="H29" i="11" s="1"/>
  <c r="G27" i="11"/>
  <c r="H27" i="11" s="1"/>
  <c r="G24" i="11"/>
  <c r="H24" i="11" s="1"/>
  <c r="K22" i="11"/>
  <c r="J31" i="18"/>
  <c r="K28" i="19"/>
  <c r="K24" i="19"/>
  <c r="G30" i="5"/>
  <c r="H30" i="5" s="1"/>
  <c r="G26" i="5"/>
  <c r="H26" i="5" s="1"/>
  <c r="G21" i="5"/>
  <c r="H21" i="5" s="1"/>
  <c r="G30" i="2"/>
  <c r="H30" i="2" s="1"/>
  <c r="G26" i="2"/>
  <c r="H26" i="2" s="1"/>
  <c r="K28" i="2"/>
  <c r="J26" i="2"/>
  <c r="G27" i="4"/>
  <c r="H27" i="4" s="1"/>
  <c r="K20" i="18"/>
  <c r="J21" i="7"/>
  <c r="J29" i="7"/>
  <c r="J29" i="10"/>
  <c r="J32" i="10"/>
  <c r="G36" i="10"/>
  <c r="H36" i="10" s="1"/>
  <c r="J25" i="21"/>
  <c r="J30" i="21"/>
  <c r="J32" i="21"/>
  <c r="J27" i="21"/>
  <c r="K32" i="21"/>
  <c r="K27" i="21"/>
  <c r="K22" i="21"/>
  <c r="K29" i="18"/>
  <c r="K26" i="7"/>
  <c r="G21" i="7"/>
  <c r="H21" i="7" s="1"/>
  <c r="J20" i="2"/>
  <c r="K20" i="2"/>
  <c r="F24" i="1"/>
  <c r="F21" i="19"/>
  <c r="K31" i="19"/>
  <c r="K23" i="19"/>
  <c r="G26" i="1"/>
  <c r="K26" i="1"/>
  <c r="J28" i="2"/>
  <c r="J31" i="1"/>
  <c r="G27" i="19"/>
  <c r="H27" i="19" s="1"/>
  <c r="J20" i="7"/>
  <c r="G20" i="7"/>
  <c r="H20" i="7" s="1"/>
  <c r="K29" i="10"/>
  <c r="G29" i="7"/>
  <c r="H29" i="7" s="1"/>
  <c r="G28" i="19"/>
  <c r="H28" i="19" s="1"/>
  <c r="J20" i="4"/>
  <c r="J30" i="10"/>
  <c r="G30" i="10"/>
  <c r="H30" i="10" s="1"/>
  <c r="G28" i="2"/>
  <c r="H28" i="2" s="1"/>
  <c r="K31" i="13"/>
  <c r="G31" i="7"/>
  <c r="H31" i="7" s="1"/>
  <c r="K31" i="7"/>
  <c r="K22" i="7"/>
  <c r="K27" i="5"/>
  <c r="K22" i="5"/>
  <c r="G30" i="13"/>
  <c r="H30" i="13" s="1"/>
  <c r="K26" i="12"/>
  <c r="K22" i="12"/>
  <c r="K24" i="11"/>
  <c r="G20" i="2"/>
  <c r="H20" i="2" s="1"/>
  <c r="K22" i="2"/>
  <c r="K23" i="2"/>
  <c r="J30" i="4"/>
  <c r="J28" i="10"/>
  <c r="F23" i="6"/>
  <c r="G23" i="21"/>
  <c r="H23" i="21" s="1"/>
  <c r="J32" i="18"/>
  <c r="K21" i="6"/>
  <c r="K30" i="5"/>
  <c r="K26" i="5"/>
  <c r="K21" i="5"/>
  <c r="K30" i="13"/>
  <c r="K23" i="13"/>
  <c r="K26" i="20"/>
  <c r="J25" i="20"/>
  <c r="K27" i="20"/>
  <c r="K23" i="20"/>
  <c r="G25" i="12"/>
  <c r="H25" i="12" s="1"/>
  <c r="G21" i="12"/>
  <c r="H21" i="12" s="1"/>
  <c r="K30" i="4"/>
  <c r="K25" i="19"/>
  <c r="G31" i="5"/>
  <c r="H31" i="5" s="1"/>
  <c r="G27" i="5"/>
  <c r="H27" i="5" s="1"/>
  <c r="G20" i="10"/>
  <c r="H20" i="10" s="1"/>
  <c r="G33" i="10"/>
  <c r="H33" i="10" s="1"/>
  <c r="J27" i="7"/>
  <c r="K27" i="7"/>
  <c r="G23" i="10"/>
  <c r="H23" i="10" s="1"/>
  <c r="F28" i="13"/>
  <c r="E28" i="13"/>
  <c r="K35" i="10"/>
  <c r="J22" i="2"/>
  <c r="K27" i="13"/>
  <c r="G31" i="12"/>
  <c r="H31" i="12" s="1"/>
  <c r="J31" i="12"/>
  <c r="K29" i="11"/>
  <c r="J29" i="11"/>
  <c r="J25" i="7"/>
  <c r="G29" i="6"/>
  <c r="H29" i="6" s="1"/>
  <c r="E30" i="20"/>
  <c r="G22" i="5"/>
  <c r="H22" i="5" s="1"/>
  <c r="J22" i="5"/>
  <c r="K31" i="2"/>
  <c r="J23" i="2"/>
  <c r="J28" i="7"/>
  <c r="J22" i="18"/>
  <c r="G22" i="13"/>
  <c r="H22" i="13" s="1"/>
  <c r="J22" i="13"/>
  <c r="J34" i="21"/>
  <c r="J22" i="21"/>
  <c r="G31" i="1"/>
  <c r="F30" i="20"/>
  <c r="G22" i="7"/>
  <c r="H22" i="7" s="1"/>
  <c r="J22" i="7"/>
  <c r="J33" i="18"/>
  <c r="K29" i="5"/>
  <c r="E23" i="5"/>
  <c r="F23" i="5"/>
  <c r="G26" i="20"/>
  <c r="H26" i="20" s="1"/>
  <c r="G21" i="20"/>
  <c r="H21" i="20" s="1"/>
  <c r="K27" i="12"/>
  <c r="K25" i="11"/>
  <c r="G22" i="1"/>
  <c r="K30" i="2"/>
  <c r="K26" i="2"/>
  <c r="J31" i="2"/>
  <c r="J29" i="2"/>
  <c r="G27" i="2"/>
  <c r="H27" i="2" s="1"/>
  <c r="J30" i="1"/>
  <c r="K28" i="1"/>
  <c r="J26" i="1"/>
  <c r="J23" i="1"/>
  <c r="K21" i="1"/>
  <c r="J20" i="19"/>
  <c r="L20" i="19" s="1"/>
  <c r="J30" i="19"/>
  <c r="J28" i="19"/>
  <c r="G30" i="7"/>
  <c r="H30" i="7" s="1"/>
  <c r="J23" i="21"/>
  <c r="G24" i="18"/>
  <c r="H24" i="18" s="1"/>
  <c r="G34" i="21"/>
  <c r="H34" i="21" s="1"/>
  <c r="G26" i="13"/>
  <c r="H26" i="13" s="1"/>
  <c r="G24" i="13"/>
  <c r="H24" i="13" s="1"/>
  <c r="G24" i="20"/>
  <c r="H24" i="20" s="1"/>
  <c r="K31" i="12"/>
  <c r="J26" i="12"/>
  <c r="K24" i="12"/>
  <c r="K20" i="6"/>
  <c r="G24" i="19"/>
  <c r="H24" i="19" s="1"/>
  <c r="J29" i="18"/>
  <c r="K30" i="7"/>
  <c r="G20" i="18"/>
  <c r="H20" i="18" s="1"/>
  <c r="J27" i="18"/>
  <c r="G27" i="18"/>
  <c r="H27" i="18" s="1"/>
  <c r="G28" i="7"/>
  <c r="H28" i="7" s="1"/>
  <c r="K29" i="13"/>
  <c r="K24" i="6"/>
  <c r="J21" i="20"/>
  <c r="K26" i="13"/>
  <c r="K24" i="13"/>
  <c r="K31" i="20"/>
  <c r="K28" i="20"/>
  <c r="J24" i="20"/>
  <c r="J30" i="12"/>
  <c r="G27" i="12"/>
  <c r="H27" i="12" s="1"/>
  <c r="K25" i="12"/>
  <c r="G23" i="12"/>
  <c r="H23" i="12" s="1"/>
  <c r="K21" i="12"/>
  <c r="K20" i="11"/>
  <c r="J27" i="11"/>
  <c r="G25" i="11"/>
  <c r="H25" i="11" s="1"/>
  <c r="K23" i="11"/>
  <c r="G21" i="11"/>
  <c r="H21" i="11" s="1"/>
  <c r="J25" i="18"/>
  <c r="J25" i="19"/>
  <c r="J31" i="4"/>
  <c r="J29" i="4"/>
  <c r="K22" i="4"/>
  <c r="K29" i="21"/>
  <c r="K24" i="21"/>
  <c r="J30" i="18"/>
  <c r="K30" i="18"/>
  <c r="G24" i="10"/>
  <c r="H24" i="10" s="1"/>
  <c r="J30" i="11"/>
  <c r="G30" i="11"/>
  <c r="H30" i="11" s="1"/>
  <c r="G26" i="18"/>
  <c r="H26" i="18" s="1"/>
  <c r="J26" i="18"/>
  <c r="G31" i="2"/>
  <c r="H31" i="2" s="1"/>
  <c r="J26" i="6"/>
  <c r="L26" i="6" s="1"/>
  <c r="J25" i="5"/>
  <c r="K25" i="5"/>
  <c r="G27" i="13"/>
  <c r="H27" i="13" s="1"/>
  <c r="J27" i="13"/>
  <c r="J28" i="1"/>
  <c r="K20" i="19"/>
  <c r="J21" i="11"/>
  <c r="J27" i="5"/>
  <c r="J25" i="12"/>
  <c r="J27" i="12"/>
  <c r="K28" i="5"/>
  <c r="J28" i="5"/>
  <c r="J27" i="19"/>
  <c r="K27" i="19"/>
  <c r="G24" i="4"/>
  <c r="H24" i="4" s="1"/>
  <c r="K20" i="4"/>
  <c r="G20" i="4"/>
  <c r="H20" i="4" s="1"/>
  <c r="G22" i="10"/>
  <c r="H22" i="10" s="1"/>
  <c r="J37" i="10"/>
  <c r="J31" i="21"/>
  <c r="G26" i="21"/>
  <c r="H26" i="21" s="1"/>
  <c r="J26" i="21"/>
  <c r="K26" i="21"/>
  <c r="G24" i="7"/>
  <c r="H24" i="7" s="1"/>
  <c r="G20" i="13"/>
  <c r="H20" i="13" s="1"/>
  <c r="J20" i="13"/>
  <c r="K25" i="13"/>
  <c r="J25" i="13"/>
  <c r="G29" i="5"/>
  <c r="H29" i="5" s="1"/>
  <c r="J29" i="5"/>
  <c r="G34" i="18"/>
  <c r="H34" i="18" s="1"/>
  <c r="K28" i="10"/>
  <c r="J30" i="5"/>
  <c r="K27" i="18"/>
  <c r="G28" i="20"/>
  <c r="H28" i="20" s="1"/>
  <c r="G20" i="20"/>
  <c r="J20" i="20"/>
  <c r="L20" i="20" s="1"/>
  <c r="K24" i="20"/>
  <c r="J20" i="12"/>
  <c r="G20" i="12"/>
  <c r="H20" i="12" s="1"/>
  <c r="G27" i="10"/>
  <c r="H27" i="10" s="1"/>
  <c r="K27" i="10"/>
  <c r="J24" i="7"/>
  <c r="J22" i="10"/>
  <c r="G32" i="21"/>
  <c r="H32" i="21" s="1"/>
  <c r="G25" i="7"/>
  <c r="H25" i="7" s="1"/>
  <c r="K25" i="7"/>
  <c r="K33" i="10"/>
  <c r="J36" i="10"/>
  <c r="G29" i="4"/>
  <c r="H29" i="4" s="1"/>
  <c r="G30" i="12"/>
  <c r="H30" i="12" s="1"/>
  <c r="G29" i="12"/>
  <c r="H29" i="12" s="1"/>
  <c r="J29" i="12"/>
  <c r="K21" i="2"/>
  <c r="K27" i="4"/>
  <c r="J27" i="4"/>
  <c r="K30" i="21"/>
  <c r="G31" i="18"/>
  <c r="H31" i="18" s="1"/>
  <c r="G27" i="7"/>
  <c r="H27" i="7" s="1"/>
  <c r="G29" i="10"/>
  <c r="H29" i="10" s="1"/>
  <c r="J20" i="5"/>
  <c r="J22" i="20"/>
  <c r="J31" i="11"/>
  <c r="G31" i="19"/>
  <c r="H31" i="19" s="1"/>
  <c r="G22" i="19"/>
  <c r="H22" i="19" s="1"/>
  <c r="G25" i="19"/>
  <c r="H25" i="19" s="1"/>
  <c r="J23" i="19"/>
  <c r="G28" i="10"/>
  <c r="H28" i="10" s="1"/>
  <c r="J26" i="7"/>
  <c r="G25" i="2"/>
  <c r="H25" i="2" s="1"/>
  <c r="J31" i="13"/>
  <c r="J21" i="12"/>
  <c r="J23" i="11"/>
  <c r="K30" i="19"/>
  <c r="K23" i="1"/>
  <c r="K25" i="1"/>
  <c r="J22" i="1"/>
  <c r="K29" i="19"/>
  <c r="J24" i="19"/>
  <c r="J22" i="19"/>
  <c r="K28" i="4"/>
  <c r="K26" i="4"/>
  <c r="K24" i="4"/>
  <c r="J21" i="4"/>
  <c r="G32" i="10"/>
  <c r="H32" i="10" s="1"/>
  <c r="J31" i="7"/>
  <c r="J29" i="21"/>
  <c r="J24" i="21"/>
  <c r="J28" i="18"/>
  <c r="K32" i="18"/>
  <c r="K28" i="18"/>
  <c r="G25" i="18"/>
  <c r="H25" i="18" s="1"/>
  <c r="K21" i="7"/>
  <c r="J31" i="6"/>
  <c r="J21" i="13"/>
  <c r="K21" i="13"/>
  <c r="J22" i="11"/>
  <c r="G22" i="11"/>
  <c r="H22" i="11" s="1"/>
  <c r="J23" i="18"/>
  <c r="K20" i="10"/>
  <c r="G23" i="19"/>
  <c r="H23" i="19" s="1"/>
  <c r="G29" i="21"/>
  <c r="H29" i="21" s="1"/>
  <c r="J24" i="4"/>
  <c r="J29" i="13"/>
  <c r="J26" i="13"/>
  <c r="J24" i="13"/>
  <c r="G31" i="6"/>
  <c r="H31" i="6" s="1"/>
  <c r="J23" i="12"/>
  <c r="K23" i="12"/>
  <c r="K21" i="4"/>
  <c r="G27" i="1"/>
  <c r="K27" i="1"/>
  <c r="G26" i="19"/>
  <c r="H26" i="19" s="1"/>
  <c r="J28" i="4"/>
  <c r="G28" i="4"/>
  <c r="H28" i="4" s="1"/>
  <c r="G26" i="4"/>
  <c r="H26" i="4" s="1"/>
  <c r="J26" i="4"/>
  <c r="K33" i="21"/>
  <c r="G23" i="18"/>
  <c r="H23" i="18" s="1"/>
  <c r="K28" i="7"/>
  <c r="J30" i="6"/>
  <c r="J27" i="6"/>
  <c r="G27" i="6"/>
  <c r="H27" i="6" s="1"/>
  <c r="J23" i="10"/>
  <c r="G29" i="13"/>
  <c r="H29" i="13" s="1"/>
  <c r="K22" i="1"/>
  <c r="G30" i="6"/>
  <c r="H30" i="6" s="1"/>
  <c r="J21" i="5"/>
  <c r="J28" i="6"/>
  <c r="K24" i="18"/>
  <c r="K25" i="2"/>
  <c r="G23" i="11"/>
  <c r="H23" i="11" s="1"/>
  <c r="K23" i="18"/>
  <c r="J30" i="13"/>
  <c r="J26" i="20"/>
  <c r="J22" i="12"/>
  <c r="J20" i="11"/>
  <c r="J25" i="11"/>
  <c r="J20" i="6"/>
  <c r="J25" i="6"/>
  <c r="G25" i="6"/>
  <c r="H25" i="6" s="1"/>
  <c r="K29" i="1"/>
  <c r="J29" i="1"/>
  <c r="J27" i="1"/>
  <c r="J25" i="1"/>
  <c r="J31" i="19"/>
  <c r="J29" i="19"/>
  <c r="J26" i="19"/>
  <c r="L26" i="19" s="1"/>
  <c r="J21" i="21"/>
  <c r="K25" i="21"/>
  <c r="G30" i="18"/>
  <c r="H30" i="18" s="1"/>
  <c r="K34" i="21"/>
  <c r="G28" i="18"/>
  <c r="H28" i="18" s="1"/>
  <c r="G30" i="19"/>
  <c r="H30" i="19" s="1"/>
  <c r="J31" i="5"/>
  <c r="J24" i="11"/>
  <c r="J21" i="6"/>
  <c r="J26" i="5"/>
  <c r="G23" i="13"/>
  <c r="H23" i="13" s="1"/>
  <c r="K25" i="4"/>
  <c r="G30" i="4"/>
  <c r="H30" i="4" s="1"/>
  <c r="J25" i="2"/>
  <c r="G33" i="21"/>
  <c r="H33" i="21" s="1"/>
  <c r="K27" i="11"/>
  <c r="G31" i="13"/>
  <c r="H31" i="13" s="1"/>
  <c r="J31" i="20"/>
  <c r="G25" i="1"/>
  <c r="J27" i="20"/>
  <c r="G27" i="20"/>
  <c r="H27" i="20" s="1"/>
  <c r="K31" i="18"/>
  <c r="G24" i="6"/>
  <c r="H24" i="6" s="1"/>
  <c r="J24" i="6"/>
  <c r="K29" i="2"/>
  <c r="G29" i="2"/>
  <c r="H29" i="2" s="1"/>
  <c r="G21" i="2"/>
  <c r="H21" i="2" s="1"/>
  <c r="J21" i="2"/>
  <c r="G27" i="21"/>
  <c r="H27" i="21" s="1"/>
  <c r="G24" i="21"/>
  <c r="H24" i="21" s="1"/>
  <c r="G33" i="18"/>
  <c r="H33" i="18" s="1"/>
  <c r="K33" i="18"/>
  <c r="J24" i="12"/>
  <c r="G24" i="12"/>
  <c r="H24" i="12" s="1"/>
  <c r="G29" i="19"/>
  <c r="H29" i="19" s="1"/>
  <c r="K30" i="1"/>
  <c r="G30" i="1"/>
  <c r="J22" i="4"/>
  <c r="G29" i="18"/>
  <c r="H29" i="18" s="1"/>
  <c r="G25" i="4" l="1"/>
  <c r="H25" i="4" s="1"/>
  <c r="E28" i="12"/>
  <c r="I26" i="11"/>
  <c r="F26" i="11"/>
  <c r="E26" i="11"/>
  <c r="J26" i="11" s="1"/>
  <c r="F28" i="12"/>
  <c r="L25" i="20"/>
  <c r="G31" i="10"/>
  <c r="H31" i="10" s="1"/>
  <c r="L27" i="5"/>
  <c r="L31" i="13"/>
  <c r="L31" i="4"/>
  <c r="L22" i="19"/>
  <c r="L34" i="18"/>
  <c r="L21" i="21"/>
  <c r="L25" i="18"/>
  <c r="G29" i="20"/>
  <c r="H29" i="20" s="1"/>
  <c r="L20" i="12"/>
  <c r="L20" i="5"/>
  <c r="L22" i="13"/>
  <c r="J21" i="18"/>
  <c r="K20" i="21"/>
  <c r="L24" i="19"/>
  <c r="L27" i="2"/>
  <c r="L32" i="18"/>
  <c r="L28" i="20"/>
  <c r="J21" i="10"/>
  <c r="J23" i="4"/>
  <c r="L36" i="10"/>
  <c r="J20" i="21"/>
  <c r="G24" i="2"/>
  <c r="H24" i="2" s="1"/>
  <c r="L21" i="11"/>
  <c r="L24" i="20"/>
  <c r="G23" i="4"/>
  <c r="H23" i="4" s="1"/>
  <c r="L26" i="10"/>
  <c r="L30" i="6"/>
  <c r="L30" i="2"/>
  <c r="L29" i="4"/>
  <c r="F22" i="6"/>
  <c r="E22" i="6"/>
  <c r="E24" i="5"/>
  <c r="F24" i="5"/>
  <c r="L31" i="10"/>
  <c r="E20" i="1"/>
  <c r="F20" i="1"/>
  <c r="L23" i="10"/>
  <c r="L31" i="11"/>
  <c r="K23" i="4"/>
  <c r="L30" i="12"/>
  <c r="J24" i="1"/>
  <c r="L33" i="21"/>
  <c r="J23" i="6"/>
  <c r="L30" i="7"/>
  <c r="L34" i="21"/>
  <c r="L27" i="6"/>
  <c r="L27" i="10"/>
  <c r="J23" i="5"/>
  <c r="L29" i="6"/>
  <c r="L37" i="10"/>
  <c r="L25" i="6"/>
  <c r="L26" i="18"/>
  <c r="L23" i="20"/>
  <c r="L29" i="7"/>
  <c r="L20" i="7"/>
  <c r="K21" i="19"/>
  <c r="L21" i="19" s="1"/>
  <c r="K24" i="2"/>
  <c r="L24" i="2" s="1"/>
  <c r="G21" i="10"/>
  <c r="H21" i="10" s="1"/>
  <c r="L30" i="13"/>
  <c r="L24" i="18"/>
  <c r="L20" i="11"/>
  <c r="L22" i="20"/>
  <c r="L20" i="13"/>
  <c r="L22" i="10"/>
  <c r="L20" i="18"/>
  <c r="L20" i="10"/>
  <c r="L25" i="5"/>
  <c r="L21" i="6"/>
  <c r="L31" i="5"/>
  <c r="L28" i="6"/>
  <c r="L25" i="4"/>
  <c r="L22" i="12"/>
  <c r="L30" i="11"/>
  <c r="L21" i="20"/>
  <c r="L23" i="13"/>
  <c r="K28" i="21"/>
  <c r="L31" i="6"/>
  <c r="L28" i="19"/>
  <c r="K21" i="10"/>
  <c r="L24" i="7"/>
  <c r="L25" i="12"/>
  <c r="G28" i="21"/>
  <c r="H28" i="21" s="1"/>
  <c r="G23" i="7"/>
  <c r="H23" i="7" s="1"/>
  <c r="L25" i="10"/>
  <c r="L24" i="10"/>
  <c r="L35" i="10"/>
  <c r="L32" i="21"/>
  <c r="L21" i="4"/>
  <c r="L27" i="18"/>
  <c r="L30" i="18"/>
  <c r="L22" i="21"/>
  <c r="L28" i="2"/>
  <c r="L20" i="2"/>
  <c r="L21" i="7"/>
  <c r="L31" i="7"/>
  <c r="G22" i="18"/>
  <c r="H22" i="18" s="1"/>
  <c r="L32" i="10"/>
  <c r="L30" i="21"/>
  <c r="L23" i="21"/>
  <c r="L22" i="11"/>
  <c r="L29" i="18"/>
  <c r="L27" i="21"/>
  <c r="L31" i="18"/>
  <c r="L27" i="19"/>
  <c r="G28" i="12"/>
  <c r="H28" i="12" s="1"/>
  <c r="L22" i="4"/>
  <c r="L28" i="18"/>
  <c r="L23" i="19"/>
  <c r="L22" i="5"/>
  <c r="L29" i="10"/>
  <c r="L25" i="7"/>
  <c r="L31" i="21"/>
  <c r="L29" i="11"/>
  <c r="L22" i="2"/>
  <c r="L29" i="2"/>
  <c r="L25" i="21"/>
  <c r="L31" i="19"/>
  <c r="L26" i="20"/>
  <c r="L28" i="7"/>
  <c r="L26" i="13"/>
  <c r="L23" i="11"/>
  <c r="L29" i="12"/>
  <c r="L30" i="5"/>
  <c r="K28" i="12"/>
  <c r="L26" i="2"/>
  <c r="G21" i="19"/>
  <c r="H21" i="19" s="1"/>
  <c r="L27" i="7"/>
  <c r="K23" i="6"/>
  <c r="L29" i="20"/>
  <c r="J28" i="11"/>
  <c r="K24" i="1"/>
  <c r="L30" i="19"/>
  <c r="L26" i="7"/>
  <c r="L25" i="19"/>
  <c r="L29" i="13"/>
  <c r="L33" i="10"/>
  <c r="L28" i="10"/>
  <c r="L27" i="12"/>
  <c r="L23" i="2"/>
  <c r="J23" i="7"/>
  <c r="L31" i="2"/>
  <c r="G30" i="20"/>
  <c r="H30" i="20" s="1"/>
  <c r="L27" i="11"/>
  <c r="L24" i="11"/>
  <c r="L20" i="6"/>
  <c r="K28" i="11"/>
  <c r="L27" i="13"/>
  <c r="J28" i="12"/>
  <c r="L33" i="18"/>
  <c r="L25" i="11"/>
  <c r="K30" i="10"/>
  <c r="L30" i="10" s="1"/>
  <c r="L28" i="4"/>
  <c r="L24" i="21"/>
  <c r="G24" i="1"/>
  <c r="L22" i="7"/>
  <c r="L31" i="12"/>
  <c r="G23" i="6"/>
  <c r="H23" i="6" s="1"/>
  <c r="L27" i="20"/>
  <c r="L31" i="20"/>
  <c r="L26" i="5"/>
  <c r="L21" i="5"/>
  <c r="L29" i="21"/>
  <c r="L29" i="5"/>
  <c r="L20" i="4"/>
  <c r="L26" i="12"/>
  <c r="L30" i="4"/>
  <c r="K23" i="7"/>
  <c r="L23" i="12"/>
  <c r="L21" i="12"/>
  <c r="J28" i="13"/>
  <c r="G28" i="13"/>
  <c r="H28" i="13" s="1"/>
  <c r="K28" i="13"/>
  <c r="J30" i="20"/>
  <c r="L28" i="5"/>
  <c r="K22" i="18"/>
  <c r="L22" i="18" s="1"/>
  <c r="L24" i="12"/>
  <c r="L24" i="6"/>
  <c r="L24" i="13"/>
  <c r="L24" i="4"/>
  <c r="L26" i="21"/>
  <c r="G23" i="5"/>
  <c r="H23" i="5" s="1"/>
  <c r="K23" i="5"/>
  <c r="K30" i="20"/>
  <c r="L27" i="4"/>
  <c r="L25" i="13"/>
  <c r="L29" i="19"/>
  <c r="L21" i="2"/>
  <c r="L26" i="4"/>
  <c r="L21" i="13"/>
  <c r="L25" i="2"/>
  <c r="L23" i="18"/>
  <c r="G26" i="11" l="1"/>
  <c r="H26" i="11" s="1"/>
  <c r="K26" i="11"/>
  <c r="L26" i="11" s="1"/>
  <c r="L20" i="21"/>
  <c r="L23" i="5"/>
  <c r="G21" i="18"/>
  <c r="H21" i="18" s="1"/>
  <c r="K21" i="18"/>
  <c r="L21" i="18" s="1"/>
  <c r="L23" i="4"/>
  <c r="L21" i="10"/>
  <c r="L23" i="6"/>
  <c r="J22" i="6"/>
  <c r="J24" i="5"/>
  <c r="K20" i="1"/>
  <c r="G20" i="1"/>
  <c r="G34" i="10"/>
  <c r="H34" i="10" s="1"/>
  <c r="K34" i="10"/>
  <c r="J34" i="10"/>
  <c r="G22" i="6"/>
  <c r="H22" i="6" s="1"/>
  <c r="K22" i="6"/>
  <c r="H20" i="1"/>
  <c r="J20" i="1"/>
  <c r="L20" i="1" s="1"/>
  <c r="G24" i="5"/>
  <c r="H24" i="5" s="1"/>
  <c r="K24" i="5"/>
  <c r="L23" i="7"/>
  <c r="J28" i="21"/>
  <c r="L28" i="21" s="1"/>
  <c r="L28" i="12"/>
  <c r="L28" i="11"/>
  <c r="L30" i="20"/>
  <c r="L28" i="13"/>
  <c r="L24" i="5" l="1"/>
  <c r="L22" i="6"/>
  <c r="L34" i="10"/>
</calcChain>
</file>

<file path=xl/sharedStrings.xml><?xml version="1.0" encoding="utf-8"?>
<sst xmlns="http://schemas.openxmlformats.org/spreadsheetml/2006/main" count="1005" uniqueCount="159">
  <si>
    <t>COLUMBIA GAS OF KENTUCKY, INC.</t>
  </si>
  <si>
    <t>TYPICAL BILL COMPARISON</t>
  </si>
  <si>
    <t>Work Paper Reference No(s):</t>
  </si>
  <si>
    <t>Schedule N</t>
  </si>
  <si>
    <t>Line</t>
  </si>
  <si>
    <t>No.</t>
  </si>
  <si>
    <t>Rate</t>
  </si>
  <si>
    <t>Code</t>
  </si>
  <si>
    <t>Level of</t>
  </si>
  <si>
    <t>Demand</t>
  </si>
  <si>
    <t>Use</t>
  </si>
  <si>
    <t>(A)</t>
  </si>
  <si>
    <t>(MCF)</t>
  </si>
  <si>
    <t>(B)</t>
  </si>
  <si>
    <t>Current</t>
  </si>
  <si>
    <t>Bill</t>
  </si>
  <si>
    <t>($)</t>
  </si>
  <si>
    <t>(C)</t>
  </si>
  <si>
    <t>Proposed</t>
  </si>
  <si>
    <t>(D)</t>
  </si>
  <si>
    <t>Increase</t>
  </si>
  <si>
    <t>(D - C)</t>
  </si>
  <si>
    <t>(E)</t>
  </si>
  <si>
    <t>(E/C)</t>
  </si>
  <si>
    <t>(%)</t>
  </si>
  <si>
    <t>(F)</t>
  </si>
  <si>
    <t>Gas</t>
  </si>
  <si>
    <t>Cost</t>
  </si>
  <si>
    <t>(G)</t>
  </si>
  <si>
    <t>Total</t>
  </si>
  <si>
    <t>(H)</t>
  </si>
  <si>
    <t>(I)</t>
  </si>
  <si>
    <t>(J)</t>
  </si>
  <si>
    <t>Percent</t>
  </si>
  <si>
    <t>(C + G)</t>
  </si>
  <si>
    <t>(D + G)</t>
  </si>
  <si>
    <t>(I - H) / H</t>
  </si>
  <si>
    <t>Residential</t>
  </si>
  <si>
    <t>Not</t>
  </si>
  <si>
    <t>Applicable</t>
  </si>
  <si>
    <t>EFFECT OF PROPOSED SALES SERVICE RATES</t>
  </si>
  <si>
    <t>GSR</t>
  </si>
  <si>
    <t>General</t>
  </si>
  <si>
    <t>Service</t>
  </si>
  <si>
    <t>G1C</t>
  </si>
  <si>
    <t>G1R</t>
  </si>
  <si>
    <t>IN3</t>
  </si>
  <si>
    <t>IN4</t>
  </si>
  <si>
    <t>IN5</t>
  </si>
  <si>
    <t>LG2</t>
  </si>
  <si>
    <t>LG3</t>
  </si>
  <si>
    <t>LG4</t>
  </si>
  <si>
    <t>GSO</t>
  </si>
  <si>
    <t>IUS</t>
  </si>
  <si>
    <t>LG&amp;E</t>
  </si>
  <si>
    <t>Commercial</t>
  </si>
  <si>
    <t>Inland</t>
  </si>
  <si>
    <t>Commercial &amp;</t>
  </si>
  <si>
    <t>Industrial</t>
  </si>
  <si>
    <t>Intrastate</t>
  </si>
  <si>
    <t>Utility</t>
  </si>
  <si>
    <t>Wholesale</t>
  </si>
  <si>
    <t>Company:</t>
  </si>
  <si>
    <t>Columbia Gas of Kentucky, Inc.</t>
  </si>
  <si>
    <t>Project:</t>
  </si>
  <si>
    <t>Written By:</t>
  </si>
  <si>
    <t>Date Written:</t>
  </si>
  <si>
    <t xml:space="preserve">Revisions By: </t>
  </si>
  <si>
    <t>Language:</t>
  </si>
  <si>
    <t>MS EXCEL ver. 8.0</t>
  </si>
  <si>
    <t>File Name:</t>
  </si>
  <si>
    <t>Synopsis:</t>
  </si>
  <si>
    <t>and text are shown in black.  Instructions are highlighted in yellow.</t>
  </si>
  <si>
    <t xml:space="preserve">Case No. </t>
  </si>
  <si>
    <t>Witness:</t>
  </si>
  <si>
    <t>Input area:</t>
  </si>
  <si>
    <t>Current Rates</t>
  </si>
  <si>
    <t>Proposed Rates</t>
  </si>
  <si>
    <t>Rate Code</t>
  </si>
  <si>
    <t>Rate Schedule Name</t>
  </si>
  <si>
    <t>First Block</t>
  </si>
  <si>
    <t>Second Block</t>
  </si>
  <si>
    <t>Third Block</t>
  </si>
  <si>
    <t>Fourth Block</t>
  </si>
  <si>
    <t>Fifth Block</t>
  </si>
  <si>
    <t>Cust Chg.</t>
  </si>
  <si>
    <t>General Service - Residential</t>
  </si>
  <si>
    <t>LG&amp;E Commercial</t>
  </si>
  <si>
    <t>LG&amp;E Residential</t>
  </si>
  <si>
    <t>Inland Gas General Service - Residential</t>
  </si>
  <si>
    <t>Inland Gas General Service - Commercial</t>
  </si>
  <si>
    <t xml:space="preserve">LG&amp;E Residential </t>
  </si>
  <si>
    <t>General Service - Commercial</t>
  </si>
  <si>
    <t>General Service - Industrial</t>
  </si>
  <si>
    <t>Intrastate Utility Service - Wholesale</t>
  </si>
  <si>
    <t>Bill Comparison</t>
  </si>
  <si>
    <t>P. A. Strauss</t>
  </si>
  <si>
    <t>28 February 2002</t>
  </si>
  <si>
    <t>Test Year</t>
  </si>
  <si>
    <t>Average</t>
  </si>
  <si>
    <t>(Commercial)</t>
  </si>
  <si>
    <t>(Industrial)</t>
  </si>
  <si>
    <t xml:space="preserve">Average monthly bill = </t>
  </si>
  <si>
    <t>Bills</t>
  </si>
  <si>
    <t>x:\Cky\Ratecase - 2007\Revenue\Schedule_N_Sales_Service.xls</t>
  </si>
  <si>
    <t>M. P. Balmert</t>
  </si>
  <si>
    <t>Date Revised:</t>
  </si>
  <si>
    <t>13 January 2007</t>
  </si>
  <si>
    <t>Test year:</t>
  </si>
  <si>
    <t>MCF</t>
  </si>
  <si>
    <t xml:space="preserve">Residential </t>
  </si>
  <si>
    <t>Note:  Total Current Bill does not include Gas Cost because Inland is not currently billed for Gas Cost.</t>
  </si>
  <si>
    <t>Note:  LG&amp;E are not billed Gas Cost.</t>
  </si>
  <si>
    <t>Data: __ Base Period _X_ Forecasted Period</t>
  </si>
  <si>
    <t>Data: __Base Period _X_ Forecasted Period</t>
  </si>
  <si>
    <t>EAP (28)</t>
  </si>
  <si>
    <t>R&amp;D (10)</t>
  </si>
  <si>
    <t>EGC (32)</t>
  </si>
  <si>
    <t>Uncoll</t>
  </si>
  <si>
    <t>AMRP</t>
  </si>
  <si>
    <t>EECP</t>
  </si>
  <si>
    <t>IS</t>
  </si>
  <si>
    <t>Interruptible Service - Industrial</t>
  </si>
  <si>
    <t>Interruptible</t>
  </si>
  <si>
    <t>Page 1 of 25</t>
  </si>
  <si>
    <t>Page 2 of 25</t>
  </si>
  <si>
    <t>Page 3 of 25</t>
  </si>
  <si>
    <t>Page 4 of 25</t>
  </si>
  <si>
    <t>Page 5 of 25</t>
  </si>
  <si>
    <t>Page 6 of 25</t>
  </si>
  <si>
    <t>Page 7 of 25</t>
  </si>
  <si>
    <t>Page 8 of 25</t>
  </si>
  <si>
    <t>Page 9 of 25</t>
  </si>
  <si>
    <t>Page 10 of 25</t>
  </si>
  <si>
    <t>Page 11 of 25</t>
  </si>
  <si>
    <t>Page 12 of 25</t>
  </si>
  <si>
    <t>Page 13 of 25</t>
  </si>
  <si>
    <t>Page 14 of 25</t>
  </si>
  <si>
    <t xml:space="preserve">Data entry areas are shown in the color blue.  Calculations </t>
  </si>
  <si>
    <t>X:\ERATE\CKY\RATECASE\1994\SCHC\INDEX.WK1</t>
  </si>
  <si>
    <t>BASE PERIOD :</t>
  </si>
  <si>
    <t>FORECASTED PERIOD:</t>
  </si>
  <si>
    <t>SCHEDULE</t>
  </si>
  <si>
    <t>DESCRIPTION</t>
  </si>
  <si>
    <t>SCHEDULE  N</t>
  </si>
  <si>
    <t>TYPICAL BILL COMPARISON UNDER PRESENT AND PROPOSED RATES</t>
  </si>
  <si>
    <t>N</t>
  </si>
  <si>
    <t>FOR ALL CUSTOMER CLASSES</t>
  </si>
  <si>
    <t>Excl. Finals</t>
  </si>
  <si>
    <t>Admin chg</t>
  </si>
  <si>
    <t>Tax Act Adj 11/27/19</t>
  </si>
  <si>
    <t>Witness: JUDITH L. SIEGLER</t>
  </si>
  <si>
    <t>TWELVE MONTHS ENDING DECEMBER 31, 2022</t>
  </si>
  <si>
    <t>CASE NO. 2021-00183</t>
  </si>
  <si>
    <t>Note: There are no customers currently on this rate.</t>
  </si>
  <si>
    <t>FOR THE TWELVE MONTHS ENDED AUGUST 31, 2021</t>
  </si>
  <si>
    <t>FOR THE TWELVE MONTHS ENDED DECEMBER 31, 2022</t>
  </si>
  <si>
    <t>Placeholder</t>
  </si>
  <si>
    <t>Type of Filing: __ Original __ Update _X_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</si>
</sst>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#,##0.0000"/>
    <numFmt numFmtId="165" formatCode="#,##0.0_);\(#,##0.0\)"/>
    <numFmt numFmtId="166" formatCode="&quot;$&quot;#,##0.00"/>
    <numFmt numFmtId="167" formatCode="#,##0.0000_);\(#,##0.0000\)"/>
    <numFmt numFmtId="168" formatCode="0.0"/>
    <numFmt numFmtId="169" formatCode="0.0%"/>
    <numFmt numFmtId="170" formatCode="#,##0.0000;[Red]#,##0.0000"/>
    <numFmt numFmtId="171" formatCode=";;;"/>
    <numFmt numFmtId="172" formatCode="_(* #,##0.0_);_(* \(#,##0.0\);_(* &quot;-&quot;??_);_(@_)"/>
  </numFmts>
  <fonts count="23" x14ac:knownFonts="1">
    <font>
      <sz val="11"/>
      <name val="Helv"/>
    </font>
    <font>
      <sz val="10"/>
      <name val="Arial"/>
      <family val="2"/>
    </font>
    <font>
      <b/>
      <sz val="12"/>
      <color indexed="20"/>
      <name val="Tms Rmn"/>
    </font>
    <font>
      <b/>
      <sz val="12"/>
      <name val="Helv"/>
    </font>
    <font>
      <b/>
      <sz val="11"/>
      <name val="Helv"/>
    </font>
    <font>
      <sz val="10"/>
      <color indexed="20"/>
      <name val="Helv"/>
    </font>
    <font>
      <sz val="10"/>
      <name val="Helv"/>
    </font>
    <font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12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  <font>
      <b/>
      <u/>
      <sz val="10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 applyFill="0" applyBorder="0" applyAlignment="0"/>
    <xf numFmtId="43" fontId="1" fillId="0" borderId="0" applyFont="0" applyFill="0" applyBorder="0" applyAlignment="0" applyProtection="0"/>
    <xf numFmtId="0" fontId="6" fillId="0" borderId="0" applyNumberFormat="0" applyFill="0" applyBorder="0" applyAlignment="0"/>
    <xf numFmtId="0" fontId="4" fillId="0" borderId="0" applyFill="0" applyBorder="0" applyAlignment="0"/>
    <xf numFmtId="0" fontId="2" fillId="0" borderId="0" applyNumberFormat="0"/>
    <xf numFmtId="0" fontId="3" fillId="0" borderId="0" applyFill="0" applyBorder="0" applyAlignment="0"/>
    <xf numFmtId="0" fontId="7" fillId="0" borderId="0"/>
    <xf numFmtId="0" fontId="5" fillId="0" borderId="0" applyNumberFormat="0" applyFill="0" applyBorder="0" applyAlignment="0"/>
  </cellStyleXfs>
  <cellXfs count="121">
    <xf numFmtId="0" fontId="0" fillId="0" borderId="0" xfId="0"/>
    <xf numFmtId="0" fontId="8" fillId="0" borderId="0" xfId="0" applyFont="1"/>
    <xf numFmtId="0" fontId="9" fillId="0" borderId="0" xfId="0" applyFont="1" applyFill="1" applyAlignment="1"/>
    <xf numFmtId="0" fontId="8" fillId="0" borderId="0" xfId="0" applyFont="1" applyFill="1"/>
    <xf numFmtId="0" fontId="8" fillId="0" borderId="0" xfId="0" quotePrefix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quotePrefix="1" applyFont="1" applyFill="1" applyAlignment="1">
      <alignment horizontal="center"/>
    </xf>
    <xf numFmtId="166" fontId="8" fillId="0" borderId="0" xfId="0" applyNumberFormat="1" applyFont="1" applyFill="1" applyAlignment="1">
      <alignment horizontal="right"/>
    </xf>
    <xf numFmtId="16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quotePrefix="1" applyFont="1" applyFill="1"/>
    <xf numFmtId="169" fontId="8" fillId="0" borderId="0" xfId="0" applyNumberFormat="1" applyFont="1" applyFill="1" applyAlignment="1">
      <alignment horizontal="center"/>
    </xf>
    <xf numFmtId="169" fontId="8" fillId="0" borderId="0" xfId="0" applyNumberFormat="1" applyFont="1" applyAlignment="1">
      <alignment horizontal="center"/>
    </xf>
    <xf numFmtId="0" fontId="8" fillId="0" borderId="0" xfId="0" quotePrefix="1" applyFont="1"/>
    <xf numFmtId="166" fontId="8" fillId="0" borderId="0" xfId="0" applyNumberFormat="1" applyFont="1" applyFill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2" fontId="8" fillId="0" borderId="0" xfId="0" applyNumberFormat="1" applyFont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/>
    <xf numFmtId="0" fontId="11" fillId="0" borderId="0" xfId="7" applyFont="1"/>
    <xf numFmtId="0" fontId="10" fillId="4" borderId="0" xfId="7" applyFont="1" applyFill="1"/>
    <xf numFmtId="15" fontId="10" fillId="4" borderId="0" xfId="7" quotePrefix="1" applyNumberFormat="1" applyFont="1" applyFill="1"/>
    <xf numFmtId="0" fontId="12" fillId="0" borderId="0" xfId="0" applyFont="1"/>
    <xf numFmtId="0" fontId="18" fillId="4" borderId="0" xfId="7" applyFont="1" applyFill="1"/>
    <xf numFmtId="0" fontId="18" fillId="4" borderId="0" xfId="0" applyFont="1" applyFill="1"/>
    <xf numFmtId="0" fontId="13" fillId="0" borderId="0" xfId="7" applyFont="1"/>
    <xf numFmtId="0" fontId="11" fillId="2" borderId="0" xfId="0" applyFont="1" applyFill="1"/>
    <xf numFmtId="0" fontId="13" fillId="2" borderId="0" xfId="7" applyFont="1" applyFill="1"/>
    <xf numFmtId="0" fontId="12" fillId="0" borderId="0" xfId="3" applyFont="1" applyFill="1"/>
    <xf numFmtId="0" fontId="14" fillId="0" borderId="0" xfId="7" applyFont="1" applyFill="1"/>
    <xf numFmtId="0" fontId="14" fillId="0" borderId="0" xfId="7" applyFont="1"/>
    <xf numFmtId="15" fontId="14" fillId="0" borderId="0" xfId="7" applyNumberFormat="1" applyFont="1" applyFill="1"/>
    <xf numFmtId="0" fontId="11" fillId="3" borderId="0" xfId="0" applyFont="1" applyFill="1"/>
    <xf numFmtId="0" fontId="12" fillId="0" borderId="0" xfId="3" applyFont="1" applyFill="1" applyAlignment="1">
      <alignment horizontal="center"/>
    </xf>
    <xf numFmtId="0" fontId="15" fillId="0" borderId="0" xfId="3" applyFont="1" applyFill="1" applyAlignment="1">
      <alignment horizontal="center"/>
    </xf>
    <xf numFmtId="0" fontId="15" fillId="0" borderId="0" xfId="3" applyFont="1" applyAlignment="1">
      <alignment horizontal="center"/>
    </xf>
    <xf numFmtId="0" fontId="10" fillId="0" borderId="0" xfId="7" applyFont="1"/>
    <xf numFmtId="164" fontId="10" fillId="0" borderId="0" xfId="7" applyNumberFormat="1" applyFont="1" applyFill="1"/>
    <xf numFmtId="39" fontId="10" fillId="0" borderId="0" xfId="7" applyNumberFormat="1" applyFont="1" applyFill="1"/>
    <xf numFmtId="167" fontId="10" fillId="0" borderId="0" xfId="7" applyNumberFormat="1" applyFont="1" applyFill="1"/>
    <xf numFmtId="0" fontId="13" fillId="0" borderId="0" xfId="7" applyFont="1" applyFill="1"/>
    <xf numFmtId="39" fontId="13" fillId="0" borderId="0" xfId="7" applyNumberFormat="1" applyFont="1" applyFill="1"/>
    <xf numFmtId="170" fontId="11" fillId="0" borderId="0" xfId="0" applyNumberFormat="1" applyFont="1" applyFill="1"/>
    <xf numFmtId="39" fontId="11" fillId="0" borderId="0" xfId="0" applyNumberFormat="1" applyFont="1" applyFill="1"/>
    <xf numFmtId="37" fontId="11" fillId="0" borderId="0" xfId="0" applyNumberFormat="1" applyFont="1" applyProtection="1"/>
    <xf numFmtId="0" fontId="11" fillId="0" borderId="0" xfId="0" applyFont="1" applyAlignment="1">
      <alignment horizontal="right"/>
    </xf>
    <xf numFmtId="170" fontId="11" fillId="0" borderId="0" xfId="0" applyNumberFormat="1" applyFont="1"/>
    <xf numFmtId="39" fontId="11" fillId="0" borderId="0" xfId="0" applyNumberFormat="1" applyFont="1"/>
    <xf numFmtId="0" fontId="14" fillId="0" borderId="0" xfId="7" quotePrefix="1" applyFont="1" applyFill="1"/>
    <xf numFmtId="171" fontId="16" fillId="0" borderId="0" xfId="6" applyNumberFormat="1" applyFont="1" applyAlignment="1" applyProtection="1">
      <alignment horizontal="left"/>
    </xf>
    <xf numFmtId="0" fontId="16" fillId="0" borderId="0" xfId="6" applyFont="1"/>
    <xf numFmtId="0" fontId="7" fillId="0" borderId="0" xfId="6" applyFont="1"/>
    <xf numFmtId="0" fontId="16" fillId="0" borderId="0" xfId="6" applyFont="1" applyAlignment="1" applyProtection="1">
      <alignment horizontal="left"/>
    </xf>
    <xf numFmtId="0" fontId="17" fillId="0" borderId="0" xfId="6" applyFont="1" applyBorder="1" applyAlignment="1" applyProtection="1">
      <alignment horizontal="left"/>
    </xf>
    <xf numFmtId="0" fontId="17" fillId="0" borderId="0" xfId="6" applyFont="1" applyBorder="1"/>
    <xf numFmtId="0" fontId="7" fillId="0" borderId="0" xfId="6" applyFont="1" applyBorder="1"/>
    <xf numFmtId="0" fontId="16" fillId="0" borderId="0" xfId="6" applyFont="1" applyFill="1" applyAlignment="1" applyProtection="1">
      <alignment horizontal="left"/>
    </xf>
    <xf numFmtId="0" fontId="16" fillId="0" borderId="0" xfId="6" applyFont="1" applyFill="1"/>
    <xf numFmtId="0" fontId="17" fillId="0" borderId="0" xfId="6" applyFont="1" applyBorder="1" applyAlignment="1" applyProtection="1">
      <alignment horizontal="center"/>
    </xf>
    <xf numFmtId="39" fontId="11" fillId="0" borderId="0" xfId="2" applyNumberFormat="1" applyFont="1" applyAlignment="1">
      <alignment horizontal="right"/>
    </xf>
    <xf numFmtId="2" fontId="8" fillId="0" borderId="0" xfId="0" applyNumberFormat="1" applyFont="1" applyFill="1"/>
    <xf numFmtId="165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165" fontId="11" fillId="0" borderId="0" xfId="2" applyNumberFormat="1" applyFont="1" applyAlignment="1">
      <alignment horizontal="right"/>
    </xf>
    <xf numFmtId="168" fontId="8" fillId="0" borderId="0" xfId="0" applyNumberFormat="1" applyFont="1" applyFill="1" applyAlignment="1">
      <alignment horizontal="right"/>
    </xf>
    <xf numFmtId="165" fontId="8" fillId="0" borderId="0" xfId="0" applyNumberFormat="1" applyFont="1" applyAlignment="1">
      <alignment horizontal="center"/>
    </xf>
    <xf numFmtId="165" fontId="8" fillId="0" borderId="0" xfId="0" applyNumberFormat="1" applyFont="1"/>
    <xf numFmtId="165" fontId="8" fillId="0" borderId="0" xfId="0" applyNumberFormat="1" applyFont="1" applyFill="1"/>
    <xf numFmtId="172" fontId="8" fillId="0" borderId="0" xfId="1" applyNumberFormat="1" applyFont="1" applyFill="1" applyAlignment="1">
      <alignment horizontal="right"/>
    </xf>
    <xf numFmtId="0" fontId="1" fillId="0" borderId="0" xfId="6" applyFont="1" applyAlignment="1" applyProtection="1">
      <alignment horizontal="left"/>
    </xf>
    <xf numFmtId="170" fontId="19" fillId="0" borderId="0" xfId="2" applyNumberFormat="1" applyFont="1" applyFill="1"/>
    <xf numFmtId="164" fontId="19" fillId="0" borderId="0" xfId="7" applyNumberFormat="1" applyFont="1" applyFill="1"/>
    <xf numFmtId="0" fontId="19" fillId="0" borderId="0" xfId="7" applyFont="1" applyFill="1"/>
    <xf numFmtId="39" fontId="19" fillId="0" borderId="0" xfId="2" applyNumberFormat="1" applyFont="1" applyFill="1"/>
    <xf numFmtId="167" fontId="19" fillId="0" borderId="0" xfId="2" applyNumberFormat="1" applyFont="1" applyFill="1"/>
    <xf numFmtId="39" fontId="19" fillId="0" borderId="0" xfId="7" applyNumberFormat="1" applyFont="1" applyFill="1"/>
    <xf numFmtId="0" fontId="11" fillId="5" borderId="0" xfId="0" applyFont="1" applyFill="1"/>
    <xf numFmtId="0" fontId="12" fillId="5" borderId="0" xfId="0" applyFont="1" applyFill="1"/>
    <xf numFmtId="0" fontId="12" fillId="5" borderId="0" xfId="3" applyFont="1" applyFill="1" applyAlignment="1">
      <alignment horizontal="center"/>
    </xf>
    <xf numFmtId="0" fontId="15" fillId="5" borderId="0" xfId="3" applyFont="1" applyFill="1" applyAlignment="1">
      <alignment horizontal="center"/>
    </xf>
    <xf numFmtId="37" fontId="18" fillId="5" borderId="0" xfId="2" applyNumberFormat="1" applyFont="1" applyFill="1" applyAlignment="1">
      <alignment horizontal="right"/>
    </xf>
    <xf numFmtId="165" fontId="18" fillId="5" borderId="0" xfId="2" applyNumberFormat="1" applyFont="1" applyFill="1" applyAlignment="1">
      <alignment horizontal="right"/>
    </xf>
    <xf numFmtId="0" fontId="11" fillId="5" borderId="0" xfId="0" applyFont="1" applyFill="1" applyAlignment="1">
      <alignment horizontal="right"/>
    </xf>
    <xf numFmtId="0" fontId="20" fillId="0" borderId="0" xfId="0" applyFont="1" applyAlignment="1">
      <alignment horizontal="center"/>
    </xf>
    <xf numFmtId="167" fontId="21" fillId="0" borderId="0" xfId="0" applyNumberFormat="1" applyFont="1" applyFill="1"/>
    <xf numFmtId="167" fontId="21" fillId="0" borderId="0" xfId="0" applyNumberFormat="1" applyFont="1"/>
    <xf numFmtId="4" fontId="21" fillId="0" borderId="0" xfId="0" applyNumberFormat="1" applyFont="1" applyFill="1"/>
    <xf numFmtId="4" fontId="21" fillId="0" borderId="0" xfId="0" applyNumberFormat="1" applyFont="1"/>
    <xf numFmtId="164" fontId="21" fillId="0" borderId="0" xfId="0" applyNumberFormat="1" applyFont="1"/>
    <xf numFmtId="167" fontId="22" fillId="0" borderId="0" xfId="0" applyNumberFormat="1" applyFont="1"/>
    <xf numFmtId="167" fontId="22" fillId="0" borderId="0" xfId="0" applyNumberFormat="1" applyFont="1" applyFill="1"/>
    <xf numFmtId="164" fontId="21" fillId="0" borderId="0" xfId="0" applyNumberFormat="1" applyFont="1" applyFill="1"/>
    <xf numFmtId="167" fontId="1" fillId="0" borderId="0" xfId="0" applyNumberFormat="1" applyFont="1" applyFill="1"/>
    <xf numFmtId="4" fontId="1" fillId="0" borderId="0" xfId="0" applyNumberFormat="1" applyFont="1" applyFill="1"/>
    <xf numFmtId="164" fontId="1" fillId="0" borderId="0" xfId="0" applyNumberFormat="1" applyFont="1" applyFill="1"/>
    <xf numFmtId="167" fontId="10" fillId="5" borderId="0" xfId="7" applyNumberFormat="1" applyFont="1" applyFill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0" fontId="12" fillId="0" borderId="0" xfId="3" applyFont="1" applyFill="1" applyAlignment="1">
      <alignment horizontal="center"/>
    </xf>
    <xf numFmtId="0" fontId="16" fillId="0" borderId="0" xfId="6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15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15" fontId="8" fillId="0" borderId="0" xfId="0" applyNumberFormat="1" applyFont="1" applyFill="1" applyAlignment="1">
      <alignment horizontal="center"/>
    </xf>
  </cellXfs>
  <cellStyles count="8">
    <cellStyle name="Comma" xfId="1" builtinId="3"/>
    <cellStyle name="Helv 10" xfId="2"/>
    <cellStyle name="Helv 11 Bold" xfId="3"/>
    <cellStyle name="Helv 11 Purple" xfId="4"/>
    <cellStyle name="Helv 12 Bold" xfId="5"/>
    <cellStyle name="Normal" xfId="0" builtinId="0"/>
    <cellStyle name="Normal_Schedules A thru L Cost of Servive June 30, 2009" xfId="6"/>
    <cellStyle name="purple" xfId="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s%20TME%20Nov%202014\Schedule%20M%20-%20Revenue\Sch%20M%20-%20Revenue%20and%20Rate%20Design%20(Base%20Period)%20w%20Actual%20Rates%20TO%20BE%20FI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%20Case%20-%202013\Schedules\Schedule%20M%20-%20Revenue\Sch%20M%20-%20Revenue%20and%20Rate%20Design%20(Forecast%20Period)%20v9%200514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%20Case%20-%202009\Rate%20Case%20Schedules\Base\Schedule%20C%20-%20Operating%20Income\Operating%20Incom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D-2.1 Output"/>
      <sheetName val="Input"/>
      <sheetName val="A"/>
      <sheetName val="B"/>
      <sheetName val="C"/>
      <sheetName val="D - Do Not Use"/>
      <sheetName val="E pg 1 thru 4"/>
      <sheetName val="E pg 5 to 6"/>
      <sheetName val="E pg 7 to 8"/>
      <sheetName val="Sch M"/>
      <sheetName val="Sch M 2.1"/>
      <sheetName val="Sch M 2.2"/>
      <sheetName val="Sch M 2.3"/>
      <sheetName val="Sch M - Do Not Use"/>
      <sheetName val="MPB-6 Page 4"/>
      <sheetName val="MPB-6 Rate Design"/>
      <sheetName val="Macros"/>
    </sheetNames>
    <sheetDataSet>
      <sheetData sheetId="0" refreshError="1"/>
      <sheetData sheetId="1" refreshError="1">
        <row r="12">
          <cell r="B12" t="str">
            <v>Case No. 2013-</v>
          </cell>
        </row>
        <row r="14">
          <cell r="B14" t="str">
            <v>Witness: C. E. Notestone</v>
          </cell>
        </row>
        <row r="16">
          <cell r="C16">
            <v>4.3373999999999997</v>
          </cell>
        </row>
        <row r="17">
          <cell r="C17">
            <v>4.1236999999999995</v>
          </cell>
        </row>
        <row r="20">
          <cell r="C20" t="str">
            <v>February 28, 2013</v>
          </cell>
        </row>
      </sheetData>
      <sheetData sheetId="2" refreshError="1"/>
      <sheetData sheetId="3" refreshError="1">
        <row r="1">
          <cell r="A1" t="str">
            <v>Columbia Gas of Kentucky, Inc.</v>
          </cell>
        </row>
        <row r="3">
          <cell r="A3" t="str">
            <v>For the 12 Months Ended July 31, 2013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 to 3"/>
      <sheetName val="Sch M"/>
      <sheetName val="Sch M 2.1"/>
      <sheetName val="Sch M 2.2"/>
      <sheetName val="Sch M 2.3"/>
      <sheetName val="Class Revenue Worksheet"/>
      <sheetName val="Rate Design Page 1- 3"/>
      <sheetName val="Rate Design Page 4"/>
      <sheetName val="D - Do Not Use"/>
      <sheetName val="Do Not Use - New Constr"/>
      <sheetName val="Macros"/>
    </sheetNames>
    <sheetDataSet>
      <sheetData sheetId="0"/>
      <sheetData sheetId="1"/>
      <sheetData sheetId="2">
        <row r="12">
          <cell r="B12" t="str">
            <v>Case No. 2013-00167</v>
          </cell>
        </row>
        <row r="14">
          <cell r="B14" t="str">
            <v>Witness: C. E. Notestone</v>
          </cell>
        </row>
        <row r="16">
          <cell r="C16">
            <v>4.2770999999999999</v>
          </cell>
        </row>
        <row r="17">
          <cell r="C17">
            <v>4.0633999999999997</v>
          </cell>
        </row>
        <row r="20">
          <cell r="C20" t="str">
            <v>February 28, 2013</v>
          </cell>
        </row>
      </sheetData>
      <sheetData sheetId="3"/>
      <sheetData sheetId="4">
        <row r="1">
          <cell r="A1" t="str">
            <v>Columbia Gas of Kentucky, Inc.</v>
          </cell>
        </row>
        <row r="3">
          <cell r="A3" t="str">
            <v>For the 12 Months Ended December 31, 2014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2">
          <cell r="A2" t="str">
            <v>CASE NO. 2013-XXXXX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>
        <row r="4">
          <cell r="A4" t="str">
            <v>FOR THE TWELVE MONTHS ENDED JUNE 30, 2009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/>
  </sheetPr>
  <dimension ref="A1:AE331"/>
  <sheetViews>
    <sheetView topLeftCell="A13" zoomScaleNormal="100" workbookViewId="0">
      <pane xSplit="1" ySplit="9" topLeftCell="M28" activePane="bottomRight" state="frozen"/>
      <selection activeCell="A13" sqref="A13"/>
      <selection pane="topRight" activeCell="B13" sqref="B13"/>
      <selection pane="bottomLeft" activeCell="A22" sqref="A22"/>
      <selection pane="bottomRight" activeCell="T36" sqref="T36"/>
    </sheetView>
  </sheetViews>
  <sheetFormatPr defaultColWidth="7.33203125" defaultRowHeight="12.75" customHeight="1" x14ac:dyDescent="0.35"/>
  <cols>
    <col min="1" max="1" width="10.6640625" style="27" customWidth="1"/>
    <col min="2" max="2" width="36" style="27" customWidth="1"/>
    <col min="3" max="3" width="12.6640625" style="27" customWidth="1"/>
    <col min="4" max="4" width="14.08203125" style="27" customWidth="1"/>
    <col min="5" max="5" width="12.33203125" style="27" customWidth="1"/>
    <col min="6" max="6" width="13.33203125" style="27" customWidth="1"/>
    <col min="7" max="7" width="11.33203125" style="27" customWidth="1"/>
    <col min="8" max="16" width="10.33203125" style="27" customWidth="1"/>
    <col min="17" max="18" width="8.6640625" style="27" customWidth="1"/>
    <col min="19" max="19" width="1.4140625" style="27" customWidth="1"/>
    <col min="20" max="20" width="11.33203125" style="27" customWidth="1"/>
    <col min="21" max="21" width="13.9140625" style="27" customWidth="1"/>
    <col min="22" max="22" width="12.33203125" style="27" customWidth="1"/>
    <col min="23" max="23" width="13.33203125" style="27" customWidth="1"/>
    <col min="24" max="24" width="11.33203125" style="27" customWidth="1"/>
    <col min="25" max="26" width="10.33203125" style="27" customWidth="1"/>
    <col min="27" max="27" width="2.6640625" style="27" customWidth="1"/>
    <col min="28" max="28" width="1.58203125" style="27" customWidth="1"/>
    <col min="29" max="29" width="11.6640625" style="89" customWidth="1"/>
    <col min="30" max="30" width="13.08203125" style="89" customWidth="1"/>
    <col min="31" max="32" width="11.6640625" style="27" customWidth="1"/>
    <col min="33" max="16384" width="7.33203125" style="27"/>
  </cols>
  <sheetData>
    <row r="1" spans="1:20" ht="12.75" customHeight="1" x14ac:dyDescent="0.35">
      <c r="A1" s="27" t="s">
        <v>62</v>
      </c>
      <c r="C1" s="27" t="s">
        <v>63</v>
      </c>
    </row>
    <row r="2" spans="1:20" ht="12.75" customHeight="1" x14ac:dyDescent="0.35">
      <c r="A2" s="27" t="s">
        <v>64</v>
      </c>
      <c r="C2" s="27" t="s">
        <v>95</v>
      </c>
    </row>
    <row r="3" spans="1:20" ht="12.75" customHeight="1" x14ac:dyDescent="0.35">
      <c r="A3" s="28" t="s">
        <v>65</v>
      </c>
      <c r="C3" s="29" t="s">
        <v>96</v>
      </c>
    </row>
    <row r="4" spans="1:20" ht="12.75" customHeight="1" x14ac:dyDescent="0.35">
      <c r="A4" s="27" t="s">
        <v>66</v>
      </c>
      <c r="C4" s="29" t="s">
        <v>97</v>
      </c>
    </row>
    <row r="5" spans="1:20" ht="12.75" customHeight="1" x14ac:dyDescent="0.35">
      <c r="A5" s="27" t="s">
        <v>67</v>
      </c>
      <c r="C5" s="29" t="s">
        <v>105</v>
      </c>
    </row>
    <row r="6" spans="1:20" ht="12.75" customHeight="1" x14ac:dyDescent="0.35">
      <c r="A6" s="27" t="s">
        <v>106</v>
      </c>
      <c r="C6" s="30" t="s">
        <v>107</v>
      </c>
    </row>
    <row r="7" spans="1:20" ht="12.75" customHeight="1" x14ac:dyDescent="0.35">
      <c r="A7" s="27" t="s">
        <v>68</v>
      </c>
      <c r="C7" s="27" t="s">
        <v>69</v>
      </c>
      <c r="T7" s="31"/>
    </row>
    <row r="8" spans="1:20" ht="12.75" customHeight="1" x14ac:dyDescent="0.35">
      <c r="A8" s="27" t="s">
        <v>70</v>
      </c>
      <c r="C8" s="32" t="s">
        <v>104</v>
      </c>
      <c r="D8" s="33"/>
      <c r="E8" s="33"/>
      <c r="F8" s="33"/>
      <c r="G8" s="33"/>
      <c r="T8" s="31"/>
    </row>
    <row r="9" spans="1:20" ht="12.75" customHeight="1" x14ac:dyDescent="0.35">
      <c r="A9" s="27" t="s">
        <v>71</v>
      </c>
      <c r="C9" s="34"/>
      <c r="T9" s="31"/>
    </row>
    <row r="10" spans="1:20" ht="12.75" customHeight="1" x14ac:dyDescent="0.35">
      <c r="A10" s="35" t="s">
        <v>138</v>
      </c>
      <c r="B10" s="35"/>
      <c r="C10" s="36"/>
      <c r="D10" s="35"/>
      <c r="T10" s="31"/>
    </row>
    <row r="11" spans="1:20" ht="12.75" customHeight="1" x14ac:dyDescent="0.35">
      <c r="A11" s="35" t="s">
        <v>72</v>
      </c>
      <c r="B11" s="35"/>
      <c r="C11" s="35"/>
      <c r="D11" s="35"/>
    </row>
    <row r="12" spans="1:20" ht="12.75" customHeight="1" x14ac:dyDescent="0.35">
      <c r="A12" s="26"/>
      <c r="B12" s="26"/>
      <c r="C12" s="26"/>
      <c r="D12" s="26"/>
    </row>
    <row r="13" spans="1:20" ht="12.75" customHeight="1" x14ac:dyDescent="0.35">
      <c r="A13" s="37" t="s">
        <v>73</v>
      </c>
      <c r="B13" s="57" t="s">
        <v>153</v>
      </c>
    </row>
    <row r="14" spans="1:20" ht="12.75" customHeight="1" x14ac:dyDescent="0.35">
      <c r="A14" s="37"/>
      <c r="B14" s="25"/>
      <c r="C14" s="26"/>
    </row>
    <row r="15" spans="1:20" ht="12.75" customHeight="1" x14ac:dyDescent="0.35">
      <c r="A15" s="37" t="s">
        <v>74</v>
      </c>
      <c r="B15" s="38" t="s">
        <v>151</v>
      </c>
    </row>
    <row r="16" spans="1:20" ht="12.75" customHeight="1" x14ac:dyDescent="0.35">
      <c r="A16" s="37"/>
      <c r="B16" s="39"/>
    </row>
    <row r="17" spans="1:31" ht="12.75" customHeight="1" x14ac:dyDescent="0.35">
      <c r="A17" s="37" t="s">
        <v>108</v>
      </c>
      <c r="B17" s="40" t="s">
        <v>152</v>
      </c>
    </row>
    <row r="18" spans="1:31" ht="12.75" customHeight="1" x14ac:dyDescent="0.35">
      <c r="A18" s="37"/>
      <c r="B18" s="26"/>
      <c r="C18" s="26"/>
    </row>
    <row r="19" spans="1:31" ht="12.75" customHeight="1" x14ac:dyDescent="0.35">
      <c r="A19" s="37" t="s">
        <v>75</v>
      </c>
      <c r="B19" s="26"/>
      <c r="C19" s="26"/>
      <c r="D19" s="26"/>
      <c r="E19" s="26"/>
      <c r="F19" s="26"/>
      <c r="G19" s="26"/>
      <c r="S19" s="41"/>
      <c r="AA19" s="41"/>
      <c r="AB19" s="41"/>
      <c r="AC19" s="90" t="s">
        <v>148</v>
      </c>
    </row>
    <row r="20" spans="1:31" ht="12.75" customHeight="1" x14ac:dyDescent="0.35">
      <c r="A20" s="37"/>
      <c r="B20" s="26"/>
      <c r="C20" s="113" t="s">
        <v>76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42"/>
      <c r="P20" s="42"/>
      <c r="Q20" s="42"/>
      <c r="R20" s="42"/>
      <c r="S20" s="41"/>
      <c r="T20" s="113" t="s">
        <v>77</v>
      </c>
      <c r="U20" s="113"/>
      <c r="V20" s="113"/>
      <c r="W20" s="113"/>
      <c r="X20" s="113"/>
      <c r="Y20" s="113"/>
      <c r="Z20" s="42"/>
      <c r="AA20" s="41"/>
      <c r="AB20" s="41"/>
      <c r="AC20" s="91" t="s">
        <v>98</v>
      </c>
      <c r="AD20" s="91" t="s">
        <v>98</v>
      </c>
      <c r="AE20" s="42" t="s">
        <v>99</v>
      </c>
    </row>
    <row r="21" spans="1:31" ht="12.75" customHeight="1" x14ac:dyDescent="0.35">
      <c r="A21" s="43" t="s">
        <v>78</v>
      </c>
      <c r="B21" s="43" t="s">
        <v>79</v>
      </c>
      <c r="C21" s="43" t="s">
        <v>80</v>
      </c>
      <c r="D21" s="43" t="s">
        <v>81</v>
      </c>
      <c r="E21" s="43" t="s">
        <v>82</v>
      </c>
      <c r="F21" s="43" t="s">
        <v>83</v>
      </c>
      <c r="G21" s="43" t="s">
        <v>84</v>
      </c>
      <c r="H21" s="44" t="s">
        <v>85</v>
      </c>
      <c r="I21" s="96" t="s">
        <v>149</v>
      </c>
      <c r="J21" s="96" t="s">
        <v>150</v>
      </c>
      <c r="K21" s="44" t="s">
        <v>119</v>
      </c>
      <c r="L21" s="44" t="s">
        <v>120</v>
      </c>
      <c r="M21" s="44" t="s">
        <v>115</v>
      </c>
      <c r="N21" s="44" t="s">
        <v>116</v>
      </c>
      <c r="O21" s="44" t="s">
        <v>118</v>
      </c>
      <c r="P21" s="44" t="s">
        <v>117</v>
      </c>
      <c r="Q21" s="44" t="s">
        <v>157</v>
      </c>
      <c r="R21" s="44" t="s">
        <v>157</v>
      </c>
      <c r="S21" s="41"/>
      <c r="T21" s="43" t="s">
        <v>80</v>
      </c>
      <c r="U21" s="43" t="s">
        <v>81</v>
      </c>
      <c r="V21" s="43" t="s">
        <v>82</v>
      </c>
      <c r="W21" s="43" t="s">
        <v>83</v>
      </c>
      <c r="X21" s="43" t="s">
        <v>84</v>
      </c>
      <c r="Y21" s="43" t="s">
        <v>85</v>
      </c>
      <c r="Z21" s="43" t="s">
        <v>118</v>
      </c>
      <c r="AA21" s="41"/>
      <c r="AB21" s="41"/>
      <c r="AC21" s="92" t="s">
        <v>103</v>
      </c>
      <c r="AD21" s="92" t="s">
        <v>109</v>
      </c>
      <c r="AE21" s="43" t="s">
        <v>15</v>
      </c>
    </row>
    <row r="22" spans="1:31" ht="12.75" customHeight="1" x14ac:dyDescent="0.35">
      <c r="A22" s="45" t="s">
        <v>41</v>
      </c>
      <c r="B22" s="45" t="s">
        <v>86</v>
      </c>
      <c r="C22" s="97">
        <v>3.5665</v>
      </c>
      <c r="D22" s="98"/>
      <c r="E22" s="98"/>
      <c r="F22" s="98"/>
      <c r="G22" s="98"/>
      <c r="H22" s="99">
        <v>16</v>
      </c>
      <c r="I22" s="100"/>
      <c r="J22" s="101">
        <v>-0.28249999999999997</v>
      </c>
      <c r="K22" s="47">
        <v>6.63</v>
      </c>
      <c r="L22" s="47">
        <v>0.28999999999999998</v>
      </c>
      <c r="M22" s="48">
        <v>0.3</v>
      </c>
      <c r="N22" s="48">
        <v>1.44E-2</v>
      </c>
      <c r="O22" s="48">
        <v>2.58E-2</v>
      </c>
      <c r="P22" s="108">
        <v>4.3869999999999996</v>
      </c>
      <c r="Q22" s="108">
        <v>0</v>
      </c>
      <c r="R22" s="108">
        <v>0</v>
      </c>
      <c r="S22" s="41"/>
      <c r="T22" s="83">
        <v>5.274</v>
      </c>
      <c r="U22" s="83"/>
      <c r="V22" s="83"/>
      <c r="W22" s="83"/>
      <c r="X22" s="83"/>
      <c r="Y22" s="86">
        <v>19.75</v>
      </c>
      <c r="Z22" s="87">
        <v>1.1900000000000001E-2</v>
      </c>
      <c r="AA22" s="41"/>
      <c r="AB22" s="41"/>
      <c r="AC22" s="93">
        <v>1294115</v>
      </c>
      <c r="AD22" s="94">
        <v>7256607.7000000002</v>
      </c>
      <c r="AE22" s="76">
        <f>ROUND(AD22/AC22,1)</f>
        <v>5.6</v>
      </c>
    </row>
    <row r="23" spans="1:31" ht="12.75" customHeight="1" x14ac:dyDescent="0.35">
      <c r="A23" s="45" t="s">
        <v>44</v>
      </c>
      <c r="B23" s="45" t="s">
        <v>87</v>
      </c>
      <c r="C23" s="97">
        <v>3.2636000000000003</v>
      </c>
      <c r="D23" s="97"/>
      <c r="E23" s="102"/>
      <c r="F23" s="102"/>
      <c r="G23" s="102"/>
      <c r="H23" s="99">
        <v>70.34</v>
      </c>
      <c r="I23" s="100"/>
      <c r="J23" s="100"/>
      <c r="K23" s="47"/>
      <c r="L23" s="50"/>
      <c r="M23" s="50"/>
      <c r="N23" s="50"/>
      <c r="O23" s="50"/>
      <c r="P23" s="108">
        <v>4.9443999999999999</v>
      </c>
      <c r="Q23" s="108">
        <f>+Q22</f>
        <v>0</v>
      </c>
      <c r="R23" s="108"/>
      <c r="S23" s="41"/>
      <c r="T23" s="84">
        <v>3.2636000000000003</v>
      </c>
      <c r="U23" s="85"/>
      <c r="V23" s="85"/>
      <c r="W23" s="85"/>
      <c r="X23" s="85"/>
      <c r="Y23" s="88">
        <v>70.34</v>
      </c>
      <c r="Z23" s="87"/>
      <c r="AA23" s="41"/>
      <c r="AB23" s="41"/>
      <c r="AC23" s="93">
        <v>0</v>
      </c>
      <c r="AD23" s="94">
        <v>0</v>
      </c>
      <c r="AE23" s="68">
        <f>IF(AC23=0,0,ROUND(AD23/AC23,2))</f>
        <v>0</v>
      </c>
    </row>
    <row r="24" spans="1:31" ht="12.75" customHeight="1" x14ac:dyDescent="0.35">
      <c r="A24" s="45" t="s">
        <v>45</v>
      </c>
      <c r="B24" s="45" t="s">
        <v>88</v>
      </c>
      <c r="C24" s="97">
        <v>3.9009999999999998</v>
      </c>
      <c r="D24" s="98"/>
      <c r="E24" s="98"/>
      <c r="F24" s="98"/>
      <c r="G24" s="98"/>
      <c r="H24" s="99">
        <v>22.32</v>
      </c>
      <c r="I24" s="100"/>
      <c r="J24" s="100"/>
      <c r="K24" s="47"/>
      <c r="L24" s="47"/>
      <c r="M24" s="47"/>
      <c r="N24" s="47"/>
      <c r="O24" s="47"/>
      <c r="P24" s="108">
        <v>4.9443999999999999</v>
      </c>
      <c r="Q24" s="108">
        <f>+Q22</f>
        <v>0</v>
      </c>
      <c r="R24" s="108"/>
      <c r="S24" s="41"/>
      <c r="T24" s="84">
        <v>3.9009999999999998</v>
      </c>
      <c r="U24" s="85"/>
      <c r="V24" s="83"/>
      <c r="W24" s="83"/>
      <c r="X24" s="83"/>
      <c r="Y24" s="88">
        <v>22.32</v>
      </c>
      <c r="Z24" s="87"/>
      <c r="AA24" s="41"/>
      <c r="AB24" s="41"/>
      <c r="AC24" s="93">
        <v>48</v>
      </c>
      <c r="AD24" s="94">
        <v>452.4</v>
      </c>
      <c r="AE24" s="68">
        <f t="shared" ref="AE24:AE25" si="0">ROUND(AD24/AC24,1)</f>
        <v>9.4</v>
      </c>
    </row>
    <row r="25" spans="1:31" ht="12.75" customHeight="1" x14ac:dyDescent="0.35">
      <c r="A25" s="45" t="s">
        <v>46</v>
      </c>
      <c r="B25" s="45" t="s">
        <v>89</v>
      </c>
      <c r="C25" s="97">
        <v>0.4</v>
      </c>
      <c r="D25" s="97"/>
      <c r="E25" s="97"/>
      <c r="F25" s="97"/>
      <c r="G25" s="97"/>
      <c r="H25" s="99">
        <v>0</v>
      </c>
      <c r="I25" s="99"/>
      <c r="J25" s="99"/>
      <c r="K25" s="47"/>
      <c r="L25" s="48"/>
      <c r="M25" s="48"/>
      <c r="N25" s="48"/>
      <c r="O25" s="48"/>
      <c r="P25" s="108"/>
      <c r="Q25" s="108"/>
      <c r="R25" s="108">
        <v>0</v>
      </c>
      <c r="S25" s="41"/>
      <c r="T25" s="84">
        <v>0.4</v>
      </c>
      <c r="U25" s="85"/>
      <c r="V25" s="85"/>
      <c r="W25" s="85"/>
      <c r="X25" s="85"/>
      <c r="Y25" s="88">
        <v>0</v>
      </c>
      <c r="Z25" s="88"/>
      <c r="AA25" s="41"/>
      <c r="AB25" s="41"/>
      <c r="AC25" s="93">
        <v>120</v>
      </c>
      <c r="AD25" s="94">
        <v>1382.6</v>
      </c>
      <c r="AE25" s="68">
        <f t="shared" si="0"/>
        <v>11.5</v>
      </c>
    </row>
    <row r="26" spans="1:31" ht="12.75" customHeight="1" x14ac:dyDescent="0.35">
      <c r="A26" s="45" t="s">
        <v>46</v>
      </c>
      <c r="B26" s="45" t="s">
        <v>90</v>
      </c>
      <c r="C26" s="97">
        <v>0.4</v>
      </c>
      <c r="D26" s="97"/>
      <c r="E26" s="97"/>
      <c r="F26" s="97"/>
      <c r="G26" s="97"/>
      <c r="H26" s="99">
        <v>0</v>
      </c>
      <c r="I26" s="99"/>
      <c r="J26" s="99"/>
      <c r="K26" s="47"/>
      <c r="L26" s="48"/>
      <c r="M26" s="48"/>
      <c r="N26" s="48"/>
      <c r="O26" s="48"/>
      <c r="P26" s="108"/>
      <c r="Q26" s="108"/>
      <c r="R26" s="108">
        <v>0</v>
      </c>
      <c r="S26" s="41"/>
      <c r="T26" s="84">
        <v>0.4</v>
      </c>
      <c r="U26" s="85"/>
      <c r="V26" s="85"/>
      <c r="W26" s="85"/>
      <c r="X26" s="85"/>
      <c r="Y26" s="88">
        <v>0</v>
      </c>
      <c r="Z26" s="88"/>
      <c r="AA26" s="41"/>
      <c r="AB26" s="41"/>
      <c r="AC26" s="93">
        <v>0</v>
      </c>
      <c r="AD26" s="94">
        <v>0</v>
      </c>
      <c r="AE26" s="68">
        <f>IF(AC26=0,0,ROUND(AD26/AC26,2))</f>
        <v>0</v>
      </c>
    </row>
    <row r="27" spans="1:31" ht="12.75" customHeight="1" x14ac:dyDescent="0.35">
      <c r="A27" s="45" t="s">
        <v>47</v>
      </c>
      <c r="B27" s="45" t="s">
        <v>89</v>
      </c>
      <c r="C27" s="97">
        <v>0</v>
      </c>
      <c r="D27" s="97"/>
      <c r="E27" s="97"/>
      <c r="F27" s="97"/>
      <c r="G27" s="97"/>
      <c r="H27" s="99">
        <v>0</v>
      </c>
      <c r="I27" s="99"/>
      <c r="J27" s="99"/>
      <c r="K27" s="47"/>
      <c r="L27" s="48"/>
      <c r="M27" s="48"/>
      <c r="N27" s="48"/>
      <c r="O27" s="48"/>
      <c r="P27" s="108"/>
      <c r="Q27" s="108"/>
      <c r="R27" s="108">
        <v>0</v>
      </c>
      <c r="S27" s="41"/>
      <c r="T27" s="84">
        <v>0</v>
      </c>
      <c r="U27" s="85"/>
      <c r="V27" s="85"/>
      <c r="W27" s="85"/>
      <c r="X27" s="85"/>
      <c r="Y27" s="88">
        <v>0</v>
      </c>
      <c r="Z27" s="88"/>
      <c r="AA27" s="41"/>
      <c r="AB27" s="41"/>
      <c r="AC27" s="93">
        <v>0</v>
      </c>
      <c r="AD27" s="94">
        <v>0</v>
      </c>
      <c r="AE27" s="68">
        <f>IF(AC27=0,0,ROUND(AD27/AC27,2))</f>
        <v>0</v>
      </c>
    </row>
    <row r="28" spans="1:31" ht="12.75" customHeight="1" x14ac:dyDescent="0.35">
      <c r="A28" s="45" t="s">
        <v>48</v>
      </c>
      <c r="B28" s="45" t="s">
        <v>89</v>
      </c>
      <c r="C28" s="97">
        <v>0.6</v>
      </c>
      <c r="D28" s="97"/>
      <c r="E28" s="97"/>
      <c r="F28" s="97"/>
      <c r="G28" s="97"/>
      <c r="H28" s="99">
        <v>0</v>
      </c>
      <c r="I28" s="99"/>
      <c r="J28" s="99"/>
      <c r="K28" s="47"/>
      <c r="L28" s="48"/>
      <c r="M28" s="48"/>
      <c r="N28" s="48"/>
      <c r="O28" s="48"/>
      <c r="P28" s="108"/>
      <c r="Q28" s="108"/>
      <c r="R28" s="108">
        <v>0</v>
      </c>
      <c r="S28" s="41"/>
      <c r="T28" s="84">
        <v>0.6</v>
      </c>
      <c r="U28" s="85"/>
      <c r="V28" s="85"/>
      <c r="W28" s="85"/>
      <c r="X28" s="85"/>
      <c r="Y28" s="88">
        <v>0</v>
      </c>
      <c r="Z28" s="88"/>
      <c r="AA28" s="41"/>
      <c r="AB28" s="41"/>
      <c r="AC28" s="93">
        <v>36</v>
      </c>
      <c r="AD28" s="94">
        <v>263.8</v>
      </c>
      <c r="AE28" s="68">
        <f t="shared" ref="AE28:AE29" si="1">ROUND(AD28/AC28,1)</f>
        <v>7.3</v>
      </c>
    </row>
    <row r="29" spans="1:31" ht="12.75" customHeight="1" x14ac:dyDescent="0.35">
      <c r="A29" s="45" t="s">
        <v>49</v>
      </c>
      <c r="B29" s="45" t="s">
        <v>91</v>
      </c>
      <c r="C29" s="97">
        <v>0.35</v>
      </c>
      <c r="D29" s="97"/>
      <c r="E29" s="97"/>
      <c r="F29" s="97"/>
      <c r="G29" s="97"/>
      <c r="H29" s="99">
        <v>0</v>
      </c>
      <c r="I29" s="99"/>
      <c r="J29" s="99"/>
      <c r="K29" s="47"/>
      <c r="L29" s="50"/>
      <c r="M29" s="50"/>
      <c r="N29" s="50"/>
      <c r="O29" s="50"/>
      <c r="P29" s="108"/>
      <c r="Q29" s="108"/>
      <c r="R29" s="108"/>
      <c r="S29" s="41"/>
      <c r="T29" s="84">
        <v>0.35</v>
      </c>
      <c r="U29" s="85"/>
      <c r="V29" s="83"/>
      <c r="W29" s="83"/>
      <c r="X29" s="83"/>
      <c r="Y29" s="88">
        <v>0</v>
      </c>
      <c r="Z29" s="86"/>
      <c r="AA29" s="41"/>
      <c r="AB29" s="41"/>
      <c r="AC29" s="93">
        <v>12</v>
      </c>
      <c r="AD29" s="94">
        <v>672.3</v>
      </c>
      <c r="AE29" s="68">
        <f t="shared" si="1"/>
        <v>56</v>
      </c>
    </row>
    <row r="30" spans="1:31" ht="12.75" customHeight="1" x14ac:dyDescent="0.35">
      <c r="A30" s="45" t="s">
        <v>49</v>
      </c>
      <c r="B30" s="45" t="s">
        <v>87</v>
      </c>
      <c r="C30" s="97">
        <v>0.35</v>
      </c>
      <c r="D30" s="97"/>
      <c r="E30" s="97"/>
      <c r="F30" s="97"/>
      <c r="G30" s="97"/>
      <c r="H30" s="99">
        <v>0</v>
      </c>
      <c r="I30" s="99"/>
      <c r="J30" s="99"/>
      <c r="K30" s="47"/>
      <c r="L30" s="50"/>
      <c r="M30" s="50"/>
      <c r="N30" s="50"/>
      <c r="O30" s="50"/>
      <c r="P30" s="108"/>
      <c r="Q30" s="108"/>
      <c r="R30" s="108"/>
      <c r="S30" s="41"/>
      <c r="T30" s="84">
        <v>0.35</v>
      </c>
      <c r="U30" s="85"/>
      <c r="V30" s="83"/>
      <c r="W30" s="83"/>
      <c r="X30" s="83"/>
      <c r="Y30" s="88">
        <v>0</v>
      </c>
      <c r="Z30" s="86"/>
      <c r="AA30" s="41"/>
      <c r="AB30" s="41"/>
      <c r="AC30" s="93">
        <v>0</v>
      </c>
      <c r="AD30" s="94">
        <v>0</v>
      </c>
      <c r="AE30" s="68">
        <f>IF(AC30=0,0,ROUND(AD30/AC30,2))</f>
        <v>0</v>
      </c>
    </row>
    <row r="31" spans="1:31" ht="12.75" customHeight="1" x14ac:dyDescent="0.35">
      <c r="A31" s="45" t="s">
        <v>50</v>
      </c>
      <c r="B31" s="45" t="s">
        <v>88</v>
      </c>
      <c r="C31" s="97">
        <v>0</v>
      </c>
      <c r="D31" s="97">
        <v>0.35</v>
      </c>
      <c r="E31" s="103"/>
      <c r="F31" s="103"/>
      <c r="G31" s="103"/>
      <c r="H31" s="99">
        <v>1.2</v>
      </c>
      <c r="I31" s="99"/>
      <c r="J31" s="99"/>
      <c r="K31" s="47"/>
      <c r="L31" s="50"/>
      <c r="M31" s="50"/>
      <c r="N31" s="50"/>
      <c r="O31" s="50"/>
      <c r="P31" s="108"/>
      <c r="Q31" s="108"/>
      <c r="R31" s="108"/>
      <c r="S31" s="41"/>
      <c r="T31" s="84">
        <v>0</v>
      </c>
      <c r="U31" s="84">
        <v>0.35</v>
      </c>
      <c r="V31" s="83"/>
      <c r="W31" s="83"/>
      <c r="X31" s="83"/>
      <c r="Y31" s="88">
        <v>1.2</v>
      </c>
      <c r="Z31" s="86"/>
      <c r="AA31" s="41"/>
      <c r="AB31" s="41"/>
      <c r="AC31" s="93">
        <v>12</v>
      </c>
      <c r="AD31" s="94">
        <v>588.90000000000009</v>
      </c>
      <c r="AE31" s="68">
        <f t="shared" ref="AE31:AE32" si="2">ROUND(AD31/AC31,1)</f>
        <v>49.1</v>
      </c>
    </row>
    <row r="32" spans="1:31" ht="12.75" customHeight="1" x14ac:dyDescent="0.35">
      <c r="A32" s="45" t="s">
        <v>51</v>
      </c>
      <c r="B32" s="45" t="s">
        <v>88</v>
      </c>
      <c r="C32" s="97">
        <v>0.4</v>
      </c>
      <c r="D32" s="97"/>
      <c r="E32" s="97"/>
      <c r="F32" s="97"/>
      <c r="G32" s="97"/>
      <c r="H32" s="99">
        <v>0</v>
      </c>
      <c r="I32" s="99"/>
      <c r="J32" s="99"/>
      <c r="K32" s="47"/>
      <c r="L32" s="50"/>
      <c r="M32" s="50"/>
      <c r="N32" s="50"/>
      <c r="O32" s="50"/>
      <c r="P32" s="108"/>
      <c r="Q32" s="108"/>
      <c r="R32" s="108"/>
      <c r="S32" s="41"/>
      <c r="T32" s="83">
        <v>0.4</v>
      </c>
      <c r="U32" s="83"/>
      <c r="V32" s="83"/>
      <c r="W32" s="83"/>
      <c r="X32" s="83"/>
      <c r="Y32" s="88">
        <v>0</v>
      </c>
      <c r="Z32" s="86"/>
      <c r="AA32" s="41"/>
      <c r="AB32" s="41"/>
      <c r="AC32" s="93">
        <v>12</v>
      </c>
      <c r="AD32" s="94">
        <v>166.80000000000004</v>
      </c>
      <c r="AE32" s="68">
        <f t="shared" si="2"/>
        <v>13.9</v>
      </c>
    </row>
    <row r="33" spans="1:31" ht="12.75" customHeight="1" x14ac:dyDescent="0.35">
      <c r="A33" s="45" t="s">
        <v>52</v>
      </c>
      <c r="B33" s="45" t="s">
        <v>92</v>
      </c>
      <c r="C33" s="97">
        <v>3.0181</v>
      </c>
      <c r="D33" s="97">
        <v>2.3294999999999999</v>
      </c>
      <c r="E33" s="97">
        <v>2.2143000000000002</v>
      </c>
      <c r="F33" s="97">
        <v>2.0143</v>
      </c>
      <c r="G33" s="97"/>
      <c r="H33" s="99">
        <v>44.69</v>
      </c>
      <c r="I33" s="99"/>
      <c r="J33" s="104">
        <v>-0.16800000000000001</v>
      </c>
      <c r="K33" s="47">
        <v>24.31</v>
      </c>
      <c r="L33" s="50"/>
      <c r="M33" s="50"/>
      <c r="N33" s="48">
        <v>1.44E-2</v>
      </c>
      <c r="O33" s="48">
        <v>2.58E-2</v>
      </c>
      <c r="P33" s="108">
        <v>4.3869999999999996</v>
      </c>
      <c r="Q33" s="108">
        <f>+$Q$22</f>
        <v>0</v>
      </c>
      <c r="R33" s="108">
        <v>0</v>
      </c>
      <c r="S33" s="41"/>
      <c r="T33" s="83">
        <v>3.2648999999999999</v>
      </c>
      <c r="U33" s="83">
        <v>2.5200999999999998</v>
      </c>
      <c r="V33" s="83">
        <v>2.3954</v>
      </c>
      <c r="W33" s="83">
        <v>2.1789999999999998</v>
      </c>
      <c r="X33" s="83"/>
      <c r="Y33" s="86">
        <v>83.71</v>
      </c>
      <c r="Z33" s="87">
        <v>1.1900000000000001E-2</v>
      </c>
      <c r="AA33" s="41"/>
      <c r="AB33" s="41"/>
      <c r="AC33" s="93">
        <v>137849</v>
      </c>
      <c r="AD33" s="94">
        <v>3764009.0999999992</v>
      </c>
      <c r="AE33" s="68">
        <f>ROUND(AD33/AC33,1)</f>
        <v>27.3</v>
      </c>
    </row>
    <row r="34" spans="1:31" ht="12.75" customHeight="1" x14ac:dyDescent="0.35">
      <c r="A34" s="45" t="s">
        <v>52</v>
      </c>
      <c r="B34" s="45" t="s">
        <v>93</v>
      </c>
      <c r="C34" s="105">
        <v>3.0181</v>
      </c>
      <c r="D34" s="105">
        <v>2.3294999999999999</v>
      </c>
      <c r="E34" s="105">
        <v>2.2143000000000002</v>
      </c>
      <c r="F34" s="105">
        <v>2.0143</v>
      </c>
      <c r="G34" s="97"/>
      <c r="H34" s="106">
        <v>44.69</v>
      </c>
      <c r="I34" s="99"/>
      <c r="J34" s="107">
        <f>J33</f>
        <v>-0.16800000000000001</v>
      </c>
      <c r="K34" s="47">
        <v>24.31</v>
      </c>
      <c r="L34" s="50"/>
      <c r="M34" s="50"/>
      <c r="N34" s="48">
        <v>1.44E-2</v>
      </c>
      <c r="O34" s="48">
        <v>2.58E-2</v>
      </c>
      <c r="P34" s="108">
        <v>4.3869999999999996</v>
      </c>
      <c r="Q34" s="108">
        <f t="shared" ref="Q34:Q36" si="3">+$Q$22</f>
        <v>0</v>
      </c>
      <c r="R34" s="108">
        <v>0</v>
      </c>
      <c r="S34" s="41"/>
      <c r="T34" s="83">
        <v>3.2648999999999999</v>
      </c>
      <c r="U34" s="83">
        <v>2.5200999999999998</v>
      </c>
      <c r="V34" s="83">
        <v>2.3954</v>
      </c>
      <c r="W34" s="83">
        <v>2.1789999999999998</v>
      </c>
      <c r="X34" s="83"/>
      <c r="Y34" s="86">
        <v>83.71</v>
      </c>
      <c r="Z34" s="87">
        <v>1.1900000000000001E-2</v>
      </c>
      <c r="AA34" s="41"/>
      <c r="AB34" s="41"/>
      <c r="AC34" s="93">
        <v>613</v>
      </c>
      <c r="AD34" s="94">
        <v>242469.40000000002</v>
      </c>
      <c r="AE34" s="68">
        <f>ROUNDUP(AD34/AC34,1)</f>
        <v>395.6</v>
      </c>
    </row>
    <row r="35" spans="1:31" ht="12.75" customHeight="1" x14ac:dyDescent="0.35">
      <c r="A35" s="45" t="s">
        <v>121</v>
      </c>
      <c r="B35" s="45" t="s">
        <v>122</v>
      </c>
      <c r="C35" s="46">
        <v>0.62849999999999995</v>
      </c>
      <c r="D35" s="46">
        <v>0.37369999999999998</v>
      </c>
      <c r="E35" s="49">
        <v>0.32469999999999999</v>
      </c>
      <c r="F35" s="49"/>
      <c r="G35" s="49"/>
      <c r="H35" s="47">
        <v>2007</v>
      </c>
      <c r="I35" s="47"/>
      <c r="J35" s="47">
        <v>-2.5999999999999999E-2</v>
      </c>
      <c r="K35" s="47">
        <v>1221.21</v>
      </c>
      <c r="L35" s="47"/>
      <c r="M35" s="50"/>
      <c r="N35" s="48">
        <v>1.44E-2</v>
      </c>
      <c r="O35" s="48">
        <v>2.58E-2</v>
      </c>
      <c r="P35" s="108">
        <v>4.3869999999999996</v>
      </c>
      <c r="Q35" s="108">
        <f t="shared" si="3"/>
        <v>0</v>
      </c>
      <c r="R35" s="108">
        <v>0</v>
      </c>
      <c r="S35" s="41"/>
      <c r="T35" s="83">
        <v>0.71199999999999997</v>
      </c>
      <c r="U35" s="83">
        <v>0.43940000000000001</v>
      </c>
      <c r="V35" s="83">
        <v>0.2432</v>
      </c>
      <c r="W35" s="83"/>
      <c r="X35" s="83"/>
      <c r="Y35" s="86">
        <v>3982.3</v>
      </c>
      <c r="Z35" s="87">
        <v>1.1900000000000001E-2</v>
      </c>
      <c r="AA35" s="41"/>
      <c r="AB35" s="41"/>
      <c r="AC35" s="93">
        <v>0</v>
      </c>
      <c r="AD35" s="94">
        <v>0</v>
      </c>
      <c r="AE35" s="68">
        <f>IF(AC35=0,0,ROUND(AD35/AC35,2))</f>
        <v>0</v>
      </c>
    </row>
    <row r="36" spans="1:31" ht="12.75" customHeight="1" x14ac:dyDescent="0.35">
      <c r="A36" s="45" t="s">
        <v>53</v>
      </c>
      <c r="B36" s="45" t="s">
        <v>94</v>
      </c>
      <c r="C36" s="46">
        <v>1.1544000000000001</v>
      </c>
      <c r="E36" s="49"/>
      <c r="F36" s="49"/>
      <c r="G36" s="49"/>
      <c r="H36" s="47">
        <v>567.4</v>
      </c>
      <c r="I36" s="47"/>
      <c r="J36" s="47">
        <v>-0.11600000000000001</v>
      </c>
      <c r="K36" s="47">
        <v>207.8</v>
      </c>
      <c r="L36" s="47"/>
      <c r="M36" s="50"/>
      <c r="N36" s="48">
        <v>1.44E-2</v>
      </c>
      <c r="O36" s="48">
        <v>2.58E-2</v>
      </c>
      <c r="P36" s="108">
        <v>4.3869999999999996</v>
      </c>
      <c r="Q36" s="108">
        <f t="shared" si="3"/>
        <v>0</v>
      </c>
      <c r="R36" s="108">
        <v>0</v>
      </c>
      <c r="S36" s="41"/>
      <c r="T36" s="83">
        <v>1.1986000000000001</v>
      </c>
      <c r="U36" s="83"/>
      <c r="V36" s="83"/>
      <c r="W36" s="83"/>
      <c r="X36" s="83"/>
      <c r="Y36" s="86">
        <v>945.24</v>
      </c>
      <c r="Z36" s="87">
        <v>1.1900000000000001E-2</v>
      </c>
      <c r="AA36" s="41"/>
      <c r="AB36" s="41"/>
      <c r="AC36" s="93">
        <v>24</v>
      </c>
      <c r="AD36" s="94">
        <v>11251.2</v>
      </c>
      <c r="AE36" s="68">
        <f>ROUND(AD36/AC36,1)</f>
        <v>468.8</v>
      </c>
    </row>
    <row r="37" spans="1:31" ht="12.75" customHeight="1" x14ac:dyDescent="0.35">
      <c r="P37" s="26"/>
      <c r="Q37" s="26"/>
      <c r="T37" s="51"/>
      <c r="U37" s="51"/>
      <c r="V37" s="51"/>
      <c r="W37" s="51"/>
      <c r="X37" s="51"/>
      <c r="Y37" s="52"/>
      <c r="Z37" s="52"/>
      <c r="AC37" s="95"/>
      <c r="AD37" s="95"/>
      <c r="AE37" s="54"/>
    </row>
    <row r="38" spans="1:31" ht="12.75" customHeight="1" x14ac:dyDescent="0.35">
      <c r="T38" s="55"/>
      <c r="U38" s="55"/>
      <c r="V38" s="55"/>
      <c r="W38" s="55"/>
      <c r="X38" s="55"/>
      <c r="Y38" s="56"/>
      <c r="Z38" s="52"/>
      <c r="AC38" s="95"/>
      <c r="AD38" s="95"/>
      <c r="AE38" s="54"/>
    </row>
    <row r="39" spans="1:31" ht="12.75" customHeight="1" x14ac:dyDescent="0.35">
      <c r="T39" s="55"/>
      <c r="U39" s="55"/>
      <c r="V39" s="55"/>
      <c r="W39" s="55"/>
      <c r="X39" s="55"/>
      <c r="Y39" s="56"/>
      <c r="Z39" s="56"/>
      <c r="AC39" s="95"/>
      <c r="AD39" s="95"/>
      <c r="AE39" s="54"/>
    </row>
    <row r="40" spans="1:31" ht="12.75" customHeight="1" x14ac:dyDescent="0.35">
      <c r="T40" s="55"/>
      <c r="U40" s="55"/>
      <c r="V40" s="55"/>
      <c r="W40" s="55"/>
      <c r="X40" s="55"/>
      <c r="Y40" s="56"/>
      <c r="Z40" s="56"/>
      <c r="AC40" s="95"/>
      <c r="AD40" s="95"/>
      <c r="AE40" s="54"/>
    </row>
    <row r="41" spans="1:31" ht="12.75" customHeight="1" x14ac:dyDescent="0.35">
      <c r="T41" s="55"/>
      <c r="U41" s="55"/>
      <c r="V41" s="55"/>
      <c r="W41" s="55"/>
      <c r="X41" s="55"/>
      <c r="Y41" s="56"/>
      <c r="Z41" s="56"/>
      <c r="AE41" s="54"/>
    </row>
    <row r="42" spans="1:31" ht="12.75" customHeight="1" x14ac:dyDescent="0.35">
      <c r="T42" s="55"/>
      <c r="U42" s="55"/>
      <c r="V42" s="55"/>
      <c r="W42" s="55"/>
      <c r="X42" s="55"/>
      <c r="Y42" s="56"/>
      <c r="Z42" s="56"/>
      <c r="AE42" s="54"/>
    </row>
    <row r="43" spans="1:31" ht="12.75" customHeight="1" x14ac:dyDescent="0.35">
      <c r="T43" s="55"/>
      <c r="U43" s="55"/>
      <c r="V43" s="55"/>
      <c r="W43" s="55"/>
      <c r="X43" s="55"/>
      <c r="Y43" s="56"/>
      <c r="Z43" s="56"/>
      <c r="AE43" s="54"/>
    </row>
    <row r="44" spans="1:31" ht="12.75" customHeight="1" x14ac:dyDescent="0.35">
      <c r="T44" s="55"/>
      <c r="U44" s="55"/>
      <c r="V44" s="55"/>
      <c r="W44" s="55"/>
      <c r="X44" s="55"/>
      <c r="Y44" s="56"/>
      <c r="Z44" s="56"/>
      <c r="AE44" s="54"/>
    </row>
    <row r="45" spans="1:31" ht="12.75" customHeight="1" x14ac:dyDescent="0.35">
      <c r="T45" s="55"/>
      <c r="U45" s="55"/>
      <c r="V45" s="55"/>
      <c r="W45" s="55"/>
      <c r="X45" s="55"/>
      <c r="Y45" s="56"/>
      <c r="Z45" s="56"/>
      <c r="AE45" s="54"/>
    </row>
    <row r="46" spans="1:31" ht="12.75" customHeight="1" x14ac:dyDescent="0.35">
      <c r="T46" s="55"/>
      <c r="U46" s="55"/>
      <c r="V46" s="55"/>
      <c r="W46" s="55"/>
      <c r="X46" s="55"/>
      <c r="Y46" s="56"/>
      <c r="Z46" s="56"/>
    </row>
    <row r="47" spans="1:31" ht="12.75" customHeight="1" x14ac:dyDescent="0.35">
      <c r="T47" s="55"/>
      <c r="U47" s="55"/>
      <c r="V47" s="55"/>
      <c r="W47" s="55"/>
      <c r="X47" s="55"/>
      <c r="Y47" s="56"/>
      <c r="Z47" s="56"/>
    </row>
    <row r="48" spans="1:31" ht="12.75" customHeight="1" x14ac:dyDescent="0.35">
      <c r="T48" s="55"/>
      <c r="U48" s="55"/>
      <c r="V48" s="55"/>
      <c r="W48" s="55"/>
      <c r="X48" s="55"/>
      <c r="Y48" s="56"/>
      <c r="Z48" s="56"/>
    </row>
    <row r="49" spans="20:26" ht="12.75" customHeight="1" x14ac:dyDescent="0.35">
      <c r="T49" s="55"/>
      <c r="U49" s="55"/>
      <c r="V49" s="55"/>
      <c r="W49" s="55"/>
      <c r="X49" s="55"/>
      <c r="Y49" s="56"/>
      <c r="Z49" s="56"/>
    </row>
    <row r="50" spans="20:26" ht="12.75" customHeight="1" x14ac:dyDescent="0.35">
      <c r="T50" s="55"/>
      <c r="U50" s="55"/>
      <c r="V50" s="55"/>
      <c r="W50" s="55"/>
      <c r="X50" s="55"/>
      <c r="Y50" s="56"/>
      <c r="Z50" s="56"/>
    </row>
    <row r="51" spans="20:26" ht="12.75" customHeight="1" x14ac:dyDescent="0.35">
      <c r="T51" s="55"/>
      <c r="U51" s="55"/>
      <c r="V51" s="55"/>
      <c r="W51" s="55"/>
      <c r="X51" s="55"/>
      <c r="Y51" s="56"/>
      <c r="Z51" s="56"/>
    </row>
    <row r="52" spans="20:26" ht="12.75" customHeight="1" x14ac:dyDescent="0.35">
      <c r="T52" s="55"/>
      <c r="U52" s="55"/>
      <c r="V52" s="55"/>
      <c r="W52" s="55"/>
      <c r="X52" s="55"/>
      <c r="Y52" s="56"/>
      <c r="Z52" s="56"/>
    </row>
    <row r="53" spans="20:26" ht="12.75" customHeight="1" x14ac:dyDescent="0.35">
      <c r="T53" s="55"/>
      <c r="U53" s="55"/>
      <c r="V53" s="55"/>
      <c r="W53" s="55"/>
      <c r="X53" s="55"/>
      <c r="Y53" s="56"/>
      <c r="Z53" s="56"/>
    </row>
    <row r="54" spans="20:26" ht="12.75" customHeight="1" x14ac:dyDescent="0.35">
      <c r="T54" s="55"/>
      <c r="U54" s="55"/>
      <c r="V54" s="55"/>
      <c r="W54" s="55"/>
      <c r="X54" s="55"/>
      <c r="Y54" s="56"/>
      <c r="Z54" s="56"/>
    </row>
    <row r="55" spans="20:26" ht="12.75" customHeight="1" x14ac:dyDescent="0.35">
      <c r="T55" s="55"/>
      <c r="U55" s="55"/>
      <c r="V55" s="55"/>
      <c r="W55" s="55"/>
      <c r="X55" s="55"/>
      <c r="Y55" s="56"/>
      <c r="Z55" s="56"/>
    </row>
    <row r="56" spans="20:26" ht="12.75" customHeight="1" x14ac:dyDescent="0.35">
      <c r="T56" s="55"/>
      <c r="U56" s="55"/>
      <c r="V56" s="55"/>
      <c r="W56" s="55"/>
      <c r="X56" s="55"/>
      <c r="Y56" s="56"/>
      <c r="Z56" s="56"/>
    </row>
    <row r="57" spans="20:26" ht="12.75" customHeight="1" x14ac:dyDescent="0.35">
      <c r="T57" s="55"/>
      <c r="U57" s="55"/>
      <c r="V57" s="55"/>
      <c r="W57" s="55"/>
      <c r="X57" s="55"/>
      <c r="Y57" s="56"/>
      <c r="Z57" s="56"/>
    </row>
    <row r="58" spans="20:26" ht="12.75" customHeight="1" x14ac:dyDescent="0.35">
      <c r="T58" s="55"/>
      <c r="U58" s="55"/>
      <c r="V58" s="55"/>
      <c r="W58" s="55"/>
      <c r="X58" s="55"/>
      <c r="Y58" s="56"/>
      <c r="Z58" s="56"/>
    </row>
    <row r="59" spans="20:26" ht="12.75" customHeight="1" x14ac:dyDescent="0.35">
      <c r="Y59" s="56"/>
      <c r="Z59" s="56"/>
    </row>
    <row r="239" spans="7:26" ht="12.75" customHeight="1" x14ac:dyDescent="0.35"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V239" s="53"/>
      <c r="X239" s="53"/>
      <c r="Y239" s="53"/>
      <c r="Z239" s="53"/>
    </row>
    <row r="240" spans="7:26" ht="12.75" customHeight="1" x14ac:dyDescent="0.35"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V240" s="53"/>
      <c r="X240" s="53"/>
      <c r="Y240" s="53"/>
      <c r="Z240" s="53"/>
    </row>
    <row r="241" spans="7:26" ht="12.75" customHeight="1" x14ac:dyDescent="0.35"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V241" s="53"/>
      <c r="X241" s="53"/>
      <c r="Y241" s="53"/>
      <c r="Z241" s="53"/>
    </row>
    <row r="242" spans="7:26" ht="12.75" customHeight="1" x14ac:dyDescent="0.35"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V242" s="53"/>
      <c r="X242" s="53"/>
      <c r="Y242" s="53"/>
      <c r="Z242" s="53"/>
    </row>
    <row r="243" spans="7:26" ht="12.75" customHeight="1" x14ac:dyDescent="0.35"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V243" s="53"/>
      <c r="X243" s="53"/>
      <c r="Y243" s="53"/>
      <c r="Z243" s="53"/>
    </row>
    <row r="244" spans="7:26" ht="12.75" customHeight="1" x14ac:dyDescent="0.35"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V244" s="53"/>
      <c r="X244" s="53"/>
      <c r="Y244" s="53"/>
      <c r="Z244" s="53"/>
    </row>
    <row r="245" spans="7:26" ht="12.75" customHeight="1" x14ac:dyDescent="0.35"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V245" s="53"/>
      <c r="X245" s="53"/>
      <c r="Y245" s="53"/>
      <c r="Z245" s="53"/>
    </row>
    <row r="246" spans="7:26" ht="12.75" customHeight="1" x14ac:dyDescent="0.35"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V246" s="53"/>
      <c r="X246" s="53"/>
      <c r="Y246" s="53"/>
      <c r="Z246" s="53"/>
    </row>
    <row r="247" spans="7:26" ht="12.75" customHeight="1" x14ac:dyDescent="0.35"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V247" s="53"/>
      <c r="X247" s="53"/>
      <c r="Y247" s="53"/>
      <c r="Z247" s="53"/>
    </row>
    <row r="248" spans="7:26" ht="12.75" customHeight="1" x14ac:dyDescent="0.35"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V248" s="53"/>
      <c r="X248" s="53"/>
      <c r="Y248" s="53"/>
      <c r="Z248" s="53"/>
    </row>
    <row r="249" spans="7:26" ht="12.75" customHeight="1" x14ac:dyDescent="0.35"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V249" s="53"/>
      <c r="X249" s="53"/>
      <c r="Y249" s="53"/>
      <c r="Z249" s="53"/>
    </row>
    <row r="250" spans="7:26" ht="12.75" customHeight="1" x14ac:dyDescent="0.35"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V250" s="53"/>
      <c r="X250" s="53"/>
      <c r="Y250" s="53"/>
      <c r="Z250" s="53"/>
    </row>
    <row r="251" spans="7:26" ht="12.75" customHeight="1" x14ac:dyDescent="0.35"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V251" s="53"/>
      <c r="X251" s="53"/>
      <c r="Y251" s="53"/>
      <c r="Z251" s="53"/>
    </row>
    <row r="252" spans="7:26" ht="12.75" customHeight="1" x14ac:dyDescent="0.35"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V252" s="53"/>
      <c r="X252" s="53"/>
      <c r="Y252" s="53"/>
      <c r="Z252" s="53"/>
    </row>
    <row r="253" spans="7:26" ht="12.75" customHeight="1" x14ac:dyDescent="0.35"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V253" s="53"/>
      <c r="X253" s="53"/>
      <c r="Y253" s="53"/>
      <c r="Z253" s="53"/>
    </row>
    <row r="254" spans="7:26" ht="12.75" customHeight="1" x14ac:dyDescent="0.35"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V254" s="53"/>
      <c r="X254" s="53"/>
      <c r="Y254" s="53"/>
      <c r="Z254" s="53"/>
    </row>
    <row r="255" spans="7:26" ht="12.75" customHeight="1" x14ac:dyDescent="0.35"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V255" s="53"/>
      <c r="X255" s="53"/>
      <c r="Y255" s="53"/>
      <c r="Z255" s="53"/>
    </row>
    <row r="256" spans="7:26" ht="12.75" customHeight="1" x14ac:dyDescent="0.35"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V256" s="53"/>
      <c r="X256" s="53"/>
      <c r="Y256" s="53"/>
      <c r="Z256" s="53"/>
    </row>
    <row r="257" spans="7:26" ht="12.75" customHeight="1" x14ac:dyDescent="0.35"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V257" s="53"/>
      <c r="X257" s="53"/>
      <c r="Y257" s="53"/>
      <c r="Z257" s="53"/>
    </row>
    <row r="258" spans="7:26" ht="12.75" customHeight="1" x14ac:dyDescent="0.35"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V258" s="53"/>
      <c r="X258" s="53"/>
      <c r="Y258" s="53"/>
      <c r="Z258" s="53"/>
    </row>
    <row r="259" spans="7:26" ht="12.75" customHeight="1" x14ac:dyDescent="0.35"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V259" s="53"/>
      <c r="X259" s="53"/>
      <c r="Y259" s="53"/>
      <c r="Z259" s="53"/>
    </row>
    <row r="260" spans="7:26" ht="12.75" customHeight="1" x14ac:dyDescent="0.35"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V260" s="53"/>
      <c r="X260" s="53"/>
      <c r="Y260" s="53"/>
      <c r="Z260" s="53"/>
    </row>
    <row r="261" spans="7:26" ht="12.75" customHeight="1" x14ac:dyDescent="0.35"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V261" s="53"/>
      <c r="X261" s="53"/>
      <c r="Y261" s="53"/>
      <c r="Z261" s="53"/>
    </row>
    <row r="262" spans="7:26" ht="12.75" customHeight="1" x14ac:dyDescent="0.35"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V262" s="53"/>
      <c r="X262" s="53"/>
      <c r="Y262" s="53"/>
      <c r="Z262" s="53"/>
    </row>
    <row r="263" spans="7:26" ht="12.75" customHeight="1" x14ac:dyDescent="0.35"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V263" s="53"/>
      <c r="X263" s="53"/>
      <c r="Y263" s="53"/>
      <c r="Z263" s="53"/>
    </row>
    <row r="264" spans="7:26" ht="12.75" customHeight="1" x14ac:dyDescent="0.35"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V264" s="53"/>
      <c r="X264" s="53"/>
      <c r="Y264" s="53"/>
      <c r="Z264" s="53"/>
    </row>
    <row r="265" spans="7:26" ht="12.75" customHeight="1" x14ac:dyDescent="0.35"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V265" s="53"/>
      <c r="X265" s="53"/>
      <c r="Y265" s="53"/>
      <c r="Z265" s="53"/>
    </row>
    <row r="266" spans="7:26" ht="12.75" customHeight="1" x14ac:dyDescent="0.35"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V266" s="53"/>
      <c r="X266" s="53"/>
      <c r="Y266" s="53"/>
      <c r="Z266" s="53"/>
    </row>
    <row r="267" spans="7:26" ht="12.75" customHeight="1" x14ac:dyDescent="0.35"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V267" s="53"/>
      <c r="X267" s="53"/>
      <c r="Y267" s="53"/>
      <c r="Z267" s="53"/>
    </row>
    <row r="268" spans="7:26" ht="12.75" customHeight="1" x14ac:dyDescent="0.35"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V268" s="53"/>
      <c r="X268" s="53"/>
      <c r="Y268" s="53"/>
      <c r="Z268" s="53"/>
    </row>
    <row r="269" spans="7:26" ht="12.75" customHeight="1" x14ac:dyDescent="0.35"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V269" s="53"/>
      <c r="X269" s="53"/>
      <c r="Y269" s="53"/>
      <c r="Z269" s="53"/>
    </row>
    <row r="270" spans="7:26" ht="12.75" customHeight="1" x14ac:dyDescent="0.35"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V270" s="53"/>
      <c r="X270" s="53"/>
      <c r="Y270" s="53"/>
      <c r="Z270" s="53"/>
    </row>
    <row r="271" spans="7:26" ht="12.75" customHeight="1" x14ac:dyDescent="0.35"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V271" s="53"/>
      <c r="X271" s="53"/>
      <c r="Y271" s="53"/>
      <c r="Z271" s="53"/>
    </row>
    <row r="272" spans="7:26" ht="12.75" customHeight="1" x14ac:dyDescent="0.35"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V272" s="53"/>
      <c r="X272" s="53"/>
      <c r="Y272" s="53"/>
      <c r="Z272" s="53"/>
    </row>
    <row r="273" spans="7:26" ht="12.75" customHeight="1" x14ac:dyDescent="0.35"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V273" s="53"/>
      <c r="X273" s="53"/>
      <c r="Y273" s="53"/>
      <c r="Z273" s="53"/>
    </row>
    <row r="274" spans="7:26" ht="12.75" customHeight="1" x14ac:dyDescent="0.35"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V274" s="53"/>
      <c r="X274" s="53"/>
      <c r="Y274" s="53"/>
      <c r="Z274" s="53"/>
    </row>
    <row r="275" spans="7:26" ht="12.75" customHeight="1" x14ac:dyDescent="0.35"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V275" s="53"/>
      <c r="X275" s="53"/>
      <c r="Y275" s="53"/>
      <c r="Z275" s="53"/>
    </row>
    <row r="276" spans="7:26" ht="12.75" customHeight="1" x14ac:dyDescent="0.35"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X276" s="53"/>
      <c r="Y276" s="53"/>
      <c r="Z276" s="53"/>
    </row>
    <row r="277" spans="7:26" ht="12.75" customHeight="1" x14ac:dyDescent="0.35"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X277" s="53"/>
      <c r="Y277" s="53"/>
      <c r="Z277" s="53"/>
    </row>
    <row r="278" spans="7:26" ht="12.75" customHeight="1" x14ac:dyDescent="0.35"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X278" s="53"/>
      <c r="Y278" s="53"/>
      <c r="Z278" s="53"/>
    </row>
    <row r="279" spans="7:26" ht="12.75" customHeight="1" x14ac:dyDescent="0.35"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X279" s="53"/>
      <c r="Y279" s="53"/>
      <c r="Z279" s="53"/>
    </row>
    <row r="280" spans="7:26" ht="12.75" customHeight="1" x14ac:dyDescent="0.35"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X280" s="53"/>
      <c r="Y280" s="53"/>
      <c r="Z280" s="53"/>
    </row>
    <row r="281" spans="7:26" ht="12.75" customHeight="1" x14ac:dyDescent="0.35"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X281" s="53"/>
      <c r="Y281" s="53"/>
      <c r="Z281" s="53"/>
    </row>
    <row r="282" spans="7:26" ht="12.75" customHeight="1" x14ac:dyDescent="0.35"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X282" s="53"/>
      <c r="Y282" s="53"/>
      <c r="Z282" s="53"/>
    </row>
    <row r="283" spans="7:26" ht="12.75" customHeight="1" x14ac:dyDescent="0.35"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X283" s="53"/>
      <c r="Y283" s="53"/>
      <c r="Z283" s="53"/>
    </row>
    <row r="284" spans="7:26" ht="12.75" customHeight="1" x14ac:dyDescent="0.35"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X284" s="53"/>
      <c r="Y284" s="53"/>
      <c r="Z284" s="53"/>
    </row>
    <row r="285" spans="7:26" ht="12.75" customHeight="1" x14ac:dyDescent="0.35"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X285" s="53"/>
      <c r="Y285" s="53"/>
      <c r="Z285" s="53"/>
    </row>
    <row r="286" spans="7:26" ht="12.75" customHeight="1" x14ac:dyDescent="0.35"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X286" s="53"/>
      <c r="Y286" s="53"/>
      <c r="Z286" s="53"/>
    </row>
    <row r="287" spans="7:26" ht="12.75" customHeight="1" x14ac:dyDescent="0.35"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X287" s="53"/>
      <c r="Y287" s="53"/>
      <c r="Z287" s="53"/>
    </row>
    <row r="288" spans="7:26" ht="12.75" customHeight="1" x14ac:dyDescent="0.35"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X288" s="53"/>
      <c r="Y288" s="53"/>
      <c r="Z288" s="53"/>
    </row>
    <row r="289" spans="7:26" ht="12.75" customHeight="1" x14ac:dyDescent="0.35"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X289" s="53"/>
      <c r="Y289" s="53"/>
      <c r="Z289" s="53"/>
    </row>
    <row r="290" spans="7:26" ht="12.75" customHeight="1" x14ac:dyDescent="0.35"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X290" s="53"/>
      <c r="Y290" s="53"/>
      <c r="Z290" s="53"/>
    </row>
    <row r="291" spans="7:26" ht="12.75" customHeight="1" x14ac:dyDescent="0.35"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X291" s="53"/>
      <c r="Y291" s="53"/>
      <c r="Z291" s="53"/>
    </row>
    <row r="292" spans="7:26" ht="12.75" customHeight="1" x14ac:dyDescent="0.35"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X292" s="53"/>
      <c r="Y292" s="53"/>
      <c r="Z292" s="53"/>
    </row>
    <row r="293" spans="7:26" ht="12.75" customHeight="1" x14ac:dyDescent="0.35"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X293" s="53"/>
      <c r="Y293" s="53"/>
      <c r="Z293" s="53"/>
    </row>
    <row r="294" spans="7:26" ht="12.75" customHeight="1" x14ac:dyDescent="0.35"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X294" s="53"/>
      <c r="Y294" s="53"/>
      <c r="Z294" s="53"/>
    </row>
    <row r="295" spans="7:26" ht="12.75" customHeight="1" x14ac:dyDescent="0.35"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X295" s="53"/>
      <c r="Y295" s="53"/>
      <c r="Z295" s="53"/>
    </row>
    <row r="296" spans="7:26" ht="12.75" customHeight="1" x14ac:dyDescent="0.35"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X296" s="53"/>
      <c r="Y296" s="53"/>
      <c r="Z296" s="53"/>
    </row>
    <row r="297" spans="7:26" ht="12.75" customHeight="1" x14ac:dyDescent="0.35"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X297" s="53"/>
      <c r="Y297" s="53"/>
      <c r="Z297" s="53"/>
    </row>
    <row r="298" spans="7:26" ht="12.75" customHeight="1" x14ac:dyDescent="0.35"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X298" s="53"/>
      <c r="Y298" s="53"/>
      <c r="Z298" s="53"/>
    </row>
    <row r="299" spans="7:26" ht="12.75" customHeight="1" x14ac:dyDescent="0.35"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X299" s="53"/>
      <c r="Y299" s="53"/>
      <c r="Z299" s="53"/>
    </row>
    <row r="300" spans="7:26" ht="12.75" customHeight="1" x14ac:dyDescent="0.35"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X300" s="53"/>
      <c r="Y300" s="53"/>
      <c r="Z300" s="53"/>
    </row>
    <row r="301" spans="7:26" ht="12.75" customHeight="1" x14ac:dyDescent="0.35"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X301" s="53"/>
      <c r="Y301" s="53"/>
      <c r="Z301" s="53"/>
    </row>
    <row r="302" spans="7:26" ht="12.75" customHeight="1" x14ac:dyDescent="0.35"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X302" s="53"/>
      <c r="Y302" s="53"/>
      <c r="Z302" s="53"/>
    </row>
    <row r="303" spans="7:26" ht="12.75" customHeight="1" x14ac:dyDescent="0.35"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X303" s="53"/>
      <c r="Y303" s="53"/>
      <c r="Z303" s="53"/>
    </row>
    <row r="304" spans="7:26" ht="12.75" customHeight="1" x14ac:dyDescent="0.35"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X304" s="53"/>
      <c r="Y304" s="53"/>
      <c r="Z304" s="53"/>
    </row>
    <row r="305" spans="7:26" ht="12.75" customHeight="1" x14ac:dyDescent="0.35"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X305" s="53"/>
      <c r="Y305" s="53"/>
      <c r="Z305" s="53"/>
    </row>
    <row r="306" spans="7:26" ht="12.75" customHeight="1" x14ac:dyDescent="0.35"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X306" s="53"/>
      <c r="Y306" s="53"/>
      <c r="Z306" s="53"/>
    </row>
    <row r="307" spans="7:26" ht="12.75" customHeight="1" x14ac:dyDescent="0.35"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X307" s="53"/>
      <c r="Y307" s="53"/>
      <c r="Z307" s="53"/>
    </row>
    <row r="308" spans="7:26" ht="12.75" customHeight="1" x14ac:dyDescent="0.35"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X308" s="53"/>
      <c r="Y308" s="53"/>
      <c r="Z308" s="53"/>
    </row>
    <row r="309" spans="7:26" ht="12.75" customHeight="1" x14ac:dyDescent="0.35"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X309" s="53"/>
      <c r="Y309" s="53"/>
      <c r="Z309" s="53"/>
    </row>
    <row r="310" spans="7:26" ht="12.75" customHeight="1" x14ac:dyDescent="0.35"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X310" s="53"/>
      <c r="Y310" s="53"/>
      <c r="Z310" s="53"/>
    </row>
    <row r="311" spans="7:26" ht="12.75" customHeight="1" x14ac:dyDescent="0.35"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X311" s="53"/>
      <c r="Y311" s="53"/>
      <c r="Z311" s="53"/>
    </row>
    <row r="312" spans="7:26" ht="12.75" customHeight="1" x14ac:dyDescent="0.35"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X312" s="53"/>
      <c r="Y312" s="53"/>
      <c r="Z312" s="53"/>
    </row>
    <row r="313" spans="7:26" ht="12.75" customHeight="1" x14ac:dyDescent="0.35"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X313" s="53"/>
      <c r="Y313" s="53"/>
      <c r="Z313" s="53"/>
    </row>
    <row r="314" spans="7:26" ht="12.75" customHeight="1" x14ac:dyDescent="0.35"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X314" s="53"/>
      <c r="Y314" s="53"/>
      <c r="Z314" s="53"/>
    </row>
    <row r="315" spans="7:26" ht="12.75" customHeight="1" x14ac:dyDescent="0.35"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X315" s="53"/>
      <c r="Y315" s="53"/>
      <c r="Z315" s="53"/>
    </row>
    <row r="316" spans="7:26" ht="12.75" customHeight="1" x14ac:dyDescent="0.35"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X316" s="53"/>
      <c r="Y316" s="53"/>
      <c r="Z316" s="53"/>
    </row>
    <row r="317" spans="7:26" ht="12.75" customHeight="1" x14ac:dyDescent="0.35"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X317" s="53"/>
      <c r="Y317" s="53"/>
      <c r="Z317" s="53"/>
    </row>
    <row r="318" spans="7:26" ht="12.75" customHeight="1" x14ac:dyDescent="0.35"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X318" s="53"/>
      <c r="Y318" s="53"/>
      <c r="Z318" s="53"/>
    </row>
    <row r="319" spans="7:26" ht="12.75" customHeight="1" x14ac:dyDescent="0.35"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X319" s="53"/>
      <c r="Y319" s="53"/>
      <c r="Z319" s="53"/>
    </row>
    <row r="320" spans="7:26" ht="12.75" customHeight="1" x14ac:dyDescent="0.35"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X320" s="53"/>
      <c r="Y320" s="53"/>
      <c r="Z320" s="53"/>
    </row>
    <row r="321" spans="7:26" ht="12.75" customHeight="1" x14ac:dyDescent="0.35"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X321" s="53"/>
      <c r="Y321" s="53"/>
      <c r="Z321" s="53"/>
    </row>
    <row r="322" spans="7:26" ht="12.75" customHeight="1" x14ac:dyDescent="0.35"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X322" s="53"/>
      <c r="Y322" s="53"/>
      <c r="Z322" s="53"/>
    </row>
    <row r="323" spans="7:26" ht="12.75" customHeight="1" x14ac:dyDescent="0.35"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X323" s="53"/>
      <c r="Y323" s="53"/>
      <c r="Z323" s="53"/>
    </row>
    <row r="324" spans="7:26" ht="12.75" customHeight="1" x14ac:dyDescent="0.35"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X324" s="53"/>
      <c r="Y324" s="53"/>
      <c r="Z324" s="53"/>
    </row>
    <row r="325" spans="7:26" ht="12.75" customHeight="1" x14ac:dyDescent="0.35"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X325" s="53"/>
      <c r="Y325" s="53"/>
      <c r="Z325" s="53"/>
    </row>
    <row r="326" spans="7:26" ht="12.75" customHeight="1" x14ac:dyDescent="0.35"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X326" s="53"/>
      <c r="Y326" s="53"/>
      <c r="Z326" s="53"/>
    </row>
    <row r="327" spans="7:26" ht="12.75" customHeight="1" x14ac:dyDescent="0.35"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X327" s="53"/>
      <c r="Y327" s="53"/>
      <c r="Z327" s="53"/>
    </row>
    <row r="328" spans="7:26" ht="12.75" customHeight="1" x14ac:dyDescent="0.35"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X328" s="53"/>
      <c r="Y328" s="53"/>
      <c r="Z328" s="53"/>
    </row>
    <row r="329" spans="7:26" ht="12.75" customHeight="1" x14ac:dyDescent="0.35"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X329" s="53"/>
      <c r="Y329" s="53"/>
      <c r="Z329" s="53"/>
    </row>
    <row r="330" spans="7:26" ht="12.75" customHeight="1" x14ac:dyDescent="0.35"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X330" s="53"/>
      <c r="Y330" s="53"/>
      <c r="Z330" s="53"/>
    </row>
    <row r="331" spans="7:26" ht="12.75" customHeight="1" x14ac:dyDescent="0.35"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X331" s="53"/>
      <c r="Y331" s="53"/>
      <c r="Z331" s="53"/>
    </row>
  </sheetData>
  <mergeCells count="2">
    <mergeCell ref="C20:N20"/>
    <mergeCell ref="T20:Y20"/>
  </mergeCells>
  <phoneticPr fontId="0" type="noConversion"/>
  <pageMargins left="0.75" right="0.75" top="1" bottom="1" header="0.5" footer="0.5"/>
  <pageSetup scale="50" orientation="landscape" horizontalDpi="300" verticalDpi="300" r:id="rId1"/>
  <headerFooter alignWithMargins="0"/>
  <colBreaks count="1" manualBreakCount="1">
    <brk id="19" min="12" max="3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37"/>
  <sheetViews>
    <sheetView zoomScaleNormal="100" workbookViewId="0">
      <selection activeCell="A9" sqref="A9"/>
    </sheetView>
  </sheetViews>
  <sheetFormatPr defaultColWidth="9.08203125" defaultRowHeight="13" x14ac:dyDescent="0.3"/>
  <cols>
    <col min="1" max="1" width="9.08203125" style="1"/>
    <col min="2" max="2" width="12" style="1" customWidth="1"/>
    <col min="3" max="3" width="9.58203125" style="1" customWidth="1"/>
    <col min="4" max="10" width="9.08203125" style="1"/>
    <col min="11" max="12" width="10.33203125" style="1" customWidth="1"/>
    <col min="13" max="16384" width="9.08203125" style="1"/>
  </cols>
  <sheetData>
    <row r="1" spans="1:12" x14ac:dyDescent="0.3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x14ac:dyDescent="0.3">
      <c r="A2" s="115" t="str">
        <f>Input!$B$13</f>
        <v>CASE NO. 2021-00183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x14ac:dyDescent="0.3">
      <c r="A3" s="115" t="s">
        <v>40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x14ac:dyDescent="0.3">
      <c r="A4" s="115" t="s">
        <v>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x14ac:dyDescent="0.3">
      <c r="A5" s="115" t="str">
        <f>Input!B17</f>
        <v>TWELVE MONTHS ENDING DECEMBER 31, 2022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x14ac:dyDescent="0.3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x14ac:dyDescent="0.3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x14ac:dyDescent="0.3">
      <c r="A8" s="1" t="s">
        <v>113</v>
      </c>
      <c r="L8" s="8" t="s">
        <v>3</v>
      </c>
    </row>
    <row r="9" spans="1:12" x14ac:dyDescent="0.3">
      <c r="A9" s="1" t="s">
        <v>158</v>
      </c>
      <c r="L9" s="13" t="s">
        <v>131</v>
      </c>
    </row>
    <row r="10" spans="1:12" x14ac:dyDescent="0.3">
      <c r="A10" s="20" t="s">
        <v>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 t="str">
        <f>Input!B15</f>
        <v>Witness: JUDITH L. SIEGLER</v>
      </c>
    </row>
    <row r="13" spans="1:12" x14ac:dyDescent="0.3">
      <c r="D13" s="109"/>
      <c r="E13" s="109"/>
      <c r="F13" s="109"/>
      <c r="G13" s="109"/>
      <c r="H13" s="109"/>
      <c r="I13" s="109"/>
      <c r="J13" s="109" t="s">
        <v>29</v>
      </c>
      <c r="K13" s="109" t="s">
        <v>29</v>
      </c>
      <c r="L13" s="109"/>
    </row>
    <row r="14" spans="1:12" x14ac:dyDescent="0.3">
      <c r="A14" s="109" t="s">
        <v>4</v>
      </c>
      <c r="B14" s="109" t="s">
        <v>6</v>
      </c>
      <c r="C14" s="109" t="s">
        <v>8</v>
      </c>
      <c r="D14" s="109" t="s">
        <v>8</v>
      </c>
      <c r="E14" s="109" t="s">
        <v>14</v>
      </c>
      <c r="F14" s="109" t="s">
        <v>18</v>
      </c>
      <c r="G14" s="109" t="s">
        <v>20</v>
      </c>
      <c r="H14" s="109" t="s">
        <v>20</v>
      </c>
      <c r="I14" s="109" t="s">
        <v>26</v>
      </c>
      <c r="J14" s="109" t="s">
        <v>14</v>
      </c>
      <c r="K14" s="109" t="s">
        <v>18</v>
      </c>
      <c r="L14" s="109" t="s">
        <v>33</v>
      </c>
    </row>
    <row r="15" spans="1:12" x14ac:dyDescent="0.3">
      <c r="A15" s="74" t="s">
        <v>5</v>
      </c>
      <c r="B15" s="74" t="s">
        <v>7</v>
      </c>
      <c r="C15" s="74" t="s">
        <v>9</v>
      </c>
      <c r="D15" s="74" t="s">
        <v>10</v>
      </c>
      <c r="E15" s="74" t="s">
        <v>15</v>
      </c>
      <c r="F15" s="74" t="s">
        <v>15</v>
      </c>
      <c r="G15" s="75" t="s">
        <v>21</v>
      </c>
      <c r="H15" s="75" t="s">
        <v>23</v>
      </c>
      <c r="I15" s="74" t="s">
        <v>27</v>
      </c>
      <c r="J15" s="74" t="s">
        <v>15</v>
      </c>
      <c r="K15" s="74" t="s">
        <v>15</v>
      </c>
      <c r="L15" s="74" t="s">
        <v>20</v>
      </c>
    </row>
    <row r="16" spans="1:12" x14ac:dyDescent="0.3">
      <c r="D16" s="4" t="s">
        <v>12</v>
      </c>
      <c r="E16" s="4" t="s">
        <v>16</v>
      </c>
      <c r="F16" s="4" t="s">
        <v>16</v>
      </c>
      <c r="G16" s="4" t="s">
        <v>16</v>
      </c>
      <c r="H16" s="4" t="s">
        <v>24</v>
      </c>
      <c r="I16" s="4" t="s">
        <v>16</v>
      </c>
      <c r="J16" s="4" t="s">
        <v>16</v>
      </c>
      <c r="K16" s="4" t="s">
        <v>16</v>
      </c>
      <c r="L16" s="4" t="s">
        <v>24</v>
      </c>
    </row>
    <row r="17" spans="1:12" x14ac:dyDescent="0.3">
      <c r="C17" s="4" t="s">
        <v>11</v>
      </c>
      <c r="D17" s="4" t="s">
        <v>13</v>
      </c>
      <c r="E17" s="4" t="s">
        <v>17</v>
      </c>
      <c r="F17" s="4" t="s">
        <v>19</v>
      </c>
      <c r="G17" s="4" t="s">
        <v>22</v>
      </c>
      <c r="H17" s="4" t="s">
        <v>25</v>
      </c>
      <c r="I17" s="4" t="s">
        <v>28</v>
      </c>
      <c r="J17" s="4" t="s">
        <v>30</v>
      </c>
      <c r="K17" s="4" t="s">
        <v>31</v>
      </c>
      <c r="L17" s="4" t="s">
        <v>32</v>
      </c>
    </row>
    <row r="18" spans="1:12" x14ac:dyDescent="0.3">
      <c r="D18" s="109"/>
      <c r="E18" s="109"/>
      <c r="F18" s="109"/>
      <c r="G18" s="109"/>
      <c r="H18" s="109"/>
      <c r="I18" s="109"/>
      <c r="J18" s="4" t="s">
        <v>34</v>
      </c>
      <c r="K18" s="4" t="s">
        <v>35</v>
      </c>
      <c r="L18" s="4" t="s">
        <v>36</v>
      </c>
    </row>
    <row r="19" spans="1:12" x14ac:dyDescent="0.3">
      <c r="A19" s="109"/>
      <c r="D19" s="111"/>
      <c r="E19" s="109"/>
      <c r="F19" s="109"/>
      <c r="G19" s="109"/>
      <c r="H19" s="109"/>
      <c r="I19" s="109"/>
      <c r="J19" s="109"/>
      <c r="K19" s="109"/>
      <c r="L19" s="109"/>
    </row>
    <row r="20" spans="1:12" x14ac:dyDescent="0.3">
      <c r="A20" s="109">
        <v>1</v>
      </c>
      <c r="B20" s="109" t="s">
        <v>49</v>
      </c>
      <c r="C20" s="109" t="s">
        <v>38</v>
      </c>
      <c r="D20" s="71">
        <v>3</v>
      </c>
      <c r="E20" s="6">
        <f>Input!$H$29+ROUND(Input!$C$29*LG2R!D20,2)</f>
        <v>1.05</v>
      </c>
      <c r="F20" s="6">
        <f>Input!$Y$29+ROUND(Input!$T$29*LG2R!D20,2)</f>
        <v>1.05</v>
      </c>
      <c r="G20" s="6">
        <f>F20-E20</f>
        <v>0</v>
      </c>
      <c r="H20" s="7">
        <f>ROUND(G20/E20,3)</f>
        <v>0</v>
      </c>
      <c r="I20" s="6">
        <f>ROUND(D20*SUM(Input!$O$29:$R$29),2)</f>
        <v>0</v>
      </c>
      <c r="J20" s="6">
        <f>E20+I20</f>
        <v>1.05</v>
      </c>
      <c r="K20" s="6">
        <f>F20+I20</f>
        <v>1.05</v>
      </c>
      <c r="L20" s="7">
        <f>ROUND((K20-J20)/J20,3)</f>
        <v>0</v>
      </c>
    </row>
    <row r="21" spans="1:12" x14ac:dyDescent="0.3">
      <c r="A21" s="109">
        <v>2</v>
      </c>
      <c r="B21" s="109" t="s">
        <v>54</v>
      </c>
      <c r="C21" s="109" t="s">
        <v>39</v>
      </c>
      <c r="D21" s="71">
        <v>8</v>
      </c>
      <c r="E21" s="6">
        <f>Input!$H$29+ROUND(Input!$C$29*LG2R!D21,2)</f>
        <v>2.8</v>
      </c>
      <c r="F21" s="6">
        <f>Input!$Y$29+ROUND(Input!$T$29*LG2R!D21,2)</f>
        <v>2.8</v>
      </c>
      <c r="G21" s="6">
        <f t="shared" ref="G21:G30" si="0">F21-E21</f>
        <v>0</v>
      </c>
      <c r="H21" s="7">
        <f t="shared" ref="H21:H31" si="1">ROUND(G21/E21,3)</f>
        <v>0</v>
      </c>
      <c r="I21" s="6">
        <f>ROUND(D21*SUM(Input!$O$29:$R$29),2)</f>
        <v>0</v>
      </c>
      <c r="J21" s="6">
        <f t="shared" ref="J21:J30" si="2">E21+I21</f>
        <v>2.8</v>
      </c>
      <c r="K21" s="6">
        <f t="shared" ref="K21:K30" si="3">F21+I21</f>
        <v>2.8</v>
      </c>
      <c r="L21" s="7">
        <f t="shared" ref="L21:L31" si="4">ROUND((K21-J21)/J21,3)</f>
        <v>0</v>
      </c>
    </row>
    <row r="22" spans="1:12" x14ac:dyDescent="0.3">
      <c r="A22" s="109">
        <v>3</v>
      </c>
      <c r="B22" s="110" t="s">
        <v>110</v>
      </c>
      <c r="D22" s="71">
        <v>10</v>
      </c>
      <c r="E22" s="6">
        <f>Input!$H$29+ROUND(Input!$C$29*LG2R!D22,2)</f>
        <v>3.5</v>
      </c>
      <c r="F22" s="6">
        <f>Input!$Y$29+ROUND(Input!$T$29*LG2R!D22,2)</f>
        <v>3.5</v>
      </c>
      <c r="G22" s="6">
        <f t="shared" si="0"/>
        <v>0</v>
      </c>
      <c r="H22" s="7">
        <f t="shared" si="1"/>
        <v>0</v>
      </c>
      <c r="I22" s="6">
        <f>ROUND(D22*SUM(Input!$O$29:$R$29),2)</f>
        <v>0</v>
      </c>
      <c r="J22" s="6">
        <f t="shared" si="2"/>
        <v>3.5</v>
      </c>
      <c r="K22" s="6">
        <f t="shared" si="3"/>
        <v>3.5</v>
      </c>
      <c r="L22" s="7">
        <f t="shared" si="4"/>
        <v>0</v>
      </c>
    </row>
    <row r="23" spans="1:12" x14ac:dyDescent="0.3">
      <c r="A23" s="109">
        <v>4</v>
      </c>
      <c r="D23" s="71">
        <v>12</v>
      </c>
      <c r="E23" s="6">
        <f>Input!$H$29+ROUND(Input!$C$29*LG2R!D23,2)</f>
        <v>4.2</v>
      </c>
      <c r="F23" s="6">
        <f>Input!$Y$29+ROUND(Input!$T$29*LG2R!D23,2)</f>
        <v>4.2</v>
      </c>
      <c r="G23" s="6">
        <f t="shared" si="0"/>
        <v>0</v>
      </c>
      <c r="H23" s="7">
        <f t="shared" si="1"/>
        <v>0</v>
      </c>
      <c r="I23" s="6">
        <f>ROUND(D23*SUM(Input!$O$29:$R$29),2)</f>
        <v>0</v>
      </c>
      <c r="J23" s="6">
        <f t="shared" si="2"/>
        <v>4.2</v>
      </c>
      <c r="K23" s="6">
        <f t="shared" si="3"/>
        <v>4.2</v>
      </c>
      <c r="L23" s="7">
        <f t="shared" si="4"/>
        <v>0</v>
      </c>
    </row>
    <row r="24" spans="1:12" x14ac:dyDescent="0.3">
      <c r="A24" s="109">
        <v>5</v>
      </c>
      <c r="B24" s="109"/>
      <c r="D24" s="71">
        <v>16</v>
      </c>
      <c r="E24" s="6">
        <f>Input!$H$29+ROUND(Input!$C$29*LG2R!D24,2)</f>
        <v>5.6</v>
      </c>
      <c r="F24" s="6">
        <f>Input!$Y$29+ROUND(Input!$T$29*LG2R!D24,2)</f>
        <v>5.6</v>
      </c>
      <c r="G24" s="6">
        <f t="shared" si="0"/>
        <v>0</v>
      </c>
      <c r="H24" s="7">
        <f t="shared" si="1"/>
        <v>0</v>
      </c>
      <c r="I24" s="6">
        <f>ROUND(D24*SUM(Input!$O$29:$R$29),2)</f>
        <v>0</v>
      </c>
      <c r="J24" s="6">
        <f t="shared" si="2"/>
        <v>5.6</v>
      </c>
      <c r="K24" s="6">
        <f t="shared" si="3"/>
        <v>5.6</v>
      </c>
      <c r="L24" s="7">
        <f t="shared" si="4"/>
        <v>0</v>
      </c>
    </row>
    <row r="25" spans="1:12" x14ac:dyDescent="0.3">
      <c r="A25" s="109">
        <v>6</v>
      </c>
      <c r="B25" s="110"/>
      <c r="D25" s="71">
        <v>20</v>
      </c>
      <c r="E25" s="6">
        <f>Input!$H$29+ROUND(Input!$C$29*LG2R!D25,2)</f>
        <v>7</v>
      </c>
      <c r="F25" s="6">
        <f>Input!$Y$29+ROUND(Input!$T$29*LG2R!D25,2)</f>
        <v>7</v>
      </c>
      <c r="G25" s="6">
        <f t="shared" si="0"/>
        <v>0</v>
      </c>
      <c r="H25" s="7">
        <f t="shared" si="1"/>
        <v>0</v>
      </c>
      <c r="I25" s="6">
        <f>ROUND(D25*SUM(Input!$O$29:$R$29),2)</f>
        <v>0</v>
      </c>
      <c r="J25" s="6">
        <f t="shared" si="2"/>
        <v>7</v>
      </c>
      <c r="K25" s="6">
        <f t="shared" si="3"/>
        <v>7</v>
      </c>
      <c r="L25" s="7">
        <f t="shared" si="4"/>
        <v>0</v>
      </c>
    </row>
    <row r="26" spans="1:12" x14ac:dyDescent="0.3">
      <c r="A26" s="109">
        <v>7</v>
      </c>
      <c r="D26" s="71">
        <v>30</v>
      </c>
      <c r="E26" s="6">
        <f>Input!$H$29+ROUND(Input!$C$29*LG2R!D26,2)</f>
        <v>10.5</v>
      </c>
      <c r="F26" s="6">
        <f>Input!$Y$29+ROUND(Input!$T$29*LG2R!D26,2)</f>
        <v>10.5</v>
      </c>
      <c r="G26" s="6">
        <f t="shared" si="0"/>
        <v>0</v>
      </c>
      <c r="H26" s="7">
        <f t="shared" si="1"/>
        <v>0</v>
      </c>
      <c r="I26" s="6">
        <f>ROUND(D26*SUM(Input!$O$29:$R$29),2)</f>
        <v>0</v>
      </c>
      <c r="J26" s="6">
        <f t="shared" si="2"/>
        <v>10.5</v>
      </c>
      <c r="K26" s="6">
        <f t="shared" si="3"/>
        <v>10.5</v>
      </c>
      <c r="L26" s="7">
        <f t="shared" si="4"/>
        <v>0</v>
      </c>
    </row>
    <row r="27" spans="1:12" x14ac:dyDescent="0.3">
      <c r="A27" s="109">
        <v>8</v>
      </c>
      <c r="D27" s="71">
        <v>40</v>
      </c>
      <c r="E27" s="6">
        <f>Input!$H$29+ROUND(Input!$C$29*LG2R!D27,2)</f>
        <v>14</v>
      </c>
      <c r="F27" s="6">
        <f>Input!$Y$29+ROUND(Input!$T$29*LG2R!D27,2)</f>
        <v>14</v>
      </c>
      <c r="G27" s="6">
        <f t="shared" si="0"/>
        <v>0</v>
      </c>
      <c r="H27" s="7">
        <f t="shared" si="1"/>
        <v>0</v>
      </c>
      <c r="I27" s="6">
        <f>ROUND(D27*SUM(Input!$O$29:$R$29),2)</f>
        <v>0</v>
      </c>
      <c r="J27" s="6">
        <f t="shared" si="2"/>
        <v>14</v>
      </c>
      <c r="K27" s="6">
        <f t="shared" si="3"/>
        <v>14</v>
      </c>
      <c r="L27" s="7">
        <f t="shared" si="4"/>
        <v>0</v>
      </c>
    </row>
    <row r="28" spans="1:12" x14ac:dyDescent="0.3">
      <c r="A28" s="109">
        <v>9</v>
      </c>
      <c r="D28" s="71">
        <v>50</v>
      </c>
      <c r="E28" s="6">
        <f>Input!$H$29+ROUND(Input!$C$29*LG2R!D28,2)</f>
        <v>17.5</v>
      </c>
      <c r="F28" s="6">
        <f>Input!$Y$29+ROUND(Input!$T$29*LG2R!D28,2)</f>
        <v>17.5</v>
      </c>
      <c r="G28" s="6">
        <f t="shared" si="0"/>
        <v>0</v>
      </c>
      <c r="H28" s="7">
        <f t="shared" si="1"/>
        <v>0</v>
      </c>
      <c r="I28" s="6">
        <f>ROUND(D28*SUM(Input!$O$29:$R$29),2)</f>
        <v>0</v>
      </c>
      <c r="J28" s="6">
        <f t="shared" si="2"/>
        <v>17.5</v>
      </c>
      <c r="K28" s="6">
        <f t="shared" si="3"/>
        <v>17.5</v>
      </c>
      <c r="L28" s="7">
        <f t="shared" si="4"/>
        <v>0</v>
      </c>
    </row>
    <row r="29" spans="1:12" x14ac:dyDescent="0.3">
      <c r="A29" s="109">
        <v>10</v>
      </c>
      <c r="D29" s="71">
        <f>+E33</f>
        <v>56</v>
      </c>
      <c r="E29" s="6">
        <f>Input!$H$29+ROUND(Input!$C$29*LG2R!D29,2)</f>
        <v>19.600000000000001</v>
      </c>
      <c r="F29" s="6">
        <f>Input!$Y$29+ROUND(Input!$T$29*LG2R!D29,2)</f>
        <v>19.600000000000001</v>
      </c>
      <c r="G29" s="6">
        <f>F29-E29</f>
        <v>0</v>
      </c>
      <c r="H29" s="7">
        <f t="shared" si="1"/>
        <v>0</v>
      </c>
      <c r="I29" s="6">
        <f>ROUND(D29*SUM(Input!$O$29:$R$29),2)</f>
        <v>0</v>
      </c>
      <c r="J29" s="6">
        <f>E29+I29</f>
        <v>19.600000000000001</v>
      </c>
      <c r="K29" s="6">
        <f>F29+I29</f>
        <v>19.600000000000001</v>
      </c>
      <c r="L29" s="7">
        <f t="shared" si="4"/>
        <v>0</v>
      </c>
    </row>
    <row r="30" spans="1:12" x14ac:dyDescent="0.3">
      <c r="A30" s="109">
        <v>11</v>
      </c>
      <c r="D30" s="71">
        <v>70</v>
      </c>
      <c r="E30" s="6">
        <f>Input!$H$29+ROUND(Input!$C$29*LG2R!D30,2)</f>
        <v>24.5</v>
      </c>
      <c r="F30" s="6">
        <f>Input!$Y$29+ROUND(Input!$T$29*LG2R!D30,2)</f>
        <v>24.5</v>
      </c>
      <c r="G30" s="6">
        <f t="shared" si="0"/>
        <v>0</v>
      </c>
      <c r="H30" s="7">
        <f t="shared" si="1"/>
        <v>0</v>
      </c>
      <c r="I30" s="6">
        <f>ROUND(D30*SUM(Input!$O$29:$R$29),2)</f>
        <v>0</v>
      </c>
      <c r="J30" s="6">
        <f t="shared" si="2"/>
        <v>24.5</v>
      </c>
      <c r="K30" s="6">
        <f t="shared" si="3"/>
        <v>24.5</v>
      </c>
      <c r="L30" s="7">
        <f t="shared" si="4"/>
        <v>0</v>
      </c>
    </row>
    <row r="31" spans="1:12" x14ac:dyDescent="0.3">
      <c r="A31" s="109">
        <v>12</v>
      </c>
      <c r="D31" s="71">
        <v>90</v>
      </c>
      <c r="E31" s="6">
        <f>Input!$H$29+ROUND(Input!$C$29*LG2R!D31,2)</f>
        <v>31.5</v>
      </c>
      <c r="F31" s="6">
        <f>Input!$Y$29+ROUND(Input!$T$29*LG2R!D31,2)</f>
        <v>31.5</v>
      </c>
      <c r="G31" s="6">
        <f>F31-E31</f>
        <v>0</v>
      </c>
      <c r="H31" s="7">
        <f t="shared" si="1"/>
        <v>0</v>
      </c>
      <c r="I31" s="6">
        <f>ROUND(D31*SUM(Input!$O$29:$R$29),2)</f>
        <v>0</v>
      </c>
      <c r="J31" s="6">
        <f>E31+I31</f>
        <v>31.5</v>
      </c>
      <c r="K31" s="6">
        <f>F31+I31</f>
        <v>31.5</v>
      </c>
      <c r="L31" s="7">
        <f t="shared" si="4"/>
        <v>0</v>
      </c>
    </row>
    <row r="32" spans="1:12" x14ac:dyDescent="0.3">
      <c r="A32" s="109"/>
      <c r="D32" s="111"/>
      <c r="E32" s="109"/>
      <c r="F32" s="109"/>
      <c r="G32" s="109"/>
      <c r="H32" s="17"/>
      <c r="I32" s="109"/>
      <c r="J32" s="109"/>
      <c r="K32" s="109"/>
      <c r="L32" s="109"/>
    </row>
    <row r="33" spans="1:6" x14ac:dyDescent="0.3">
      <c r="A33" s="9"/>
      <c r="C33" s="1" t="s">
        <v>102</v>
      </c>
      <c r="E33" s="78">
        <f>Input!AE29</f>
        <v>56</v>
      </c>
    </row>
    <row r="34" spans="1:6" x14ac:dyDescent="0.3">
      <c r="A34" s="9"/>
      <c r="E34" s="109"/>
      <c r="F34" s="18"/>
    </row>
    <row r="36" spans="1:6" x14ac:dyDescent="0.3">
      <c r="D36" s="79"/>
    </row>
    <row r="37" spans="1:6" x14ac:dyDescent="0.3">
      <c r="B37" s="1" t="s">
        <v>112</v>
      </c>
    </row>
  </sheetData>
  <mergeCells count="5">
    <mergeCell ref="A1:L1"/>
    <mergeCell ref="A2:L2"/>
    <mergeCell ref="A4:L4"/>
    <mergeCell ref="A5:L5"/>
    <mergeCell ref="A3:L3"/>
  </mergeCells>
  <phoneticPr fontId="0" type="noConversion"/>
  <printOptions horizontalCentered="1"/>
  <pageMargins left="0.5" right="0.5" top="0.75" bottom="0.75" header="0.5" footer="0.5"/>
  <pageSetup scale="97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37"/>
  <sheetViews>
    <sheetView zoomScaleNormal="100" workbookViewId="0">
      <selection activeCell="A9" sqref="A9"/>
    </sheetView>
  </sheetViews>
  <sheetFormatPr defaultColWidth="9.08203125" defaultRowHeight="13" x14ac:dyDescent="0.3"/>
  <cols>
    <col min="1" max="16384" width="9.08203125" style="3"/>
  </cols>
  <sheetData>
    <row r="1" spans="1:12" x14ac:dyDescent="0.3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x14ac:dyDescent="0.3">
      <c r="A2" s="118" t="str">
        <f>Input!$B$13</f>
        <v>CASE NO. 2021-00183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x14ac:dyDescent="0.3">
      <c r="A3" s="118" t="s">
        <v>40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x14ac:dyDescent="0.3">
      <c r="A4" s="118" t="s">
        <v>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x14ac:dyDescent="0.3">
      <c r="A5" s="118" t="str">
        <f>Input!B17</f>
        <v>TWELVE MONTHS ENDING DECEMBER 31, 2022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x14ac:dyDescent="0.3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x14ac:dyDescent="0.3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x14ac:dyDescent="0.3">
      <c r="A8" s="3" t="s">
        <v>113</v>
      </c>
      <c r="L8" s="13" t="s">
        <v>3</v>
      </c>
    </row>
    <row r="9" spans="1:12" x14ac:dyDescent="0.3">
      <c r="A9" s="1" t="s">
        <v>158</v>
      </c>
      <c r="L9" s="13" t="s">
        <v>132</v>
      </c>
    </row>
    <row r="10" spans="1:12" x14ac:dyDescent="0.3">
      <c r="A10" s="23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 t="str">
        <f>Input!B15</f>
        <v>Witness: JUDITH L. SIEGLER</v>
      </c>
    </row>
    <row r="13" spans="1:12" x14ac:dyDescent="0.3">
      <c r="D13" s="111"/>
      <c r="E13" s="111"/>
      <c r="F13" s="111"/>
      <c r="G13" s="111"/>
      <c r="H13" s="111"/>
      <c r="I13" s="111"/>
      <c r="J13" s="111" t="s">
        <v>29</v>
      </c>
      <c r="K13" s="111" t="s">
        <v>29</v>
      </c>
      <c r="L13" s="111"/>
    </row>
    <row r="14" spans="1:12" x14ac:dyDescent="0.3">
      <c r="A14" s="111" t="s">
        <v>4</v>
      </c>
      <c r="B14" s="111" t="s">
        <v>6</v>
      </c>
      <c r="C14" s="111" t="s">
        <v>8</v>
      </c>
      <c r="D14" s="111" t="s">
        <v>8</v>
      </c>
      <c r="E14" s="111" t="s">
        <v>14</v>
      </c>
      <c r="F14" s="111" t="s">
        <v>18</v>
      </c>
      <c r="G14" s="111" t="s">
        <v>20</v>
      </c>
      <c r="H14" s="111" t="s">
        <v>20</v>
      </c>
      <c r="I14" s="111" t="s">
        <v>26</v>
      </c>
      <c r="J14" s="111" t="s">
        <v>14</v>
      </c>
      <c r="K14" s="111" t="s">
        <v>18</v>
      </c>
      <c r="L14" s="111" t="s">
        <v>33</v>
      </c>
    </row>
    <row r="15" spans="1:12" x14ac:dyDescent="0.3">
      <c r="A15" s="72" t="s">
        <v>5</v>
      </c>
      <c r="B15" s="72" t="s">
        <v>7</v>
      </c>
      <c r="C15" s="72" t="s">
        <v>9</v>
      </c>
      <c r="D15" s="72" t="s">
        <v>10</v>
      </c>
      <c r="E15" s="72" t="s">
        <v>15</v>
      </c>
      <c r="F15" s="72" t="s">
        <v>15</v>
      </c>
      <c r="G15" s="73" t="s">
        <v>21</v>
      </c>
      <c r="H15" s="73" t="s">
        <v>23</v>
      </c>
      <c r="I15" s="72" t="s">
        <v>27</v>
      </c>
      <c r="J15" s="72" t="s">
        <v>15</v>
      </c>
      <c r="K15" s="72" t="s">
        <v>15</v>
      </c>
      <c r="L15" s="72" t="s">
        <v>20</v>
      </c>
    </row>
    <row r="16" spans="1:12" x14ac:dyDescent="0.3">
      <c r="D16" s="10" t="s">
        <v>12</v>
      </c>
      <c r="E16" s="10" t="s">
        <v>16</v>
      </c>
      <c r="F16" s="10" t="s">
        <v>16</v>
      </c>
      <c r="G16" s="10" t="s">
        <v>16</v>
      </c>
      <c r="H16" s="10" t="s">
        <v>24</v>
      </c>
      <c r="I16" s="10" t="s">
        <v>16</v>
      </c>
      <c r="J16" s="10" t="s">
        <v>16</v>
      </c>
      <c r="K16" s="10" t="s">
        <v>16</v>
      </c>
      <c r="L16" s="10" t="s">
        <v>24</v>
      </c>
    </row>
    <row r="17" spans="1:12" x14ac:dyDescent="0.3">
      <c r="C17" s="10" t="s">
        <v>11</v>
      </c>
      <c r="D17" s="10" t="s">
        <v>13</v>
      </c>
      <c r="E17" s="10" t="s">
        <v>17</v>
      </c>
      <c r="F17" s="10" t="s">
        <v>19</v>
      </c>
      <c r="G17" s="10" t="s">
        <v>22</v>
      </c>
      <c r="H17" s="10" t="s">
        <v>25</v>
      </c>
      <c r="I17" s="10" t="s">
        <v>28</v>
      </c>
      <c r="J17" s="10" t="s">
        <v>30</v>
      </c>
      <c r="K17" s="10" t="s">
        <v>31</v>
      </c>
      <c r="L17" s="10" t="s">
        <v>32</v>
      </c>
    </row>
    <row r="18" spans="1:12" x14ac:dyDescent="0.3">
      <c r="D18" s="111"/>
      <c r="E18" s="111"/>
      <c r="F18" s="111"/>
      <c r="G18" s="111"/>
      <c r="H18" s="111"/>
      <c r="I18" s="111"/>
      <c r="J18" s="10" t="s">
        <v>34</v>
      </c>
      <c r="K18" s="10" t="s">
        <v>35</v>
      </c>
      <c r="L18" s="10" t="s">
        <v>36</v>
      </c>
    </row>
    <row r="19" spans="1:12" x14ac:dyDescent="0.3">
      <c r="A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x14ac:dyDescent="0.3">
      <c r="A20" s="111">
        <v>1</v>
      </c>
      <c r="B20" s="111" t="s">
        <v>49</v>
      </c>
      <c r="C20" s="111" t="s">
        <v>38</v>
      </c>
      <c r="D20" s="71">
        <f>+E33</f>
        <v>0</v>
      </c>
      <c r="E20" s="11">
        <f>Input!$H$30+ROUND(Input!$C$30*LG2C!D20,2)</f>
        <v>0</v>
      </c>
      <c r="F20" s="11">
        <f>Input!$Y$30+ROUND(Input!$T$30*LG2C!D20,2)</f>
        <v>0</v>
      </c>
      <c r="G20" s="11">
        <f>F20-E20</f>
        <v>0</v>
      </c>
      <c r="H20" s="12">
        <f>IF(E20=0,0,ROUND(G20/E20,3))</f>
        <v>0</v>
      </c>
      <c r="I20" s="11">
        <f>ROUND(D20*SUM(Input!$O$30:$R$30),2)</f>
        <v>0</v>
      </c>
      <c r="J20" s="11">
        <f>E20+I20</f>
        <v>0</v>
      </c>
      <c r="K20" s="11">
        <f>F20+I20</f>
        <v>0</v>
      </c>
      <c r="L20" s="12">
        <f>IF(J20=0,0,(K20-J20)/J20)</f>
        <v>0</v>
      </c>
    </row>
    <row r="21" spans="1:12" x14ac:dyDescent="0.3">
      <c r="A21" s="111">
        <v>2</v>
      </c>
      <c r="B21" s="111" t="s">
        <v>54</v>
      </c>
      <c r="C21" s="111" t="s">
        <v>39</v>
      </c>
      <c r="D21" s="71">
        <v>3</v>
      </c>
      <c r="E21" s="11">
        <f>Input!$H$30+ROUND(Input!$C$30*LG2C!D21,2)</f>
        <v>1.05</v>
      </c>
      <c r="F21" s="11">
        <f>Input!$Y$30+ROUND(Input!$T$30*LG2C!D21,2)</f>
        <v>1.05</v>
      </c>
      <c r="G21" s="11">
        <f t="shared" ref="G21:G30" si="0">F21-E21</f>
        <v>0</v>
      </c>
      <c r="H21" s="12">
        <f t="shared" ref="H21:H31" si="1">ROUND(G21/E21,3)</f>
        <v>0</v>
      </c>
      <c r="I21" s="11">
        <f>ROUND(D21*SUM(Input!$O$30:$R$30),2)</f>
        <v>0</v>
      </c>
      <c r="J21" s="11">
        <f t="shared" ref="J21:J30" si="2">E21+I21</f>
        <v>1.05</v>
      </c>
      <c r="K21" s="11">
        <f t="shared" ref="K21:K30" si="3">F21+I21</f>
        <v>1.05</v>
      </c>
      <c r="L21" s="12">
        <f t="shared" ref="L21:L31" si="4">ROUND((K21-J21)/J21,3)</f>
        <v>0</v>
      </c>
    </row>
    <row r="22" spans="1:12" x14ac:dyDescent="0.3">
      <c r="A22" s="111">
        <v>3</v>
      </c>
      <c r="B22" s="112" t="s">
        <v>55</v>
      </c>
      <c r="D22" s="71">
        <v>8</v>
      </c>
      <c r="E22" s="11">
        <f>Input!$H$30+ROUND(Input!$C$30*LG2C!D22,2)</f>
        <v>2.8</v>
      </c>
      <c r="F22" s="11">
        <f>Input!$Y$30+ROUND(Input!$T$30*LG2C!D22,2)</f>
        <v>2.8</v>
      </c>
      <c r="G22" s="11">
        <f t="shared" si="0"/>
        <v>0</v>
      </c>
      <c r="H22" s="12">
        <f t="shared" si="1"/>
        <v>0</v>
      </c>
      <c r="I22" s="11">
        <f>ROUND(D22*SUM(Input!$O$30:$R$30),2)</f>
        <v>0</v>
      </c>
      <c r="J22" s="11">
        <f t="shared" si="2"/>
        <v>2.8</v>
      </c>
      <c r="K22" s="11">
        <f t="shared" si="3"/>
        <v>2.8</v>
      </c>
      <c r="L22" s="12">
        <f t="shared" si="4"/>
        <v>0</v>
      </c>
    </row>
    <row r="23" spans="1:12" x14ac:dyDescent="0.3">
      <c r="A23" s="111">
        <v>4</v>
      </c>
      <c r="D23" s="71">
        <v>10</v>
      </c>
      <c r="E23" s="11">
        <f>Input!$H$30+ROUND(Input!$C$30*LG2C!D23,2)</f>
        <v>3.5</v>
      </c>
      <c r="F23" s="11">
        <f>Input!$Y$30+ROUND(Input!$T$30*LG2C!D23,2)</f>
        <v>3.5</v>
      </c>
      <c r="G23" s="11">
        <f t="shared" si="0"/>
        <v>0</v>
      </c>
      <c r="H23" s="12">
        <f t="shared" si="1"/>
        <v>0</v>
      </c>
      <c r="I23" s="11">
        <f>ROUND(D23*SUM(Input!$O$30:$R$30),2)</f>
        <v>0</v>
      </c>
      <c r="J23" s="11">
        <f t="shared" si="2"/>
        <v>3.5</v>
      </c>
      <c r="K23" s="11">
        <f t="shared" si="3"/>
        <v>3.5</v>
      </c>
      <c r="L23" s="12">
        <f t="shared" si="4"/>
        <v>0</v>
      </c>
    </row>
    <row r="24" spans="1:12" x14ac:dyDescent="0.3">
      <c r="A24" s="111">
        <v>5</v>
      </c>
      <c r="B24" s="111"/>
      <c r="D24" s="71">
        <v>12</v>
      </c>
      <c r="E24" s="11">
        <f>Input!$H$30+ROUND(Input!$C$30*LG2C!D24,2)</f>
        <v>4.2</v>
      </c>
      <c r="F24" s="11">
        <f>Input!$Y$30+ROUND(Input!$T$30*LG2C!D24,2)</f>
        <v>4.2</v>
      </c>
      <c r="G24" s="11">
        <f t="shared" si="0"/>
        <v>0</v>
      </c>
      <c r="H24" s="12">
        <f t="shared" si="1"/>
        <v>0</v>
      </c>
      <c r="I24" s="11">
        <f>ROUND(D24*SUM(Input!$O$30:$R$30),2)</f>
        <v>0</v>
      </c>
      <c r="J24" s="11">
        <f t="shared" si="2"/>
        <v>4.2</v>
      </c>
      <c r="K24" s="11">
        <f t="shared" si="3"/>
        <v>4.2</v>
      </c>
      <c r="L24" s="12">
        <f t="shared" si="4"/>
        <v>0</v>
      </c>
    </row>
    <row r="25" spans="1:12" x14ac:dyDescent="0.3">
      <c r="A25" s="111">
        <v>6</v>
      </c>
      <c r="B25" s="112"/>
      <c r="D25" s="71">
        <v>16</v>
      </c>
      <c r="E25" s="11">
        <f>Input!$H$30+ROUND(Input!$C$30*LG2C!D25,2)</f>
        <v>5.6</v>
      </c>
      <c r="F25" s="11">
        <f>Input!$Y$30+ROUND(Input!$T$30*LG2C!D25,2)</f>
        <v>5.6</v>
      </c>
      <c r="G25" s="11">
        <f t="shared" si="0"/>
        <v>0</v>
      </c>
      <c r="H25" s="12">
        <f t="shared" si="1"/>
        <v>0</v>
      </c>
      <c r="I25" s="11">
        <f>ROUND(D25*SUM(Input!$O$30:$R$30),2)</f>
        <v>0</v>
      </c>
      <c r="J25" s="11">
        <f t="shared" si="2"/>
        <v>5.6</v>
      </c>
      <c r="K25" s="11">
        <f t="shared" si="3"/>
        <v>5.6</v>
      </c>
      <c r="L25" s="12">
        <f t="shared" si="4"/>
        <v>0</v>
      </c>
    </row>
    <row r="26" spans="1:12" x14ac:dyDescent="0.3">
      <c r="A26" s="111">
        <v>7</v>
      </c>
      <c r="D26" s="71">
        <v>20</v>
      </c>
      <c r="E26" s="11">
        <f>Input!$H$30+ROUND(Input!$C$30*LG2C!D26,2)</f>
        <v>7</v>
      </c>
      <c r="F26" s="11">
        <f>Input!$Y$30+ROUND(Input!$T$30*LG2C!D26,2)</f>
        <v>7</v>
      </c>
      <c r="G26" s="11">
        <f t="shared" si="0"/>
        <v>0</v>
      </c>
      <c r="H26" s="12">
        <f t="shared" si="1"/>
        <v>0</v>
      </c>
      <c r="I26" s="11">
        <f>ROUND(D26*SUM(Input!$O$30:$R$30),2)</f>
        <v>0</v>
      </c>
      <c r="J26" s="11">
        <f t="shared" si="2"/>
        <v>7</v>
      </c>
      <c r="K26" s="11">
        <f t="shared" si="3"/>
        <v>7</v>
      </c>
      <c r="L26" s="12">
        <f t="shared" si="4"/>
        <v>0</v>
      </c>
    </row>
    <row r="27" spans="1:12" x14ac:dyDescent="0.3">
      <c r="A27" s="111">
        <v>8</v>
      </c>
      <c r="D27" s="71">
        <v>30</v>
      </c>
      <c r="E27" s="11">
        <f>Input!$H$30+ROUND(Input!$C$30*LG2C!D27,2)</f>
        <v>10.5</v>
      </c>
      <c r="F27" s="11">
        <f>Input!$Y$30+ROUND(Input!$T$30*LG2C!D27,2)</f>
        <v>10.5</v>
      </c>
      <c r="G27" s="11">
        <f t="shared" si="0"/>
        <v>0</v>
      </c>
      <c r="H27" s="12">
        <f t="shared" si="1"/>
        <v>0</v>
      </c>
      <c r="I27" s="11">
        <f>ROUND(D27*SUM(Input!$O$30:$R$30),2)</f>
        <v>0</v>
      </c>
      <c r="J27" s="11">
        <f t="shared" si="2"/>
        <v>10.5</v>
      </c>
      <c r="K27" s="11">
        <f t="shared" si="3"/>
        <v>10.5</v>
      </c>
      <c r="L27" s="12">
        <f t="shared" si="4"/>
        <v>0</v>
      </c>
    </row>
    <row r="28" spans="1:12" x14ac:dyDescent="0.3">
      <c r="A28" s="111">
        <v>9</v>
      </c>
      <c r="D28" s="71">
        <v>40</v>
      </c>
      <c r="E28" s="11">
        <f>Input!$H$30+ROUND(Input!$C$30*LG2C!D28,2)</f>
        <v>14</v>
      </c>
      <c r="F28" s="11">
        <f>Input!$Y$30+ROUND(Input!$T$30*LG2C!D28,2)</f>
        <v>14</v>
      </c>
      <c r="G28" s="11">
        <f t="shared" si="0"/>
        <v>0</v>
      </c>
      <c r="H28" s="12">
        <f t="shared" si="1"/>
        <v>0</v>
      </c>
      <c r="I28" s="11">
        <f>ROUND(D28*SUM(Input!$O$30:$R$30),2)</f>
        <v>0</v>
      </c>
      <c r="J28" s="11">
        <f t="shared" si="2"/>
        <v>14</v>
      </c>
      <c r="K28" s="11">
        <f t="shared" si="3"/>
        <v>14</v>
      </c>
      <c r="L28" s="12">
        <f t="shared" si="4"/>
        <v>0</v>
      </c>
    </row>
    <row r="29" spans="1:12" x14ac:dyDescent="0.3">
      <c r="A29" s="111">
        <v>10</v>
      </c>
      <c r="D29" s="71">
        <v>50</v>
      </c>
      <c r="E29" s="11">
        <f>Input!$H$30+ROUND(Input!$C$30*LG2C!D29,2)</f>
        <v>17.5</v>
      </c>
      <c r="F29" s="11">
        <f>Input!$Y$30+ROUND(Input!$T$30*LG2C!D29,2)</f>
        <v>17.5</v>
      </c>
      <c r="G29" s="11">
        <f>F29-E29</f>
        <v>0</v>
      </c>
      <c r="H29" s="12">
        <f t="shared" si="1"/>
        <v>0</v>
      </c>
      <c r="I29" s="11">
        <f>ROUND(D29*SUM(Input!$O$30:$R$30),2)</f>
        <v>0</v>
      </c>
      <c r="J29" s="11">
        <f>E29+I29</f>
        <v>17.5</v>
      </c>
      <c r="K29" s="11">
        <f>F29+I29</f>
        <v>17.5</v>
      </c>
      <c r="L29" s="12">
        <f t="shared" si="4"/>
        <v>0</v>
      </c>
    </row>
    <row r="30" spans="1:12" x14ac:dyDescent="0.3">
      <c r="A30" s="111">
        <v>11</v>
      </c>
      <c r="D30" s="71">
        <v>60</v>
      </c>
      <c r="E30" s="11">
        <f>Input!$H$30+ROUND(Input!$C$30*LG2C!D30,2)</f>
        <v>21</v>
      </c>
      <c r="F30" s="11">
        <f>Input!$Y$30+ROUND(Input!$T$30*LG2C!D30,2)</f>
        <v>21</v>
      </c>
      <c r="G30" s="11">
        <f t="shared" si="0"/>
        <v>0</v>
      </c>
      <c r="H30" s="12">
        <f t="shared" si="1"/>
        <v>0</v>
      </c>
      <c r="I30" s="11">
        <f>ROUND(D30*SUM(Input!$O$30:$R$30),2)</f>
        <v>0</v>
      </c>
      <c r="J30" s="11">
        <f t="shared" si="2"/>
        <v>21</v>
      </c>
      <c r="K30" s="11">
        <f t="shared" si="3"/>
        <v>21</v>
      </c>
      <c r="L30" s="12">
        <f t="shared" si="4"/>
        <v>0</v>
      </c>
    </row>
    <row r="31" spans="1:12" x14ac:dyDescent="0.3">
      <c r="A31" s="111">
        <v>12</v>
      </c>
      <c r="D31" s="71">
        <v>90</v>
      </c>
      <c r="E31" s="11">
        <f>Input!$H$30+ROUND(Input!$C$30*LG2C!D31,2)</f>
        <v>31.5</v>
      </c>
      <c r="F31" s="11">
        <f>Input!$Y$30+ROUND(Input!$T$30*LG2C!D31,2)</f>
        <v>31.5</v>
      </c>
      <c r="G31" s="11">
        <f>F31-E31</f>
        <v>0</v>
      </c>
      <c r="H31" s="12">
        <f t="shared" si="1"/>
        <v>0</v>
      </c>
      <c r="I31" s="11">
        <f>ROUND(D31*SUM(Input!$O$30:$R$30),2)</f>
        <v>0</v>
      </c>
      <c r="J31" s="11">
        <f>E31+I31</f>
        <v>31.5</v>
      </c>
      <c r="K31" s="11">
        <f>F31+I31</f>
        <v>31.5</v>
      </c>
      <c r="L31" s="12">
        <f t="shared" si="4"/>
        <v>0</v>
      </c>
    </row>
    <row r="32" spans="1:12" x14ac:dyDescent="0.3">
      <c r="A32" s="111"/>
      <c r="D32" s="111"/>
      <c r="E32" s="111"/>
      <c r="F32" s="111"/>
      <c r="G32" s="111"/>
      <c r="H32" s="16"/>
      <c r="I32" s="111"/>
      <c r="J32" s="111"/>
      <c r="K32" s="111"/>
      <c r="L32" s="111"/>
    </row>
    <row r="33" spans="1:5" x14ac:dyDescent="0.3">
      <c r="A33" s="14"/>
      <c r="C33" s="3" t="s">
        <v>102</v>
      </c>
      <c r="E33" s="70">
        <f>Input!AE30</f>
        <v>0</v>
      </c>
    </row>
    <row r="34" spans="1:5" x14ac:dyDescent="0.3">
      <c r="C34" s="3" t="s">
        <v>154</v>
      </c>
    </row>
    <row r="36" spans="1:5" x14ac:dyDescent="0.3">
      <c r="D36" s="80"/>
    </row>
    <row r="37" spans="1:5" x14ac:dyDescent="0.3">
      <c r="B37" s="3" t="s">
        <v>112</v>
      </c>
    </row>
  </sheetData>
  <mergeCells count="5">
    <mergeCell ref="A5:L5"/>
    <mergeCell ref="A1:L1"/>
    <mergeCell ref="A2:L2"/>
    <mergeCell ref="A3:L3"/>
    <mergeCell ref="A4:L4"/>
  </mergeCells>
  <phoneticPr fontId="7" type="noConversion"/>
  <pageMargins left="0.75" right="0.75" top="1" bottom="0.75" header="0.5" footer="0.5"/>
  <pageSetup scale="9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37"/>
  <sheetViews>
    <sheetView zoomScaleNormal="100" workbookViewId="0">
      <selection activeCell="A9" sqref="A9"/>
    </sheetView>
  </sheetViews>
  <sheetFormatPr defaultColWidth="9.08203125" defaultRowHeight="13" x14ac:dyDescent="0.3"/>
  <cols>
    <col min="1" max="1" width="9.08203125" style="1"/>
    <col min="2" max="2" width="10.33203125" style="1" customWidth="1"/>
    <col min="3" max="3" width="9.58203125" style="1" customWidth="1"/>
    <col min="4" max="10" width="9.08203125" style="1"/>
    <col min="11" max="12" width="10.33203125" style="1" customWidth="1"/>
    <col min="13" max="16384" width="9.08203125" style="1"/>
  </cols>
  <sheetData>
    <row r="1" spans="1:12" x14ac:dyDescent="0.3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x14ac:dyDescent="0.3">
      <c r="A2" s="115" t="str">
        <f>Input!$B$13</f>
        <v>CASE NO. 2021-00183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x14ac:dyDescent="0.3">
      <c r="A3" s="115" t="s">
        <v>40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x14ac:dyDescent="0.3">
      <c r="A4" s="115" t="s">
        <v>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x14ac:dyDescent="0.3">
      <c r="A5" s="115" t="str">
        <f>Input!B17</f>
        <v>TWELVE MONTHS ENDING DECEMBER 31, 2022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x14ac:dyDescent="0.3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x14ac:dyDescent="0.3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x14ac:dyDescent="0.3">
      <c r="A8" s="1" t="s">
        <v>113</v>
      </c>
      <c r="L8" s="8" t="s">
        <v>3</v>
      </c>
    </row>
    <row r="9" spans="1:12" x14ac:dyDescent="0.3">
      <c r="A9" s="1" t="s">
        <v>158</v>
      </c>
      <c r="L9" s="13" t="s">
        <v>133</v>
      </c>
    </row>
    <row r="10" spans="1:12" x14ac:dyDescent="0.3">
      <c r="A10" s="20" t="s">
        <v>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 t="str">
        <f>Input!B15</f>
        <v>Witness: JUDITH L. SIEGLER</v>
      </c>
    </row>
    <row r="13" spans="1:12" x14ac:dyDescent="0.3">
      <c r="D13" s="109"/>
      <c r="E13" s="109"/>
      <c r="F13" s="109"/>
      <c r="G13" s="109"/>
      <c r="H13" s="109"/>
      <c r="I13" s="109"/>
      <c r="J13" s="109" t="s">
        <v>29</v>
      </c>
      <c r="K13" s="109" t="s">
        <v>29</v>
      </c>
      <c r="L13" s="109"/>
    </row>
    <row r="14" spans="1:12" x14ac:dyDescent="0.3">
      <c r="A14" s="109" t="s">
        <v>4</v>
      </c>
      <c r="B14" s="109" t="s">
        <v>6</v>
      </c>
      <c r="C14" s="109" t="s">
        <v>8</v>
      </c>
      <c r="D14" s="109" t="s">
        <v>8</v>
      </c>
      <c r="E14" s="109" t="s">
        <v>14</v>
      </c>
      <c r="F14" s="109" t="s">
        <v>18</v>
      </c>
      <c r="G14" s="109" t="s">
        <v>20</v>
      </c>
      <c r="H14" s="109" t="s">
        <v>20</v>
      </c>
      <c r="I14" s="109" t="s">
        <v>26</v>
      </c>
      <c r="J14" s="109" t="s">
        <v>14</v>
      </c>
      <c r="K14" s="109" t="s">
        <v>18</v>
      </c>
      <c r="L14" s="109" t="s">
        <v>33</v>
      </c>
    </row>
    <row r="15" spans="1:12" x14ac:dyDescent="0.3">
      <c r="A15" s="74" t="s">
        <v>5</v>
      </c>
      <c r="B15" s="74" t="s">
        <v>7</v>
      </c>
      <c r="C15" s="74" t="s">
        <v>9</v>
      </c>
      <c r="D15" s="74" t="s">
        <v>10</v>
      </c>
      <c r="E15" s="74" t="s">
        <v>15</v>
      </c>
      <c r="F15" s="74" t="s">
        <v>15</v>
      </c>
      <c r="G15" s="75" t="s">
        <v>21</v>
      </c>
      <c r="H15" s="75" t="s">
        <v>23</v>
      </c>
      <c r="I15" s="74" t="s">
        <v>27</v>
      </c>
      <c r="J15" s="74" t="s">
        <v>15</v>
      </c>
      <c r="K15" s="74" t="s">
        <v>15</v>
      </c>
      <c r="L15" s="74" t="s">
        <v>20</v>
      </c>
    </row>
    <row r="16" spans="1:12" x14ac:dyDescent="0.3">
      <c r="D16" s="4" t="s">
        <v>12</v>
      </c>
      <c r="E16" s="4" t="s">
        <v>16</v>
      </c>
      <c r="F16" s="4" t="s">
        <v>16</v>
      </c>
      <c r="G16" s="4" t="s">
        <v>16</v>
      </c>
      <c r="H16" s="4" t="s">
        <v>24</v>
      </c>
      <c r="I16" s="4" t="s">
        <v>16</v>
      </c>
      <c r="J16" s="4" t="s">
        <v>16</v>
      </c>
      <c r="K16" s="4" t="s">
        <v>16</v>
      </c>
      <c r="L16" s="4" t="s">
        <v>24</v>
      </c>
    </row>
    <row r="17" spans="1:12" x14ac:dyDescent="0.3">
      <c r="C17" s="4" t="s">
        <v>11</v>
      </c>
      <c r="D17" s="4" t="s">
        <v>13</v>
      </c>
      <c r="E17" s="4" t="s">
        <v>17</v>
      </c>
      <c r="F17" s="4" t="s">
        <v>19</v>
      </c>
      <c r="G17" s="4" t="s">
        <v>22</v>
      </c>
      <c r="H17" s="4" t="s">
        <v>25</v>
      </c>
      <c r="I17" s="4" t="s">
        <v>28</v>
      </c>
      <c r="J17" s="4" t="s">
        <v>30</v>
      </c>
      <c r="K17" s="4" t="s">
        <v>31</v>
      </c>
      <c r="L17" s="4" t="s">
        <v>32</v>
      </c>
    </row>
    <row r="18" spans="1:12" x14ac:dyDescent="0.3">
      <c r="D18" s="109"/>
      <c r="E18" s="109"/>
      <c r="F18" s="109"/>
      <c r="G18" s="109"/>
      <c r="H18" s="109"/>
      <c r="I18" s="109"/>
      <c r="J18" s="4" t="s">
        <v>34</v>
      </c>
      <c r="K18" s="4" t="s">
        <v>35</v>
      </c>
      <c r="L18" s="4" t="s">
        <v>36</v>
      </c>
    </row>
    <row r="19" spans="1:12" x14ac:dyDescent="0.3">
      <c r="A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2" x14ac:dyDescent="0.3">
      <c r="A20" s="109">
        <v>1</v>
      </c>
      <c r="B20" s="109" t="s">
        <v>50</v>
      </c>
      <c r="C20" s="109" t="s">
        <v>38</v>
      </c>
      <c r="D20" s="77">
        <v>3</v>
      </c>
      <c r="E20" s="6">
        <f>Input!$H$31+ROUND(Input!$C$31*2,2)+ROUND(Input!$D$31*('LG3'!D20-2),2)</f>
        <v>1.5499999999999998</v>
      </c>
      <c r="F20" s="6">
        <f>Input!$Y$31+ROUND(Input!$T$31*2,2)+ROUND(Input!$U$31*('LG3'!D20-2),2)</f>
        <v>1.5499999999999998</v>
      </c>
      <c r="G20" s="6">
        <f>F20-E20</f>
        <v>0</v>
      </c>
      <c r="H20" s="7">
        <f>ROUND(G20/E20,3)</f>
        <v>0</v>
      </c>
      <c r="I20" s="6">
        <f>ROUND(D20*SUM(Input!$O$31:$R$31),2)</f>
        <v>0</v>
      </c>
      <c r="J20" s="6">
        <f>E20+I20</f>
        <v>1.5499999999999998</v>
      </c>
      <c r="K20" s="6">
        <f>F20+I20</f>
        <v>1.5499999999999998</v>
      </c>
      <c r="L20" s="7">
        <f>ROUND((K20-J20)/J20,3)</f>
        <v>0</v>
      </c>
    </row>
    <row r="21" spans="1:12" x14ac:dyDescent="0.3">
      <c r="A21" s="109">
        <v>2</v>
      </c>
      <c r="B21" s="109" t="s">
        <v>54</v>
      </c>
      <c r="C21" s="109" t="s">
        <v>39</v>
      </c>
      <c r="D21" s="77">
        <v>8</v>
      </c>
      <c r="E21" s="6">
        <f>Input!$H$31+ROUND(Input!$C$31*2,2)+ROUND(Input!$D$31*('LG3'!D21-2),2)</f>
        <v>3.3</v>
      </c>
      <c r="F21" s="6">
        <f>Input!$Y$31+ROUND(Input!$T$31*2,2)+ROUND(Input!$U$31*('LG3'!D21-2),2)</f>
        <v>3.3</v>
      </c>
      <c r="G21" s="6">
        <f t="shared" ref="G21:G31" si="0">F21-E21</f>
        <v>0</v>
      </c>
      <c r="H21" s="7">
        <f t="shared" ref="H21:H31" si="1">ROUND(G21/E21,3)</f>
        <v>0</v>
      </c>
      <c r="I21" s="6">
        <f>ROUND(D21*SUM(Input!$O$31:$R$31),2)</f>
        <v>0</v>
      </c>
      <c r="J21" s="6">
        <f t="shared" ref="J21:J31" si="2">E21+I21</f>
        <v>3.3</v>
      </c>
      <c r="K21" s="6">
        <f t="shared" ref="K21:K31" si="3">F21+I21</f>
        <v>3.3</v>
      </c>
      <c r="L21" s="7">
        <f t="shared" ref="L21:L31" si="4">ROUND((K21-J21)/J21,3)</f>
        <v>0</v>
      </c>
    </row>
    <row r="22" spans="1:12" x14ac:dyDescent="0.3">
      <c r="A22" s="109">
        <v>3</v>
      </c>
      <c r="B22" s="109" t="s">
        <v>37</v>
      </c>
      <c r="D22" s="77">
        <v>10</v>
      </c>
      <c r="E22" s="6">
        <f>Input!$H$31+ROUND(Input!$C$31*2,2)+ROUND(Input!$D$31*('LG3'!D22-2),2)</f>
        <v>4</v>
      </c>
      <c r="F22" s="6">
        <f>Input!$Y$31+ROUND(Input!$T$31*2,2)+ROUND(Input!$U$31*('LG3'!D22-2),2)</f>
        <v>4</v>
      </c>
      <c r="G22" s="6">
        <f t="shared" si="0"/>
        <v>0</v>
      </c>
      <c r="H22" s="7">
        <f t="shared" si="1"/>
        <v>0</v>
      </c>
      <c r="I22" s="6">
        <f>ROUND(D22*SUM(Input!$O$31:$R$31),2)</f>
        <v>0</v>
      </c>
      <c r="J22" s="6">
        <f t="shared" si="2"/>
        <v>4</v>
      </c>
      <c r="K22" s="6">
        <f t="shared" si="3"/>
        <v>4</v>
      </c>
      <c r="L22" s="7">
        <f t="shared" si="4"/>
        <v>0</v>
      </c>
    </row>
    <row r="23" spans="1:12" x14ac:dyDescent="0.3">
      <c r="A23" s="109">
        <v>4</v>
      </c>
      <c r="B23" s="109"/>
      <c r="D23" s="77">
        <v>12</v>
      </c>
      <c r="E23" s="6">
        <f>Input!$H$31+ROUND(Input!$C$31*2,2)+ROUND(Input!$D$31*('LG3'!D23-2),2)</f>
        <v>4.7</v>
      </c>
      <c r="F23" s="6">
        <f>Input!$Y$31+ROUND(Input!$T$31*2,2)+ROUND(Input!$U$31*('LG3'!D23-2),2)</f>
        <v>4.7</v>
      </c>
      <c r="G23" s="6">
        <f t="shared" si="0"/>
        <v>0</v>
      </c>
      <c r="H23" s="7">
        <f t="shared" si="1"/>
        <v>0</v>
      </c>
      <c r="I23" s="6">
        <f>ROUND(D23*SUM(Input!$O$31:$R$31),2)</f>
        <v>0</v>
      </c>
      <c r="J23" s="6">
        <f t="shared" si="2"/>
        <v>4.7</v>
      </c>
      <c r="K23" s="6">
        <f t="shared" si="3"/>
        <v>4.7</v>
      </c>
      <c r="L23" s="7">
        <f t="shared" si="4"/>
        <v>0</v>
      </c>
    </row>
    <row r="24" spans="1:12" x14ac:dyDescent="0.3">
      <c r="A24" s="109">
        <v>5</v>
      </c>
      <c r="B24" s="109"/>
      <c r="D24" s="77">
        <v>16</v>
      </c>
      <c r="E24" s="6">
        <f>Input!$H$31+ROUND(Input!$C$31*2,2)+ROUND(Input!$D$31*('LG3'!D24-2),2)</f>
        <v>6.1000000000000005</v>
      </c>
      <c r="F24" s="6">
        <f>Input!$Y$31+ROUND(Input!$T$31*2,2)+ROUND(Input!$U$31*('LG3'!D24-2),2)</f>
        <v>6.1000000000000005</v>
      </c>
      <c r="G24" s="6">
        <f t="shared" si="0"/>
        <v>0</v>
      </c>
      <c r="H24" s="7">
        <f t="shared" si="1"/>
        <v>0</v>
      </c>
      <c r="I24" s="6">
        <f>ROUND(D24*SUM(Input!$O$31:$R$31),2)</f>
        <v>0</v>
      </c>
      <c r="J24" s="6">
        <f t="shared" si="2"/>
        <v>6.1000000000000005</v>
      </c>
      <c r="K24" s="6">
        <f t="shared" si="3"/>
        <v>6.1000000000000005</v>
      </c>
      <c r="L24" s="7">
        <f t="shared" si="4"/>
        <v>0</v>
      </c>
    </row>
    <row r="25" spans="1:12" x14ac:dyDescent="0.3">
      <c r="A25" s="109">
        <v>6</v>
      </c>
      <c r="B25" s="110"/>
      <c r="D25" s="77">
        <v>20</v>
      </c>
      <c r="E25" s="6">
        <f>Input!$H$31+ROUND(Input!$C$31*2,2)+ROUND(Input!$D$31*('LG3'!D25-2),2)</f>
        <v>7.5</v>
      </c>
      <c r="F25" s="6">
        <f>Input!$Y$31+ROUND(Input!$T$31*2,2)+ROUND(Input!$U$31*('LG3'!D25-2),2)</f>
        <v>7.5</v>
      </c>
      <c r="G25" s="6">
        <f t="shared" si="0"/>
        <v>0</v>
      </c>
      <c r="H25" s="7">
        <f t="shared" si="1"/>
        <v>0</v>
      </c>
      <c r="I25" s="6">
        <f>ROUND(D25*SUM(Input!$O$31:$R$31),2)</f>
        <v>0</v>
      </c>
      <c r="J25" s="6">
        <f t="shared" si="2"/>
        <v>7.5</v>
      </c>
      <c r="K25" s="6">
        <f t="shared" si="3"/>
        <v>7.5</v>
      </c>
      <c r="L25" s="7">
        <f t="shared" si="4"/>
        <v>0</v>
      </c>
    </row>
    <row r="26" spans="1:12" x14ac:dyDescent="0.3">
      <c r="A26" s="109">
        <v>7</v>
      </c>
      <c r="D26" s="77">
        <v>30</v>
      </c>
      <c r="E26" s="6">
        <f>Input!$H$31+ROUND(Input!$C$31*2,2)+ROUND(Input!$D$31*('LG3'!D26-2),2)</f>
        <v>11</v>
      </c>
      <c r="F26" s="6">
        <f>Input!$Y$31+ROUND(Input!$T$31*2,2)+ROUND(Input!$U$31*('LG3'!D26-2),2)</f>
        <v>11</v>
      </c>
      <c r="G26" s="6">
        <f t="shared" si="0"/>
        <v>0</v>
      </c>
      <c r="H26" s="7">
        <f t="shared" si="1"/>
        <v>0</v>
      </c>
      <c r="I26" s="6">
        <f>ROUND(D26*SUM(Input!$O$31:$R$31),2)</f>
        <v>0</v>
      </c>
      <c r="J26" s="6">
        <f t="shared" si="2"/>
        <v>11</v>
      </c>
      <c r="K26" s="6">
        <f t="shared" si="3"/>
        <v>11</v>
      </c>
      <c r="L26" s="7">
        <f t="shared" si="4"/>
        <v>0</v>
      </c>
    </row>
    <row r="27" spans="1:12" x14ac:dyDescent="0.3">
      <c r="A27" s="109">
        <v>8</v>
      </c>
      <c r="D27" s="77">
        <v>35</v>
      </c>
      <c r="E27" s="6">
        <f>Input!$H$31+ROUND(Input!$C$31*2,2)+ROUND(Input!$D$31*('LG3'!D27-2),2)</f>
        <v>12.75</v>
      </c>
      <c r="F27" s="6">
        <f>Input!$Y$31+ROUND(Input!$T$31*2,2)+ROUND(Input!$U$31*('LG3'!D27-2),2)</f>
        <v>12.75</v>
      </c>
      <c r="G27" s="6">
        <f t="shared" si="0"/>
        <v>0</v>
      </c>
      <c r="H27" s="7">
        <f t="shared" si="1"/>
        <v>0</v>
      </c>
      <c r="I27" s="6">
        <f>ROUND(D27*SUM(Input!$O$31:$R$31),2)</f>
        <v>0</v>
      </c>
      <c r="J27" s="6">
        <f t="shared" si="2"/>
        <v>12.75</v>
      </c>
      <c r="K27" s="6">
        <f t="shared" si="3"/>
        <v>12.75</v>
      </c>
      <c r="L27" s="7">
        <f t="shared" si="4"/>
        <v>0</v>
      </c>
    </row>
    <row r="28" spans="1:12" x14ac:dyDescent="0.3">
      <c r="A28" s="109">
        <v>9</v>
      </c>
      <c r="D28" s="77">
        <f>+E33</f>
        <v>49.1</v>
      </c>
      <c r="E28" s="6">
        <f>Input!$H$31+ROUND(Input!$C$31*2,2)+ROUND(Input!$D$31*('LG3'!D28-2),2)</f>
        <v>17.689999999999998</v>
      </c>
      <c r="F28" s="6">
        <f>Input!$Y$31+ROUND(Input!$T$31*2,2)+ROUND(Input!$U$31*('LG3'!D28-2),2)</f>
        <v>17.689999999999998</v>
      </c>
      <c r="G28" s="6">
        <f>F28-E28</f>
        <v>0</v>
      </c>
      <c r="H28" s="7">
        <f t="shared" si="1"/>
        <v>0</v>
      </c>
      <c r="I28" s="6">
        <f>ROUND(D28*SUM(Input!$O$31:$R$31),2)</f>
        <v>0</v>
      </c>
      <c r="J28" s="6">
        <f>E28+I28</f>
        <v>17.689999999999998</v>
      </c>
      <c r="K28" s="6">
        <f>F28+I28</f>
        <v>17.689999999999998</v>
      </c>
      <c r="L28" s="7">
        <f t="shared" si="4"/>
        <v>0</v>
      </c>
    </row>
    <row r="29" spans="1:12" x14ac:dyDescent="0.3">
      <c r="A29" s="109">
        <v>10</v>
      </c>
      <c r="D29" s="77">
        <v>50</v>
      </c>
      <c r="E29" s="6">
        <f>Input!$H$31+ROUND(Input!$C$31*2,2)+ROUND(Input!$D$31*('LG3'!D29-2),2)</f>
        <v>18</v>
      </c>
      <c r="F29" s="6">
        <f>Input!$Y$31+ROUND(Input!$T$31*2,2)+ROUND(Input!$U$31*('LG3'!D29-2),2)</f>
        <v>18</v>
      </c>
      <c r="G29" s="6">
        <f t="shared" si="0"/>
        <v>0</v>
      </c>
      <c r="H29" s="7">
        <f t="shared" si="1"/>
        <v>0</v>
      </c>
      <c r="I29" s="6">
        <f>ROUND(D29*SUM(Input!$O$31:$R$31),2)</f>
        <v>0</v>
      </c>
      <c r="J29" s="6">
        <f t="shared" si="2"/>
        <v>18</v>
      </c>
      <c r="K29" s="6">
        <f t="shared" si="3"/>
        <v>18</v>
      </c>
      <c r="L29" s="7">
        <f t="shared" si="4"/>
        <v>0</v>
      </c>
    </row>
    <row r="30" spans="1:12" x14ac:dyDescent="0.3">
      <c r="A30" s="109">
        <v>11</v>
      </c>
      <c r="D30" s="77">
        <v>60</v>
      </c>
      <c r="E30" s="6">
        <f>Input!$H$31+ROUND(Input!$C$31*2,2)+ROUND(Input!$D$31*('LG3'!D30-2),2)</f>
        <v>21.5</v>
      </c>
      <c r="F30" s="6">
        <f>Input!$Y$31+ROUND(Input!$T$31*2,2)+ROUND(Input!$U$31*('LG3'!D30-2),2)</f>
        <v>21.5</v>
      </c>
      <c r="G30" s="6">
        <f t="shared" si="0"/>
        <v>0</v>
      </c>
      <c r="H30" s="7">
        <f t="shared" si="1"/>
        <v>0</v>
      </c>
      <c r="I30" s="6">
        <f>ROUND(D30*SUM(Input!$O$31:$R$31),2)</f>
        <v>0</v>
      </c>
      <c r="J30" s="6">
        <f t="shared" si="2"/>
        <v>21.5</v>
      </c>
      <c r="K30" s="6">
        <f t="shared" si="3"/>
        <v>21.5</v>
      </c>
      <c r="L30" s="7">
        <f t="shared" si="4"/>
        <v>0</v>
      </c>
    </row>
    <row r="31" spans="1:12" x14ac:dyDescent="0.3">
      <c r="A31" s="109">
        <v>12</v>
      </c>
      <c r="D31" s="77">
        <v>70</v>
      </c>
      <c r="E31" s="6">
        <f>Input!$H$31+ROUND(Input!$C$31*2,2)+ROUND(Input!$D$31*('LG3'!D31-2),2)</f>
        <v>25</v>
      </c>
      <c r="F31" s="6">
        <f>Input!$Y$31+ROUND(Input!$T$31*2,2)+ROUND(Input!$U$31*('LG3'!D31-2),2)</f>
        <v>25</v>
      </c>
      <c r="G31" s="6">
        <f t="shared" si="0"/>
        <v>0</v>
      </c>
      <c r="H31" s="7">
        <f t="shared" si="1"/>
        <v>0</v>
      </c>
      <c r="I31" s="6">
        <f>ROUND(D31*SUM(Input!$O$31:$R$31),2)</f>
        <v>0</v>
      </c>
      <c r="J31" s="6">
        <f t="shared" si="2"/>
        <v>25</v>
      </c>
      <c r="K31" s="6">
        <f t="shared" si="3"/>
        <v>25</v>
      </c>
      <c r="L31" s="7">
        <f t="shared" si="4"/>
        <v>0</v>
      </c>
    </row>
    <row r="32" spans="1:12" x14ac:dyDescent="0.3">
      <c r="A32" s="109"/>
      <c r="D32" s="109"/>
      <c r="E32" s="109"/>
      <c r="F32" s="109"/>
      <c r="G32" s="109"/>
      <c r="H32" s="109"/>
      <c r="I32" s="109"/>
      <c r="J32" s="109"/>
      <c r="K32" s="109"/>
      <c r="L32" s="109"/>
    </row>
    <row r="33" spans="1:5" x14ac:dyDescent="0.3">
      <c r="A33" s="9"/>
      <c r="C33" s="1" t="s">
        <v>102</v>
      </c>
      <c r="E33" s="78">
        <f>Input!AE31</f>
        <v>49.1</v>
      </c>
    </row>
    <row r="36" spans="1:5" x14ac:dyDescent="0.3">
      <c r="D36" s="79"/>
    </row>
    <row r="37" spans="1:5" x14ac:dyDescent="0.3">
      <c r="B37" s="1" t="s">
        <v>112</v>
      </c>
    </row>
  </sheetData>
  <mergeCells count="5">
    <mergeCell ref="A1:L1"/>
    <mergeCell ref="A2:L2"/>
    <mergeCell ref="A4:L4"/>
    <mergeCell ref="A5:L5"/>
    <mergeCell ref="A3:L3"/>
  </mergeCells>
  <phoneticPr fontId="0" type="noConversion"/>
  <printOptions horizontalCentered="1"/>
  <pageMargins left="0.5" right="0.5" top="0.75" bottom="0.75" header="0.5" footer="0.5"/>
  <pageSetup scale="97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37"/>
  <sheetViews>
    <sheetView zoomScaleNormal="100" workbookViewId="0">
      <selection activeCell="A9" sqref="A9"/>
    </sheetView>
  </sheetViews>
  <sheetFormatPr defaultColWidth="9.08203125" defaultRowHeight="13" x14ac:dyDescent="0.3"/>
  <cols>
    <col min="1" max="1" width="9.08203125" style="1"/>
    <col min="2" max="2" width="10.33203125" style="1" customWidth="1"/>
    <col min="3" max="3" width="9.58203125" style="1" customWidth="1"/>
    <col min="4" max="10" width="9.08203125" style="1"/>
    <col min="11" max="12" width="10.33203125" style="1" customWidth="1"/>
    <col min="13" max="16384" width="9.08203125" style="1"/>
  </cols>
  <sheetData>
    <row r="1" spans="1:12" x14ac:dyDescent="0.3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x14ac:dyDescent="0.3">
      <c r="A2" s="115" t="str">
        <f>Input!$B$13</f>
        <v>CASE NO. 2021-00183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x14ac:dyDescent="0.3">
      <c r="A3" s="115" t="s">
        <v>40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x14ac:dyDescent="0.3">
      <c r="A4" s="115" t="s">
        <v>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x14ac:dyDescent="0.3">
      <c r="A5" s="115" t="str">
        <f>Input!B17</f>
        <v>TWELVE MONTHS ENDING DECEMBER 31, 2022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x14ac:dyDescent="0.3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x14ac:dyDescent="0.3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x14ac:dyDescent="0.3">
      <c r="A8" s="1" t="s">
        <v>114</v>
      </c>
      <c r="L8" s="8" t="s">
        <v>3</v>
      </c>
    </row>
    <row r="9" spans="1:12" x14ac:dyDescent="0.3">
      <c r="A9" s="1" t="s">
        <v>158</v>
      </c>
      <c r="L9" s="13" t="s">
        <v>134</v>
      </c>
    </row>
    <row r="10" spans="1:12" x14ac:dyDescent="0.3">
      <c r="A10" s="20" t="s">
        <v>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 t="str">
        <f>Input!B15</f>
        <v>Witness: JUDITH L. SIEGLER</v>
      </c>
    </row>
    <row r="13" spans="1:12" x14ac:dyDescent="0.3">
      <c r="D13" s="109"/>
      <c r="E13" s="109"/>
      <c r="F13" s="109"/>
      <c r="G13" s="109"/>
      <c r="H13" s="109"/>
      <c r="I13" s="109"/>
      <c r="J13" s="109" t="s">
        <v>29</v>
      </c>
      <c r="K13" s="109" t="s">
        <v>29</v>
      </c>
      <c r="L13" s="109"/>
    </row>
    <row r="14" spans="1:12" x14ac:dyDescent="0.3">
      <c r="A14" s="109" t="s">
        <v>4</v>
      </c>
      <c r="B14" s="109" t="s">
        <v>6</v>
      </c>
      <c r="C14" s="109" t="s">
        <v>8</v>
      </c>
      <c r="D14" s="109" t="s">
        <v>8</v>
      </c>
      <c r="E14" s="109" t="s">
        <v>14</v>
      </c>
      <c r="F14" s="109" t="s">
        <v>18</v>
      </c>
      <c r="G14" s="109" t="s">
        <v>20</v>
      </c>
      <c r="H14" s="109" t="s">
        <v>20</v>
      </c>
      <c r="I14" s="109" t="s">
        <v>26</v>
      </c>
      <c r="J14" s="109" t="s">
        <v>14</v>
      </c>
      <c r="K14" s="109" t="s">
        <v>18</v>
      </c>
      <c r="L14" s="109" t="s">
        <v>33</v>
      </c>
    </row>
    <row r="15" spans="1:12" x14ac:dyDescent="0.3">
      <c r="A15" s="74" t="s">
        <v>5</v>
      </c>
      <c r="B15" s="74" t="s">
        <v>7</v>
      </c>
      <c r="C15" s="74" t="s">
        <v>9</v>
      </c>
      <c r="D15" s="74" t="s">
        <v>10</v>
      </c>
      <c r="E15" s="74" t="s">
        <v>15</v>
      </c>
      <c r="F15" s="74" t="s">
        <v>15</v>
      </c>
      <c r="G15" s="75" t="s">
        <v>21</v>
      </c>
      <c r="H15" s="75" t="s">
        <v>23</v>
      </c>
      <c r="I15" s="74" t="s">
        <v>27</v>
      </c>
      <c r="J15" s="74" t="s">
        <v>15</v>
      </c>
      <c r="K15" s="74" t="s">
        <v>15</v>
      </c>
      <c r="L15" s="74" t="s">
        <v>20</v>
      </c>
    </row>
    <row r="16" spans="1:12" x14ac:dyDescent="0.3">
      <c r="D16" s="4" t="s">
        <v>12</v>
      </c>
      <c r="E16" s="4" t="s">
        <v>16</v>
      </c>
      <c r="F16" s="4" t="s">
        <v>16</v>
      </c>
      <c r="G16" s="4" t="s">
        <v>16</v>
      </c>
      <c r="H16" s="4" t="s">
        <v>24</v>
      </c>
      <c r="I16" s="4" t="s">
        <v>16</v>
      </c>
      <c r="J16" s="4" t="s">
        <v>16</v>
      </c>
      <c r="K16" s="4" t="s">
        <v>16</v>
      </c>
      <c r="L16" s="4" t="s">
        <v>24</v>
      </c>
    </row>
    <row r="17" spans="1:12" x14ac:dyDescent="0.3">
      <c r="C17" s="4" t="s">
        <v>11</v>
      </c>
      <c r="D17" s="4" t="s">
        <v>13</v>
      </c>
      <c r="E17" s="4" t="s">
        <v>17</v>
      </c>
      <c r="F17" s="4" t="s">
        <v>19</v>
      </c>
      <c r="G17" s="4" t="s">
        <v>22</v>
      </c>
      <c r="H17" s="4" t="s">
        <v>25</v>
      </c>
      <c r="I17" s="4" t="s">
        <v>28</v>
      </c>
      <c r="J17" s="4" t="s">
        <v>30</v>
      </c>
      <c r="K17" s="4" t="s">
        <v>31</v>
      </c>
      <c r="L17" s="4" t="s">
        <v>32</v>
      </c>
    </row>
    <row r="18" spans="1:12" x14ac:dyDescent="0.3">
      <c r="D18" s="111"/>
      <c r="E18" s="109"/>
      <c r="F18" s="109"/>
      <c r="G18" s="109"/>
      <c r="H18" s="109"/>
      <c r="I18" s="109"/>
      <c r="J18" s="4" t="s">
        <v>34</v>
      </c>
      <c r="K18" s="4" t="s">
        <v>35</v>
      </c>
      <c r="L18" s="4" t="s">
        <v>36</v>
      </c>
    </row>
    <row r="19" spans="1:12" x14ac:dyDescent="0.3">
      <c r="A19" s="109"/>
      <c r="D19" s="111"/>
      <c r="E19" s="109"/>
      <c r="F19" s="109"/>
      <c r="G19" s="109"/>
      <c r="H19" s="109"/>
      <c r="I19" s="109"/>
      <c r="J19" s="109"/>
      <c r="K19" s="109"/>
      <c r="L19" s="109"/>
    </row>
    <row r="20" spans="1:12" x14ac:dyDescent="0.3">
      <c r="A20" s="109">
        <v>1</v>
      </c>
      <c r="B20" s="109" t="s">
        <v>51</v>
      </c>
      <c r="C20" s="109" t="s">
        <v>38</v>
      </c>
      <c r="D20" s="77">
        <v>1</v>
      </c>
      <c r="E20" s="6">
        <f>Input!$H$32+ROUND(Input!$C$32*'LG4'!D20,2)</f>
        <v>0.4</v>
      </c>
      <c r="F20" s="6">
        <f>Input!$Y$32+ROUND(Input!$T$32*'LG4'!D20,2)</f>
        <v>0.4</v>
      </c>
      <c r="G20" s="6">
        <f>F20-E20</f>
        <v>0</v>
      </c>
      <c r="H20" s="7">
        <f>ROUND(G20/E20,3)</f>
        <v>0</v>
      </c>
      <c r="I20" s="6">
        <f>ROUND(D20*SUM(Input!$O$32:$R$32)*'LG4'!D20,2)</f>
        <v>0</v>
      </c>
      <c r="J20" s="6">
        <f>E20+I20</f>
        <v>0.4</v>
      </c>
      <c r="K20" s="6">
        <f>F20+I20</f>
        <v>0.4</v>
      </c>
      <c r="L20" s="7">
        <f>ROUND((K20-J20)/J20,2)</f>
        <v>0</v>
      </c>
    </row>
    <row r="21" spans="1:12" x14ac:dyDescent="0.3">
      <c r="A21" s="109">
        <v>2</v>
      </c>
      <c r="B21" s="109" t="s">
        <v>54</v>
      </c>
      <c r="C21" s="109" t="s">
        <v>39</v>
      </c>
      <c r="D21" s="77">
        <v>3</v>
      </c>
      <c r="E21" s="6">
        <f>Input!$H$32+ROUND(Input!$C$32*'LG4'!D21,2)</f>
        <v>1.2</v>
      </c>
      <c r="F21" s="6">
        <f>Input!$Y$32+ROUND(Input!$T$32*'LG4'!D21,2)</f>
        <v>1.2</v>
      </c>
      <c r="G21" s="6">
        <f t="shared" ref="G21:G31" si="0">F21-E21</f>
        <v>0</v>
      </c>
      <c r="H21" s="7">
        <f t="shared" ref="H21:H31" si="1">ROUND(G21/E21,3)</f>
        <v>0</v>
      </c>
      <c r="I21" s="6">
        <f>ROUND(D21*SUM(Input!$O$32:$R$32)*'LG4'!D21,2)</f>
        <v>0</v>
      </c>
      <c r="J21" s="6">
        <f t="shared" ref="J21:J31" si="2">E21+I21</f>
        <v>1.2</v>
      </c>
      <c r="K21" s="6">
        <f t="shared" ref="K21:K31" si="3">F21+I21</f>
        <v>1.2</v>
      </c>
      <c r="L21" s="7">
        <f t="shared" ref="L21:L31" si="4">ROUND((K21-J21)/J21,2)</f>
        <v>0</v>
      </c>
    </row>
    <row r="22" spans="1:12" x14ac:dyDescent="0.3">
      <c r="A22" s="109">
        <v>3</v>
      </c>
      <c r="B22" s="109" t="s">
        <v>37</v>
      </c>
      <c r="D22" s="77">
        <v>6</v>
      </c>
      <c r="E22" s="6">
        <f>Input!$H$32+ROUND(Input!$C$32*'LG4'!D22,2)</f>
        <v>2.4</v>
      </c>
      <c r="F22" s="6">
        <f>Input!$Y$32+ROUND(Input!$T$32*'LG4'!D22,2)</f>
        <v>2.4</v>
      </c>
      <c r="G22" s="6">
        <f t="shared" si="0"/>
        <v>0</v>
      </c>
      <c r="H22" s="7">
        <f t="shared" si="1"/>
        <v>0</v>
      </c>
      <c r="I22" s="6">
        <f>ROUND(D22*SUM(Input!$O$32:$R$32)*'LG4'!D22,2)</f>
        <v>0</v>
      </c>
      <c r="J22" s="6">
        <f t="shared" si="2"/>
        <v>2.4</v>
      </c>
      <c r="K22" s="6">
        <f t="shared" si="3"/>
        <v>2.4</v>
      </c>
      <c r="L22" s="7">
        <f t="shared" si="4"/>
        <v>0</v>
      </c>
    </row>
    <row r="23" spans="1:12" x14ac:dyDescent="0.3">
      <c r="A23" s="109">
        <v>4</v>
      </c>
      <c r="B23" s="109"/>
      <c r="D23" s="77">
        <v>8</v>
      </c>
      <c r="E23" s="6">
        <f>Input!$H$32+ROUND(Input!$C$32*'LG4'!D23,2)</f>
        <v>3.2</v>
      </c>
      <c r="F23" s="6">
        <f>Input!$Y$32+ROUND(Input!$T$32*'LG4'!D23,2)</f>
        <v>3.2</v>
      </c>
      <c r="G23" s="6">
        <f t="shared" si="0"/>
        <v>0</v>
      </c>
      <c r="H23" s="7">
        <f t="shared" si="1"/>
        <v>0</v>
      </c>
      <c r="I23" s="6">
        <f>ROUND(D23*SUM(Input!$O$32:$R$32)*'LG4'!D23,2)</f>
        <v>0</v>
      </c>
      <c r="J23" s="6">
        <f t="shared" si="2"/>
        <v>3.2</v>
      </c>
      <c r="K23" s="6">
        <f t="shared" si="3"/>
        <v>3.2</v>
      </c>
      <c r="L23" s="7">
        <f t="shared" si="4"/>
        <v>0</v>
      </c>
    </row>
    <row r="24" spans="1:12" x14ac:dyDescent="0.3">
      <c r="A24" s="109">
        <v>5</v>
      </c>
      <c r="B24" s="109"/>
      <c r="D24" s="77">
        <v>10</v>
      </c>
      <c r="E24" s="6">
        <f>Input!$H$32+ROUND(Input!$C$32*'LG4'!D24,2)</f>
        <v>4</v>
      </c>
      <c r="F24" s="6">
        <f>Input!$Y$32+ROUND(Input!$T$32*'LG4'!D24,2)</f>
        <v>4</v>
      </c>
      <c r="G24" s="6">
        <f t="shared" si="0"/>
        <v>0</v>
      </c>
      <c r="H24" s="7">
        <f t="shared" si="1"/>
        <v>0</v>
      </c>
      <c r="I24" s="6">
        <f>ROUND(D24*SUM(Input!$O$32:$R$32)*'LG4'!D24,2)</f>
        <v>0</v>
      </c>
      <c r="J24" s="6">
        <f t="shared" si="2"/>
        <v>4</v>
      </c>
      <c r="K24" s="6">
        <f t="shared" si="3"/>
        <v>4</v>
      </c>
      <c r="L24" s="7">
        <f t="shared" si="4"/>
        <v>0</v>
      </c>
    </row>
    <row r="25" spans="1:12" x14ac:dyDescent="0.3">
      <c r="A25" s="109">
        <v>6</v>
      </c>
      <c r="B25" s="110"/>
      <c r="D25" s="77">
        <v>12</v>
      </c>
      <c r="E25" s="6">
        <f>Input!$H$32+ROUND(Input!$C$32*'LG4'!D25,2)</f>
        <v>4.8</v>
      </c>
      <c r="F25" s="6">
        <f>Input!$Y$32+ROUND(Input!$T$32*'LG4'!D25,2)</f>
        <v>4.8</v>
      </c>
      <c r="G25" s="6">
        <f t="shared" si="0"/>
        <v>0</v>
      </c>
      <c r="H25" s="7">
        <f t="shared" si="1"/>
        <v>0</v>
      </c>
      <c r="I25" s="6">
        <f>ROUND(D25*SUM(Input!$O$32:$R$32)*'LG4'!D25,2)</f>
        <v>0</v>
      </c>
      <c r="J25" s="6">
        <f t="shared" si="2"/>
        <v>4.8</v>
      </c>
      <c r="K25" s="6">
        <f t="shared" si="3"/>
        <v>4.8</v>
      </c>
      <c r="L25" s="7">
        <f t="shared" si="4"/>
        <v>0</v>
      </c>
    </row>
    <row r="26" spans="1:12" x14ac:dyDescent="0.3">
      <c r="A26" s="109">
        <v>7</v>
      </c>
      <c r="D26" s="77">
        <f>+E33</f>
        <v>13.9</v>
      </c>
      <c r="E26" s="6">
        <f>Input!$H$32+ROUND(Input!$C$32*'LG4'!D26,2)</f>
        <v>5.56</v>
      </c>
      <c r="F26" s="6">
        <f>Input!$Y$32+ROUND(Input!$T$32*'LG4'!D26,2)</f>
        <v>5.56</v>
      </c>
      <c r="G26" s="6">
        <f t="shared" si="0"/>
        <v>0</v>
      </c>
      <c r="H26" s="7">
        <f t="shared" si="1"/>
        <v>0</v>
      </c>
      <c r="I26" s="6">
        <f>ROUND(D26*SUM(Input!$O$32:$R$32)*'LG4'!D26,2)</f>
        <v>0</v>
      </c>
      <c r="J26" s="6">
        <f t="shared" si="2"/>
        <v>5.56</v>
      </c>
      <c r="K26" s="6">
        <f t="shared" si="3"/>
        <v>5.56</v>
      </c>
      <c r="L26" s="7">
        <f t="shared" si="4"/>
        <v>0</v>
      </c>
    </row>
    <row r="27" spans="1:12" x14ac:dyDescent="0.3">
      <c r="A27" s="109">
        <v>8</v>
      </c>
      <c r="D27" s="77">
        <v>16</v>
      </c>
      <c r="E27" s="6">
        <f>Input!$H$32+ROUND(Input!$C$32*'LG4'!D27,2)</f>
        <v>6.4</v>
      </c>
      <c r="F27" s="6">
        <f>Input!$Y$32+ROUND(Input!$T$32*'LG4'!D27,2)</f>
        <v>6.4</v>
      </c>
      <c r="G27" s="6">
        <f t="shared" si="0"/>
        <v>0</v>
      </c>
      <c r="H27" s="7">
        <f t="shared" si="1"/>
        <v>0</v>
      </c>
      <c r="I27" s="6">
        <f>ROUND(D27*SUM(Input!$O$32:$R$32)*'LG4'!D27,2)</f>
        <v>0</v>
      </c>
      <c r="J27" s="6">
        <f t="shared" si="2"/>
        <v>6.4</v>
      </c>
      <c r="K27" s="6">
        <f t="shared" si="3"/>
        <v>6.4</v>
      </c>
      <c r="L27" s="7">
        <f t="shared" si="4"/>
        <v>0</v>
      </c>
    </row>
    <row r="28" spans="1:12" x14ac:dyDescent="0.3">
      <c r="A28" s="109">
        <v>9</v>
      </c>
      <c r="D28" s="77">
        <v>20</v>
      </c>
      <c r="E28" s="6">
        <f>Input!$H$32+ROUND(Input!$C$32*'LG4'!D28,2)</f>
        <v>8</v>
      </c>
      <c r="F28" s="6">
        <f>Input!$Y$32+ROUND(Input!$T$32*'LG4'!D28,2)</f>
        <v>8</v>
      </c>
      <c r="G28" s="6">
        <f>F28-E28</f>
        <v>0</v>
      </c>
      <c r="H28" s="7">
        <f t="shared" si="1"/>
        <v>0</v>
      </c>
      <c r="I28" s="6">
        <f>ROUND(D28*SUM(Input!$O$32:$R$32)*'LG4'!D28,2)</f>
        <v>0</v>
      </c>
      <c r="J28" s="6">
        <f>E28+I28</f>
        <v>8</v>
      </c>
      <c r="K28" s="6">
        <f>F28+I28</f>
        <v>8</v>
      </c>
      <c r="L28" s="7">
        <f t="shared" si="4"/>
        <v>0</v>
      </c>
    </row>
    <row r="29" spans="1:12" x14ac:dyDescent="0.3">
      <c r="A29" s="109">
        <v>10</v>
      </c>
      <c r="D29" s="77">
        <v>30</v>
      </c>
      <c r="E29" s="6">
        <f>Input!$H$32+ROUND(Input!$C$32*'LG4'!D29,2)</f>
        <v>12</v>
      </c>
      <c r="F29" s="6">
        <f>Input!$Y$32+ROUND(Input!$T$32*'LG4'!D29,2)</f>
        <v>12</v>
      </c>
      <c r="G29" s="6">
        <f t="shared" si="0"/>
        <v>0</v>
      </c>
      <c r="H29" s="7">
        <f t="shared" si="1"/>
        <v>0</v>
      </c>
      <c r="I29" s="6">
        <f>ROUND(D29*SUM(Input!$O$32:$R$32)*'LG4'!D29,2)</f>
        <v>0</v>
      </c>
      <c r="J29" s="6">
        <f t="shared" si="2"/>
        <v>12</v>
      </c>
      <c r="K29" s="6">
        <f t="shared" si="3"/>
        <v>12</v>
      </c>
      <c r="L29" s="7">
        <f t="shared" si="4"/>
        <v>0</v>
      </c>
    </row>
    <row r="30" spans="1:12" x14ac:dyDescent="0.3">
      <c r="A30" s="109">
        <v>11</v>
      </c>
      <c r="D30" s="77">
        <v>40</v>
      </c>
      <c r="E30" s="6">
        <f>Input!$H$32+ROUND(Input!$C$32*'LG4'!D30,2)</f>
        <v>16</v>
      </c>
      <c r="F30" s="6">
        <f>Input!$Y$32+ROUND(Input!$T$32*'LG4'!D30,2)</f>
        <v>16</v>
      </c>
      <c r="G30" s="6">
        <f t="shared" si="0"/>
        <v>0</v>
      </c>
      <c r="H30" s="7">
        <f t="shared" si="1"/>
        <v>0</v>
      </c>
      <c r="I30" s="6">
        <f>ROUND(D30*SUM(Input!$O$32:$R$32)*'LG4'!D30,2)</f>
        <v>0</v>
      </c>
      <c r="J30" s="6">
        <f t="shared" si="2"/>
        <v>16</v>
      </c>
      <c r="K30" s="6">
        <f t="shared" si="3"/>
        <v>16</v>
      </c>
      <c r="L30" s="7">
        <f t="shared" si="4"/>
        <v>0</v>
      </c>
    </row>
    <row r="31" spans="1:12" x14ac:dyDescent="0.3">
      <c r="A31" s="109">
        <v>12</v>
      </c>
      <c r="D31" s="77">
        <v>50</v>
      </c>
      <c r="E31" s="6">
        <f>Input!$H$32+ROUND(Input!$C$32*'LG4'!D31,2)</f>
        <v>20</v>
      </c>
      <c r="F31" s="6">
        <f>Input!$Y$32+ROUND(Input!$T$32*'LG4'!D31,2)</f>
        <v>20</v>
      </c>
      <c r="G31" s="6">
        <f t="shared" si="0"/>
        <v>0</v>
      </c>
      <c r="H31" s="7">
        <f t="shared" si="1"/>
        <v>0</v>
      </c>
      <c r="I31" s="6">
        <f>ROUND(D31*SUM(Input!$O$32:$R$32)*'LG4'!D31,2)</f>
        <v>0</v>
      </c>
      <c r="J31" s="6">
        <f t="shared" si="2"/>
        <v>20</v>
      </c>
      <c r="K31" s="6">
        <f t="shared" si="3"/>
        <v>20</v>
      </c>
      <c r="L31" s="7">
        <f t="shared" si="4"/>
        <v>0</v>
      </c>
    </row>
    <row r="32" spans="1:12" x14ac:dyDescent="0.3">
      <c r="A32" s="109"/>
      <c r="D32" s="111"/>
      <c r="E32" s="109"/>
      <c r="F32" s="109"/>
      <c r="G32" s="109"/>
      <c r="H32" s="109"/>
      <c r="I32" s="109"/>
      <c r="J32" s="109"/>
      <c r="K32" s="109"/>
      <c r="L32" s="109"/>
    </row>
    <row r="33" spans="1:5" x14ac:dyDescent="0.3">
      <c r="A33" s="9"/>
      <c r="C33" s="1" t="s">
        <v>102</v>
      </c>
      <c r="E33" s="78">
        <f>Input!AE32</f>
        <v>13.9</v>
      </c>
    </row>
    <row r="36" spans="1:5" x14ac:dyDescent="0.3">
      <c r="D36" s="79"/>
    </row>
    <row r="37" spans="1:5" x14ac:dyDescent="0.3">
      <c r="B37" s="1" t="s">
        <v>112</v>
      </c>
    </row>
  </sheetData>
  <mergeCells count="5">
    <mergeCell ref="A1:L1"/>
    <mergeCell ref="A2:L2"/>
    <mergeCell ref="A4:L4"/>
    <mergeCell ref="A5:L5"/>
    <mergeCell ref="A3:L3"/>
  </mergeCells>
  <phoneticPr fontId="0" type="noConversion"/>
  <printOptions horizontalCentered="1"/>
  <pageMargins left="0.5" right="0.5" top="0.75" bottom="0.75" header="0.5" footer="0.5"/>
  <pageSetup scale="97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48"/>
  <sheetViews>
    <sheetView tabSelected="1" topLeftCell="A8" zoomScaleNormal="100" workbookViewId="0">
      <selection activeCell="K21" sqref="K21"/>
    </sheetView>
  </sheetViews>
  <sheetFormatPr defaultColWidth="9.08203125" defaultRowHeight="13" x14ac:dyDescent="0.3"/>
  <cols>
    <col min="1" max="1" width="7.6640625" style="3" customWidth="1"/>
    <col min="2" max="2" width="12.6640625" style="3" customWidth="1"/>
    <col min="3" max="3" width="9.58203125" style="3" customWidth="1"/>
    <col min="4" max="4" width="9.08203125" style="3"/>
    <col min="5" max="5" width="8.9140625" style="3" bestFit="1" customWidth="1"/>
    <col min="6" max="10" width="9.08203125" style="3"/>
    <col min="11" max="12" width="10.33203125" style="3" customWidth="1"/>
    <col min="13" max="16384" width="9.08203125" style="3"/>
  </cols>
  <sheetData>
    <row r="1" spans="1:12" x14ac:dyDescent="0.3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x14ac:dyDescent="0.3">
      <c r="A2" s="118" t="str">
        <f>Input!$B$13</f>
        <v>CASE NO. 2021-00183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x14ac:dyDescent="0.3">
      <c r="A3" s="118" t="s">
        <v>40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x14ac:dyDescent="0.3">
      <c r="A4" s="118" t="s">
        <v>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x14ac:dyDescent="0.3">
      <c r="A5" s="118" t="str">
        <f>Input!B17</f>
        <v>TWELVE MONTHS ENDING DECEMBER 31, 2022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x14ac:dyDescent="0.3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x14ac:dyDescent="0.3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2"/>
      <c r="L7" s="112"/>
    </row>
    <row r="8" spans="1:12" x14ac:dyDescent="0.3">
      <c r="A8" s="3" t="s">
        <v>113</v>
      </c>
      <c r="L8" s="13" t="s">
        <v>3</v>
      </c>
    </row>
    <row r="9" spans="1:12" x14ac:dyDescent="0.3">
      <c r="A9" s="1" t="s">
        <v>158</v>
      </c>
      <c r="L9" s="13" t="s">
        <v>135</v>
      </c>
    </row>
    <row r="10" spans="1:12" x14ac:dyDescent="0.3">
      <c r="A10" s="23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 t="str">
        <f>Input!B15</f>
        <v>Witness: JUDITH L. SIEGLER</v>
      </c>
    </row>
    <row r="13" spans="1:12" x14ac:dyDescent="0.3">
      <c r="D13" s="111"/>
      <c r="E13" s="111"/>
      <c r="F13" s="111"/>
      <c r="G13" s="111"/>
      <c r="H13" s="111"/>
      <c r="I13" s="111"/>
      <c r="J13" s="111" t="s">
        <v>29</v>
      </c>
      <c r="K13" s="111" t="s">
        <v>29</v>
      </c>
      <c r="L13" s="111"/>
    </row>
    <row r="14" spans="1:12" x14ac:dyDescent="0.3">
      <c r="A14" s="111" t="s">
        <v>4</v>
      </c>
      <c r="B14" s="111" t="s">
        <v>6</v>
      </c>
      <c r="C14" s="111" t="s">
        <v>8</v>
      </c>
      <c r="D14" s="111" t="s">
        <v>8</v>
      </c>
      <c r="E14" s="111" t="s">
        <v>14</v>
      </c>
      <c r="F14" s="111" t="s">
        <v>18</v>
      </c>
      <c r="G14" s="111" t="s">
        <v>20</v>
      </c>
      <c r="H14" s="111" t="s">
        <v>20</v>
      </c>
      <c r="I14" s="111" t="s">
        <v>26</v>
      </c>
      <c r="J14" s="111" t="s">
        <v>14</v>
      </c>
      <c r="K14" s="111" t="s">
        <v>18</v>
      </c>
      <c r="L14" s="111" t="s">
        <v>33</v>
      </c>
    </row>
    <row r="15" spans="1:12" x14ac:dyDescent="0.3">
      <c r="A15" s="72" t="s">
        <v>5</v>
      </c>
      <c r="B15" s="72" t="s">
        <v>7</v>
      </c>
      <c r="C15" s="72" t="s">
        <v>9</v>
      </c>
      <c r="D15" s="72" t="s">
        <v>10</v>
      </c>
      <c r="E15" s="72" t="s">
        <v>15</v>
      </c>
      <c r="F15" s="72" t="s">
        <v>15</v>
      </c>
      <c r="G15" s="73" t="s">
        <v>21</v>
      </c>
      <c r="H15" s="73" t="s">
        <v>23</v>
      </c>
      <c r="I15" s="72" t="s">
        <v>27</v>
      </c>
      <c r="J15" s="72" t="s">
        <v>15</v>
      </c>
      <c r="K15" s="72" t="s">
        <v>15</v>
      </c>
      <c r="L15" s="72" t="s">
        <v>20</v>
      </c>
    </row>
    <row r="16" spans="1:12" x14ac:dyDescent="0.3">
      <c r="D16" s="10" t="s">
        <v>12</v>
      </c>
      <c r="E16" s="10" t="s">
        <v>16</v>
      </c>
      <c r="F16" s="10" t="s">
        <v>16</v>
      </c>
      <c r="G16" s="10" t="s">
        <v>16</v>
      </c>
      <c r="H16" s="10" t="s">
        <v>24</v>
      </c>
      <c r="I16" s="10" t="s">
        <v>16</v>
      </c>
      <c r="J16" s="10" t="s">
        <v>16</v>
      </c>
      <c r="K16" s="10" t="s">
        <v>16</v>
      </c>
      <c r="L16" s="10" t="s">
        <v>24</v>
      </c>
    </row>
    <row r="17" spans="1:12" x14ac:dyDescent="0.3">
      <c r="C17" s="10" t="s">
        <v>11</v>
      </c>
      <c r="D17" s="10" t="s">
        <v>13</v>
      </c>
      <c r="E17" s="10" t="s">
        <v>17</v>
      </c>
      <c r="F17" s="10" t="s">
        <v>19</v>
      </c>
      <c r="G17" s="10" t="s">
        <v>22</v>
      </c>
      <c r="H17" s="10" t="s">
        <v>25</v>
      </c>
      <c r="I17" s="10" t="s">
        <v>28</v>
      </c>
      <c r="J17" s="10" t="s">
        <v>30</v>
      </c>
      <c r="K17" s="10" t="s">
        <v>31</v>
      </c>
      <c r="L17" s="10" t="s">
        <v>32</v>
      </c>
    </row>
    <row r="18" spans="1:12" x14ac:dyDescent="0.3">
      <c r="D18" s="111"/>
      <c r="E18" s="111"/>
      <c r="F18" s="111"/>
      <c r="G18" s="111"/>
      <c r="H18" s="111"/>
      <c r="I18" s="111"/>
      <c r="J18" s="10" t="s">
        <v>34</v>
      </c>
      <c r="K18" s="10" t="s">
        <v>35</v>
      </c>
      <c r="L18" s="10" t="s">
        <v>36</v>
      </c>
    </row>
    <row r="19" spans="1:12" x14ac:dyDescent="0.3">
      <c r="A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x14ac:dyDescent="0.3">
      <c r="A20" s="111">
        <v>1</v>
      </c>
      <c r="B20" s="111" t="s">
        <v>52</v>
      </c>
      <c r="C20" s="111" t="s">
        <v>38</v>
      </c>
      <c r="D20" s="71">
        <v>10</v>
      </c>
      <c r="E20" s="11">
        <f>Input!$H$33+Input!$K$33+ROUND((Input!$C$33+Input!$J$33)*(GSO!D20),2)+ROUND(Input!$N$33*(GSO!D20),2)</f>
        <v>97.64</v>
      </c>
      <c r="F20" s="11">
        <f>Input!$Y$33+ROUND((Input!$T$33)*(GSO!D20),2)+ROUND(Input!$N$33*GSO!D20,2)</f>
        <v>116.49999999999999</v>
      </c>
      <c r="G20" s="11">
        <f>F20-E20</f>
        <v>18.859999999999985</v>
      </c>
      <c r="H20" s="12">
        <f>ROUND(G20/E20,3)</f>
        <v>0.193</v>
      </c>
      <c r="I20" s="11">
        <f>ROUND(D20*SUM(Input!$O$36:$R$36),2)</f>
        <v>44.13</v>
      </c>
      <c r="J20" s="11">
        <f>E20+I20</f>
        <v>141.77000000000001</v>
      </c>
      <c r="K20" s="11">
        <f>F20+I20</f>
        <v>160.63</v>
      </c>
      <c r="L20" s="12">
        <f>ROUND((K20-J20)/J20,3)</f>
        <v>0.13300000000000001</v>
      </c>
    </row>
    <row r="21" spans="1:12" x14ac:dyDescent="0.3">
      <c r="A21" s="111">
        <v>2</v>
      </c>
      <c r="B21" s="111" t="s">
        <v>42</v>
      </c>
      <c r="C21" s="111" t="s">
        <v>39</v>
      </c>
      <c r="D21" s="71">
        <f>E39</f>
        <v>27.3</v>
      </c>
      <c r="E21" s="11">
        <f>Input!$H$33+Input!$K$33+ROUND((Input!$C$33+Input!$J$33)*(GSO!D21),2)+ROUND(Input!$N$33*(GSO!D21),2)</f>
        <v>147.19999999999999</v>
      </c>
      <c r="F21" s="11">
        <f>Input!$Y$33+ROUND((Input!$T$33)*(GSO!D21),2)+ROUND(Input!$N$33*GSO!D21,2)</f>
        <v>173.22999999999996</v>
      </c>
      <c r="G21" s="11">
        <f t="shared" ref="G21:G32" si="0">F21-E21</f>
        <v>26.029999999999973</v>
      </c>
      <c r="H21" s="12">
        <f t="shared" ref="H21:H37" si="1">ROUND(G21/E21,3)</f>
        <v>0.17699999999999999</v>
      </c>
      <c r="I21" s="11">
        <f>ROUND(D21*SUM(Input!$O$36:$R$36),2)</f>
        <v>120.47</v>
      </c>
      <c r="J21" s="11">
        <f t="shared" ref="J21:J32" si="2">E21+I21</f>
        <v>267.66999999999996</v>
      </c>
      <c r="K21" s="11">
        <f t="shared" ref="K21:K32" si="3">F21+I21</f>
        <v>293.69999999999993</v>
      </c>
      <c r="L21" s="12">
        <f t="shared" ref="L21:L37" si="4">ROUND((K21-J21)/J21,3)</f>
        <v>9.7000000000000003E-2</v>
      </c>
    </row>
    <row r="22" spans="1:12" x14ac:dyDescent="0.3">
      <c r="A22" s="111">
        <v>3</v>
      </c>
      <c r="B22" s="111" t="s">
        <v>43</v>
      </c>
      <c r="C22" s="111"/>
      <c r="D22" s="71">
        <v>30</v>
      </c>
      <c r="E22" s="11">
        <f>Input!$H$33+Input!$K$33+ROUND((Input!$C$33+Input!$J$33)*(GSO!D22),2)+ROUND(Input!$N$33*(GSO!D22),2)</f>
        <v>154.93</v>
      </c>
      <c r="F22" s="11">
        <f>Input!$Y$33+ROUND((Input!$T$33)*(GSO!D22),2)+ROUND(Input!$N$33*GSO!D22,2)</f>
        <v>182.09</v>
      </c>
      <c r="G22" s="11">
        <f>F22-E22</f>
        <v>27.159999999999997</v>
      </c>
      <c r="H22" s="12">
        <f t="shared" si="1"/>
        <v>0.17499999999999999</v>
      </c>
      <c r="I22" s="11">
        <f>ROUND(D22*SUM(Input!$O$36:$R$36),2)</f>
        <v>132.38</v>
      </c>
      <c r="J22" s="11">
        <f>E22+I22</f>
        <v>287.31</v>
      </c>
      <c r="K22" s="11">
        <f>F22+I22</f>
        <v>314.47000000000003</v>
      </c>
      <c r="L22" s="12">
        <f t="shared" si="4"/>
        <v>9.5000000000000001E-2</v>
      </c>
    </row>
    <row r="23" spans="1:12" x14ac:dyDescent="0.3">
      <c r="A23" s="111">
        <v>4</v>
      </c>
      <c r="B23" s="111" t="s">
        <v>57</v>
      </c>
      <c r="D23" s="71">
        <v>50</v>
      </c>
      <c r="E23" s="11">
        <f>Input!$H$33+Input!$K$33+ROUND((Input!$C$33+Input!$J$33)*(GSO!D23),2)+ROUND(Input!$N$33*(GSO!D23),2)</f>
        <v>212.23</v>
      </c>
      <c r="F23" s="11">
        <f>Input!$Y$33+ROUND((Input!$T$33)*(GSO!D23),2)+ROUND(Input!$N$33*GSO!D23,2)</f>
        <v>247.67999999999998</v>
      </c>
      <c r="G23" s="11">
        <f t="shared" si="0"/>
        <v>35.449999999999989</v>
      </c>
      <c r="H23" s="12">
        <f t="shared" si="1"/>
        <v>0.16700000000000001</v>
      </c>
      <c r="I23" s="11">
        <f>ROUND(D23*SUM(Input!$O$36:$R$36),2)</f>
        <v>220.64</v>
      </c>
      <c r="J23" s="11">
        <f t="shared" si="2"/>
        <v>432.87</v>
      </c>
      <c r="K23" s="11">
        <f t="shared" si="3"/>
        <v>468.31999999999994</v>
      </c>
      <c r="L23" s="12">
        <f t="shared" si="4"/>
        <v>8.2000000000000003E-2</v>
      </c>
    </row>
    <row r="24" spans="1:12" x14ac:dyDescent="0.3">
      <c r="A24" s="111">
        <v>5</v>
      </c>
      <c r="B24" s="111" t="s">
        <v>58</v>
      </c>
      <c r="D24" s="71">
        <v>70</v>
      </c>
      <c r="E24" s="11">
        <f>Input!$H$33+Input!$K$33+ROUND(Input!$C$33*50,2)+ROUND(Input!$D$33*(GSO!D24-50),2)+ROUND(Input!$N$33*GSO!D24,2)+ROUND(Input!$J$33*GSO!D24,2)</f>
        <v>255.75</v>
      </c>
      <c r="F24" s="11">
        <f>Input!$Y$33+ROUND(Input!$T$33*50,2)+ROUND(Input!$U$33*(GSO!D24-50),2)+ROUND(Input!$N$33*GSO!D24,2)</f>
        <v>298.36999999999995</v>
      </c>
      <c r="G24" s="11">
        <f t="shared" si="0"/>
        <v>42.619999999999948</v>
      </c>
      <c r="H24" s="12">
        <f t="shared" si="1"/>
        <v>0.16700000000000001</v>
      </c>
      <c r="I24" s="11">
        <f>ROUND(D24*SUM(Input!$O$36:$R$36),2)</f>
        <v>308.89999999999998</v>
      </c>
      <c r="J24" s="11">
        <f t="shared" si="2"/>
        <v>564.65</v>
      </c>
      <c r="K24" s="11">
        <f t="shared" si="3"/>
        <v>607.27</v>
      </c>
      <c r="L24" s="12">
        <f t="shared" si="4"/>
        <v>7.4999999999999997E-2</v>
      </c>
    </row>
    <row r="25" spans="1:12" x14ac:dyDescent="0.3">
      <c r="A25" s="111">
        <v>6</v>
      </c>
      <c r="D25" s="71">
        <v>100</v>
      </c>
      <c r="E25" s="11">
        <f>Input!$H$33+Input!$K$33+ROUND(Input!$C$33*50,2)+ROUND(Input!$D$33*(GSO!D25-50),2)+ROUND(Input!$N$33*GSO!D25,2)+ROUND(Input!$J$33*GSO!D25,2)</f>
        <v>321.02999999999997</v>
      </c>
      <c r="F25" s="11">
        <f>Input!$Y$33+ROUND(Input!$T$33*50,2)+ROUND(Input!$U$33*(GSO!D25-50),2)+ROUND(Input!$N$33*GSO!D25,2)</f>
        <v>374.40999999999997</v>
      </c>
      <c r="G25" s="11">
        <f t="shared" si="0"/>
        <v>53.379999999999995</v>
      </c>
      <c r="H25" s="12">
        <f t="shared" si="1"/>
        <v>0.16600000000000001</v>
      </c>
      <c r="I25" s="11">
        <f>ROUND(D25*SUM(Input!$O$36:$R$36),2)</f>
        <v>441.28</v>
      </c>
      <c r="J25" s="11">
        <f t="shared" si="2"/>
        <v>762.31</v>
      </c>
      <c r="K25" s="11">
        <f t="shared" si="3"/>
        <v>815.68999999999994</v>
      </c>
      <c r="L25" s="12">
        <f t="shared" si="4"/>
        <v>7.0000000000000007E-2</v>
      </c>
    </row>
    <row r="26" spans="1:12" x14ac:dyDescent="0.3">
      <c r="A26" s="111">
        <v>7</v>
      </c>
      <c r="B26" s="112"/>
      <c r="D26" s="71">
        <v>150</v>
      </c>
      <c r="E26" s="11">
        <f>Input!$H$33+Input!$K$33+ROUND(Input!$C$33*50,2)+ROUND(Input!$D$33*(GSO!D26-50),2)+ROUND(Input!$N$33*GSO!D26,2)+ROUND(Input!$J$33*GSO!D26,2)</f>
        <v>429.82000000000005</v>
      </c>
      <c r="F26" s="11">
        <f>Input!$Y$33+ROUND(Input!$T$33*50,2)+ROUND(Input!$U$33*(GSO!D26-50),2)+ROUND(Input!$N$33*GSO!D26,2)</f>
        <v>501.13</v>
      </c>
      <c r="G26" s="11">
        <f t="shared" si="0"/>
        <v>71.309999999999945</v>
      </c>
      <c r="H26" s="12">
        <f t="shared" si="1"/>
        <v>0.16600000000000001</v>
      </c>
      <c r="I26" s="11">
        <f>ROUND(D26*SUM(Input!$O$36:$R$36),2)</f>
        <v>661.92</v>
      </c>
      <c r="J26" s="11">
        <f t="shared" si="2"/>
        <v>1091.74</v>
      </c>
      <c r="K26" s="11">
        <f t="shared" si="3"/>
        <v>1163.05</v>
      </c>
      <c r="L26" s="12">
        <f t="shared" si="4"/>
        <v>6.5000000000000002E-2</v>
      </c>
    </row>
    <row r="27" spans="1:12" x14ac:dyDescent="0.3">
      <c r="A27" s="111">
        <v>8</v>
      </c>
      <c r="D27" s="71">
        <v>200</v>
      </c>
      <c r="E27" s="11">
        <f>Input!$H$33+Input!$K$33+ROUND(Input!$C$33*50,2)+ROUND(Input!$D$33*(GSO!D27-50),2)+ROUND(Input!$N$33*GSO!D27,2)+ROUND(Input!$J$33*GSO!D27,2)</f>
        <v>538.62</v>
      </c>
      <c r="F27" s="11">
        <f>Input!$Y$33+ROUND(Input!$T$33*50,2)+ROUND(Input!$U$33*(GSO!D27-50),2)+ROUND(Input!$N$33*GSO!D27,2)</f>
        <v>627.86</v>
      </c>
      <c r="G27" s="11">
        <f t="shared" si="0"/>
        <v>89.240000000000009</v>
      </c>
      <c r="H27" s="12">
        <f t="shared" si="1"/>
        <v>0.16600000000000001</v>
      </c>
      <c r="I27" s="11">
        <f>ROUND(D27*SUM(Input!$O$36:$R$36),2)</f>
        <v>882.56</v>
      </c>
      <c r="J27" s="11">
        <f t="shared" si="2"/>
        <v>1421.1799999999998</v>
      </c>
      <c r="K27" s="11">
        <f t="shared" si="3"/>
        <v>1510.42</v>
      </c>
      <c r="L27" s="12">
        <f t="shared" si="4"/>
        <v>6.3E-2</v>
      </c>
    </row>
    <row r="28" spans="1:12" x14ac:dyDescent="0.3">
      <c r="A28" s="111">
        <v>9</v>
      </c>
      <c r="D28" s="71">
        <v>250</v>
      </c>
      <c r="E28" s="11">
        <f>Input!$H$33+Input!$K$33+ROUND(Input!$C$33*50,2)+ROUND(Input!$D$33*(GSO!D28-50),2)+ROUND(Input!$N$33*GSO!D28,2)+ROUND(Input!$J$33*GSO!D28,2)</f>
        <v>647.41</v>
      </c>
      <c r="F28" s="11">
        <f>Input!$Y$33+ROUND(Input!$T$33*50,2)+ROUND(Input!$U$33*(GSO!D28-50),2)+ROUND(Input!$N$33*GSO!D28,2)</f>
        <v>754.58</v>
      </c>
      <c r="G28" s="11">
        <f t="shared" si="0"/>
        <v>107.17000000000007</v>
      </c>
      <c r="H28" s="12">
        <f t="shared" si="1"/>
        <v>0.16600000000000001</v>
      </c>
      <c r="I28" s="11">
        <f>ROUND(D28*SUM(Input!$O$36:$R$36),2)</f>
        <v>1103.2</v>
      </c>
      <c r="J28" s="11">
        <f t="shared" si="2"/>
        <v>1750.6100000000001</v>
      </c>
      <c r="K28" s="11">
        <f t="shared" si="3"/>
        <v>1857.7800000000002</v>
      </c>
      <c r="L28" s="12">
        <f t="shared" si="4"/>
        <v>6.0999999999999999E-2</v>
      </c>
    </row>
    <row r="29" spans="1:12" x14ac:dyDescent="0.3">
      <c r="A29" s="111">
        <v>10</v>
      </c>
      <c r="D29" s="71">
        <v>300</v>
      </c>
      <c r="E29" s="11">
        <f>Input!$H$33+Input!$K$33+ROUND(Input!$C$33*50,2)+ROUND(Input!$D$33*(GSO!D29-50),2)+ROUND(Input!$N$33*GSO!D29,2)+ROUND(Input!$J$33*GSO!D29,2)</f>
        <v>756.21</v>
      </c>
      <c r="F29" s="11">
        <f>Input!$Y$33+ROUND(Input!$T$33*50,2)+ROUND(Input!$U$33*(GSO!D29-50),2)+ROUND(Input!$N$33*GSO!D29,2)</f>
        <v>881.31000000000006</v>
      </c>
      <c r="G29" s="11">
        <f t="shared" si="0"/>
        <v>125.10000000000002</v>
      </c>
      <c r="H29" s="12">
        <f t="shared" si="1"/>
        <v>0.16500000000000001</v>
      </c>
      <c r="I29" s="11">
        <f>ROUND(D29*SUM(Input!$O$36:$R$36),2)</f>
        <v>1323.84</v>
      </c>
      <c r="J29" s="11">
        <f t="shared" si="2"/>
        <v>2080.0500000000002</v>
      </c>
      <c r="K29" s="11">
        <f t="shared" si="3"/>
        <v>2205.15</v>
      </c>
      <c r="L29" s="12">
        <f t="shared" si="4"/>
        <v>0.06</v>
      </c>
    </row>
    <row r="30" spans="1:12" x14ac:dyDescent="0.3">
      <c r="A30" s="111">
        <v>11</v>
      </c>
      <c r="D30" s="71">
        <v>350</v>
      </c>
      <c r="E30" s="11">
        <f>Input!$H$33+Input!$K$33+ROUND(Input!$C$33*50,2)+ROUND(Input!$D$33*(GSO!D30-50),2)+ROUND(Input!$N$33*GSO!D30,2)+ROUND(Input!$J$33*GSO!D30,2)</f>
        <v>865</v>
      </c>
      <c r="F30" s="11">
        <f>Input!$Y$33+ROUND(Input!$T$33*50,2)+ROUND(Input!$U$33*(GSO!D30-50),2)+ROUND(Input!$N$33*GSO!D30,2)</f>
        <v>1008.03</v>
      </c>
      <c r="G30" s="11">
        <f>F30-E30</f>
        <v>143.02999999999997</v>
      </c>
      <c r="H30" s="12">
        <f t="shared" si="1"/>
        <v>0.16500000000000001</v>
      </c>
      <c r="I30" s="11">
        <f>ROUND(D30*SUM(Input!$O$36:$R$36),2)</f>
        <v>1544.48</v>
      </c>
      <c r="J30" s="11">
        <f>E30+I30</f>
        <v>2409.48</v>
      </c>
      <c r="K30" s="11">
        <f>F30+I30</f>
        <v>2552.5100000000002</v>
      </c>
      <c r="L30" s="12">
        <f t="shared" si="4"/>
        <v>5.8999999999999997E-2</v>
      </c>
    </row>
    <row r="31" spans="1:12" x14ac:dyDescent="0.3">
      <c r="A31" s="111">
        <v>12</v>
      </c>
      <c r="D31" s="71">
        <f>+E40</f>
        <v>395.6</v>
      </c>
      <c r="E31" s="11">
        <f>Input!$H$33+Input!$K$33+ROUND(Input!$C$33*50,2)+ROUND(Input!$D$33*(GSO!D31-50),2)+ROUND(Input!$N$33*GSO!D31,2)+ROUND(Input!$J$33*GSO!D31,2)</f>
        <v>964.23</v>
      </c>
      <c r="F31" s="11">
        <f>Input!$Y$33+ROUND(Input!$T$33*50,2)+ROUND(Input!$U$33*(GSO!D31-50),2)+ROUND(Input!$N$33*GSO!D31,2)</f>
        <v>1123.6100000000001</v>
      </c>
      <c r="G31" s="11">
        <f t="shared" si="0"/>
        <v>159.38000000000011</v>
      </c>
      <c r="H31" s="12">
        <f t="shared" si="1"/>
        <v>0.16500000000000001</v>
      </c>
      <c r="I31" s="11">
        <f>ROUND(D31*SUM(Input!$O$36:$R$36),2)</f>
        <v>1745.7</v>
      </c>
      <c r="J31" s="11">
        <f t="shared" si="2"/>
        <v>2709.9300000000003</v>
      </c>
      <c r="K31" s="11">
        <f t="shared" si="3"/>
        <v>2869.3100000000004</v>
      </c>
      <c r="L31" s="12">
        <f t="shared" si="4"/>
        <v>5.8999999999999997E-2</v>
      </c>
    </row>
    <row r="32" spans="1:12" x14ac:dyDescent="0.3">
      <c r="A32" s="111">
        <v>13</v>
      </c>
      <c r="D32" s="71">
        <v>400</v>
      </c>
      <c r="E32" s="11">
        <f>Input!$H$33+Input!$K$33+ROUND(Input!$C$33*50,2)+ROUND(Input!$D$33*(350),2)+ROUND(Input!$E$33*(D32-400),2)+ROUND(Input!$N$33*GSO!D32,2)+ROUND(Input!$J$33*GSO!D32,2)</f>
        <v>973.8</v>
      </c>
      <c r="F32" s="11">
        <f>Input!$Y$33+ROUND(Input!$T$33*50,2)+ROUND(Input!$U$33*(350),2)+ROUND(Input!$V$33*(GSO!D32-400),2)+ROUND(Input!$N$33*GSO!D32,2)</f>
        <v>1134.76</v>
      </c>
      <c r="G32" s="11">
        <f t="shared" si="0"/>
        <v>160.96000000000004</v>
      </c>
      <c r="H32" s="12">
        <f t="shared" si="1"/>
        <v>0.16500000000000001</v>
      </c>
      <c r="I32" s="11">
        <f>ROUND(D32*SUM(Input!$O$36:$R$36),2)</f>
        <v>1765.12</v>
      </c>
      <c r="J32" s="11">
        <f t="shared" si="2"/>
        <v>2738.92</v>
      </c>
      <c r="K32" s="11">
        <f t="shared" si="3"/>
        <v>2899.88</v>
      </c>
      <c r="L32" s="12">
        <f t="shared" si="4"/>
        <v>5.8999999999999997E-2</v>
      </c>
    </row>
    <row r="33" spans="1:12" x14ac:dyDescent="0.3">
      <c r="A33" s="111">
        <v>14</v>
      </c>
      <c r="D33" s="71">
        <v>450</v>
      </c>
      <c r="E33" s="11">
        <f>Input!$H$33+Input!$K$33+ROUND(Input!$C$33*50,2)+ROUND(Input!$D$33*350,2)+ROUND(Input!$E$33*(GSO!D33-400),2)+ROUND(Input!$N$33*GSO!D33,2)+ROUND(Input!$J$34*GSO!D33,2)</f>
        <v>1076.8400000000001</v>
      </c>
      <c r="F33" s="11">
        <f>Input!$Y$33+ROUND(Input!$T$33*50,2)+ROUND(Input!$U$33*350,2)+ROUND((Input!$V$33*(GSO!D33-400)),2)+ROUND(Input!$N$33*(GSO!D33),2)</f>
        <v>1255.25</v>
      </c>
      <c r="G33" s="11">
        <f>F33-E33</f>
        <v>178.40999999999985</v>
      </c>
      <c r="H33" s="12">
        <f t="shared" si="1"/>
        <v>0.16600000000000001</v>
      </c>
      <c r="I33" s="11">
        <f>ROUND(D33*SUM(Input!$O$36:$R$36),2)</f>
        <v>1985.76</v>
      </c>
      <c r="J33" s="11">
        <f>E33+I33</f>
        <v>3062.6000000000004</v>
      </c>
      <c r="K33" s="11">
        <f>F33+I33</f>
        <v>3241.01</v>
      </c>
      <c r="L33" s="12">
        <f t="shared" si="4"/>
        <v>5.8000000000000003E-2</v>
      </c>
    </row>
    <row r="34" spans="1:12" x14ac:dyDescent="0.3">
      <c r="A34" s="111">
        <v>15</v>
      </c>
      <c r="D34" s="71">
        <v>500</v>
      </c>
      <c r="E34" s="11">
        <f>Input!$H$33+Input!$K$33+ROUND(Input!$C$33*50,2)+ROUND(Input!$D$33*350,2)+ROUND(Input!$E$33*(GSO!D34-400),2)+ROUND(Input!$N$33*GSO!D34,2)+ROUND(Input!$J$34*GSO!D34,2)</f>
        <v>1179.8700000000001</v>
      </c>
      <c r="F34" s="11">
        <f>Input!$Y$33+ROUND(Input!$T$33*50,2)+ROUND(Input!$U$33*350,2)+ROUND((Input!$V$33*(GSO!D34-400)),2)+ROUND(Input!$N$33*(GSO!D34),2)</f>
        <v>1375.74</v>
      </c>
      <c r="G34" s="11">
        <f>F34-E34</f>
        <v>195.86999999999989</v>
      </c>
      <c r="H34" s="12">
        <f t="shared" si="1"/>
        <v>0.16600000000000001</v>
      </c>
      <c r="I34" s="11">
        <f>ROUND(D34*SUM(Input!$O$36:$R$36),2)</f>
        <v>2206.4</v>
      </c>
      <c r="J34" s="11">
        <f>E34+I34</f>
        <v>3386.2700000000004</v>
      </c>
      <c r="K34" s="11">
        <f>F34+I34</f>
        <v>3582.1400000000003</v>
      </c>
      <c r="L34" s="12">
        <f t="shared" si="4"/>
        <v>5.8000000000000003E-2</v>
      </c>
    </row>
    <row r="35" spans="1:12" x14ac:dyDescent="0.3">
      <c r="A35" s="111">
        <v>16</v>
      </c>
      <c r="D35" s="71">
        <v>700</v>
      </c>
      <c r="E35" s="11">
        <f>Input!$H$33+Input!$K$33+ROUND(Input!$C$33*50,2)+ROUND(Input!$D$33*350,2)+ROUND(Input!$E$33*(GSO!D35-400),2)+ROUND(Input!$N$33*GSO!D35,2)+ROUND(Input!$J$34*GSO!D35,2)</f>
        <v>1592.01</v>
      </c>
      <c r="F35" s="11">
        <f>Input!$Y$33+ROUND(Input!$T$33*50,2)+ROUND(Input!$U$33*350,2)+ROUND((Input!$V$33*(GSO!D35-400)),2)+ROUND(Input!$N$33*(GSO!D35),2)</f>
        <v>1857.6999999999998</v>
      </c>
      <c r="G35" s="11">
        <f>F35-E35</f>
        <v>265.68999999999983</v>
      </c>
      <c r="H35" s="12">
        <f t="shared" si="1"/>
        <v>0.16700000000000001</v>
      </c>
      <c r="I35" s="11">
        <f>ROUND(D35*SUM(Input!$O$36:$R$36),2)</f>
        <v>3088.96</v>
      </c>
      <c r="J35" s="11">
        <f>E35+I35</f>
        <v>4680.97</v>
      </c>
      <c r="K35" s="11">
        <f>F35+I35</f>
        <v>4946.66</v>
      </c>
      <c r="L35" s="12">
        <f t="shared" si="4"/>
        <v>5.7000000000000002E-2</v>
      </c>
    </row>
    <row r="36" spans="1:12" x14ac:dyDescent="0.3">
      <c r="A36" s="111">
        <v>17</v>
      </c>
      <c r="D36" s="71">
        <v>1000</v>
      </c>
      <c r="E36" s="11">
        <f>Input!$H$33+Input!$K$33+ROUND(Input!$C$33*50,2)+ROUND(Input!$D$33*350,2)+ROUND(Input!$E$33*(GSO!D36-400),2)+ROUND(Input!$N$33*GSO!D36,2)+ROUND(Input!$J$34*GSO!D36,2)</f>
        <v>2210.2199999999998</v>
      </c>
      <c r="F36" s="11">
        <f>Input!$Y$33+ROUND(Input!$T$33*50,2)+ROUND(Input!$U$33*350,2)+ROUND((Input!$V$33*(GSO!D36-400)),2)+ROUND(Input!$N$33*(GSO!D36),2)</f>
        <v>2580.64</v>
      </c>
      <c r="G36" s="11">
        <f>F36-E36</f>
        <v>370.42000000000007</v>
      </c>
      <c r="H36" s="12">
        <f t="shared" si="1"/>
        <v>0.16800000000000001</v>
      </c>
      <c r="I36" s="11">
        <f>ROUND(D36*SUM(Input!$O$36:$R$36),2)</f>
        <v>4412.8</v>
      </c>
      <c r="J36" s="11">
        <f>E36+I36</f>
        <v>6623.02</v>
      </c>
      <c r="K36" s="11">
        <f>F36+I36</f>
        <v>6993.4400000000005</v>
      </c>
      <c r="L36" s="12">
        <f t="shared" si="4"/>
        <v>5.6000000000000001E-2</v>
      </c>
    </row>
    <row r="37" spans="1:12" x14ac:dyDescent="0.3">
      <c r="A37" s="111">
        <v>18</v>
      </c>
      <c r="D37" s="71">
        <v>1200</v>
      </c>
      <c r="E37" s="11">
        <f>Input!$H$33+Input!$K$33+ROUND(Input!$C$33*50,2)+ROUND(Input!$D$33*350,2)+ROUND(Input!$E$33*600,2)+ROUND(Input!$F$33*(GSO!D37-1000),2)+ROUND(Input!$N$33*GSO!D37,2)+ROUND(Input!$J$33*GSO!D37,2)</f>
        <v>2582.36</v>
      </c>
      <c r="F37" s="11">
        <f>Input!$Y$33+ROUND(Input!$T$33*50,2)+ROUND(Input!$U$33*350,2)+ROUND(Input!$V$33*600,2)+ROUND(Input!$W$33*(GSO!D37-1000),2)+ROUND(Input!$N$33*GSO!D37,2)</f>
        <v>3019.32</v>
      </c>
      <c r="G37" s="11">
        <f>F37-E37</f>
        <v>436.96000000000004</v>
      </c>
      <c r="H37" s="12">
        <f t="shared" si="1"/>
        <v>0.16900000000000001</v>
      </c>
      <c r="I37" s="11">
        <f>ROUND(D37*SUM(Input!$O$36:$R$36),2)</f>
        <v>5295.36</v>
      </c>
      <c r="J37" s="11">
        <f>E37+I37</f>
        <v>7877.7199999999993</v>
      </c>
      <c r="K37" s="11">
        <f>F37+I37</f>
        <v>8314.68</v>
      </c>
      <c r="L37" s="12">
        <f t="shared" si="4"/>
        <v>5.5E-2</v>
      </c>
    </row>
    <row r="38" spans="1:12" x14ac:dyDescent="0.3">
      <c r="L38" s="12"/>
    </row>
    <row r="39" spans="1:12" x14ac:dyDescent="0.3">
      <c r="A39" s="14"/>
      <c r="C39" s="3" t="s">
        <v>102</v>
      </c>
      <c r="E39" s="70">
        <f>Input!AE33</f>
        <v>27.3</v>
      </c>
      <c r="F39" s="15" t="s">
        <v>100</v>
      </c>
    </row>
    <row r="40" spans="1:12" x14ac:dyDescent="0.3">
      <c r="A40" s="14"/>
      <c r="C40" s="3" t="s">
        <v>102</v>
      </c>
      <c r="E40" s="70">
        <f>Input!AE34</f>
        <v>395.6</v>
      </c>
      <c r="F40" s="15" t="s">
        <v>101</v>
      </c>
    </row>
    <row r="42" spans="1:12" x14ac:dyDescent="0.3">
      <c r="G42" s="69"/>
    </row>
    <row r="43" spans="1:12" x14ac:dyDescent="0.3">
      <c r="G43" s="69"/>
    </row>
    <row r="44" spans="1:12" x14ac:dyDescent="0.3">
      <c r="G44" s="69"/>
    </row>
    <row r="45" spans="1:12" x14ac:dyDescent="0.3">
      <c r="G45" s="69"/>
    </row>
    <row r="46" spans="1:12" x14ac:dyDescent="0.3">
      <c r="G46" s="69"/>
    </row>
    <row r="47" spans="1:12" x14ac:dyDescent="0.3">
      <c r="G47" s="69"/>
    </row>
    <row r="48" spans="1:12" x14ac:dyDescent="0.3">
      <c r="G48" s="69"/>
    </row>
  </sheetData>
  <mergeCells count="5">
    <mergeCell ref="A1:L1"/>
    <mergeCell ref="A2:L2"/>
    <mergeCell ref="A4:L4"/>
    <mergeCell ref="A5:L5"/>
    <mergeCell ref="A3:L3"/>
  </mergeCells>
  <phoneticPr fontId="0" type="noConversion"/>
  <printOptions horizontalCentered="1"/>
  <pageMargins left="0.5" right="0.5" top="0.75" bottom="0.75" header="0.5" footer="0.5"/>
  <pageSetup scale="87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L37"/>
  <sheetViews>
    <sheetView zoomScaleNormal="100" workbookViewId="0">
      <selection activeCell="J44" sqref="J44"/>
    </sheetView>
  </sheetViews>
  <sheetFormatPr defaultColWidth="9.08203125" defaultRowHeight="13" x14ac:dyDescent="0.3"/>
  <cols>
    <col min="1" max="1" width="9.08203125" style="3"/>
    <col min="2" max="2" width="9.6640625" style="3" customWidth="1"/>
    <col min="3" max="3" width="9.58203125" style="3" customWidth="1"/>
    <col min="4" max="6" width="9.08203125" style="3"/>
    <col min="7" max="7" width="9.58203125" style="3" bestFit="1" customWidth="1"/>
    <col min="8" max="8" width="9.08203125" style="3"/>
    <col min="9" max="10" width="9.9140625" style="3" bestFit="1" customWidth="1"/>
    <col min="11" max="12" width="10.33203125" style="3" customWidth="1"/>
    <col min="13" max="16384" width="9.08203125" style="3"/>
  </cols>
  <sheetData>
    <row r="1" spans="1:12" x14ac:dyDescent="0.3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x14ac:dyDescent="0.3">
      <c r="A2" s="118" t="str">
        <f>Input!$B$13</f>
        <v>CASE NO. 2021-00183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x14ac:dyDescent="0.3">
      <c r="A3" s="118" t="s">
        <v>40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x14ac:dyDescent="0.3">
      <c r="A4" s="118" t="s">
        <v>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x14ac:dyDescent="0.3">
      <c r="A5" s="118" t="str">
        <f>Input!B17</f>
        <v>TWELVE MONTHS ENDING DECEMBER 31, 2022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x14ac:dyDescent="0.3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x14ac:dyDescent="0.3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2"/>
      <c r="L7" s="112"/>
    </row>
    <row r="8" spans="1:12" x14ac:dyDescent="0.3">
      <c r="A8" s="3" t="s">
        <v>113</v>
      </c>
      <c r="L8" s="13" t="s">
        <v>3</v>
      </c>
    </row>
    <row r="9" spans="1:12" x14ac:dyDescent="0.3">
      <c r="A9" s="1" t="s">
        <v>158</v>
      </c>
      <c r="L9" s="13" t="s">
        <v>136</v>
      </c>
    </row>
    <row r="10" spans="1:12" x14ac:dyDescent="0.3">
      <c r="A10" s="23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 t="str">
        <f>Input!B15</f>
        <v>Witness: JUDITH L. SIEGLER</v>
      </c>
    </row>
    <row r="13" spans="1:12" x14ac:dyDescent="0.3">
      <c r="D13" s="111"/>
      <c r="E13" s="111"/>
      <c r="F13" s="111"/>
      <c r="G13" s="111"/>
      <c r="H13" s="111"/>
      <c r="I13" s="111"/>
      <c r="J13" s="111" t="s">
        <v>29</v>
      </c>
      <c r="K13" s="111" t="s">
        <v>29</v>
      </c>
      <c r="L13" s="111"/>
    </row>
    <row r="14" spans="1:12" x14ac:dyDescent="0.3">
      <c r="A14" s="111" t="s">
        <v>4</v>
      </c>
      <c r="B14" s="111" t="s">
        <v>6</v>
      </c>
      <c r="C14" s="111" t="s">
        <v>8</v>
      </c>
      <c r="D14" s="111" t="s">
        <v>8</v>
      </c>
      <c r="E14" s="111" t="s">
        <v>14</v>
      </c>
      <c r="F14" s="111" t="s">
        <v>18</v>
      </c>
      <c r="G14" s="111" t="s">
        <v>20</v>
      </c>
      <c r="H14" s="111" t="s">
        <v>20</v>
      </c>
      <c r="I14" s="111" t="s">
        <v>26</v>
      </c>
      <c r="J14" s="111" t="s">
        <v>14</v>
      </c>
      <c r="K14" s="111" t="s">
        <v>18</v>
      </c>
      <c r="L14" s="111" t="s">
        <v>33</v>
      </c>
    </row>
    <row r="15" spans="1:12" x14ac:dyDescent="0.3">
      <c r="A15" s="72" t="s">
        <v>5</v>
      </c>
      <c r="B15" s="72" t="s">
        <v>7</v>
      </c>
      <c r="C15" s="72" t="s">
        <v>9</v>
      </c>
      <c r="D15" s="72" t="s">
        <v>10</v>
      </c>
      <c r="E15" s="72" t="s">
        <v>15</v>
      </c>
      <c r="F15" s="72" t="s">
        <v>15</v>
      </c>
      <c r="G15" s="73" t="s">
        <v>21</v>
      </c>
      <c r="H15" s="73" t="s">
        <v>23</v>
      </c>
      <c r="I15" s="72" t="s">
        <v>27</v>
      </c>
      <c r="J15" s="72" t="s">
        <v>15</v>
      </c>
      <c r="K15" s="72" t="s">
        <v>15</v>
      </c>
      <c r="L15" s="72" t="s">
        <v>20</v>
      </c>
    </row>
    <row r="16" spans="1:12" x14ac:dyDescent="0.3">
      <c r="D16" s="10" t="s">
        <v>12</v>
      </c>
      <c r="E16" s="10" t="s">
        <v>16</v>
      </c>
      <c r="F16" s="10" t="s">
        <v>16</v>
      </c>
      <c r="G16" s="10" t="s">
        <v>16</v>
      </c>
      <c r="H16" s="10" t="s">
        <v>24</v>
      </c>
      <c r="I16" s="10" t="s">
        <v>16</v>
      </c>
      <c r="J16" s="10" t="s">
        <v>16</v>
      </c>
      <c r="K16" s="10" t="s">
        <v>16</v>
      </c>
      <c r="L16" s="10" t="s">
        <v>24</v>
      </c>
    </row>
    <row r="17" spans="1:12" x14ac:dyDescent="0.3">
      <c r="C17" s="10" t="s">
        <v>11</v>
      </c>
      <c r="D17" s="10" t="s">
        <v>13</v>
      </c>
      <c r="E17" s="10" t="s">
        <v>17</v>
      </c>
      <c r="F17" s="10" t="s">
        <v>19</v>
      </c>
      <c r="G17" s="10" t="s">
        <v>22</v>
      </c>
      <c r="H17" s="10" t="s">
        <v>25</v>
      </c>
      <c r="I17" s="10" t="s">
        <v>28</v>
      </c>
      <c r="J17" s="10" t="s">
        <v>30</v>
      </c>
      <c r="K17" s="10" t="s">
        <v>31</v>
      </c>
      <c r="L17" s="10" t="s">
        <v>32</v>
      </c>
    </row>
    <row r="18" spans="1:12" x14ac:dyDescent="0.3">
      <c r="D18" s="111"/>
      <c r="E18" s="111"/>
      <c r="F18" s="111"/>
      <c r="G18" s="111"/>
      <c r="H18" s="111"/>
      <c r="I18" s="111"/>
      <c r="J18" s="10" t="s">
        <v>34</v>
      </c>
      <c r="K18" s="10" t="s">
        <v>35</v>
      </c>
      <c r="L18" s="10" t="s">
        <v>36</v>
      </c>
    </row>
    <row r="19" spans="1:12" x14ac:dyDescent="0.3">
      <c r="A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x14ac:dyDescent="0.3">
      <c r="A20" s="111">
        <v>1</v>
      </c>
      <c r="B20" s="111" t="s">
        <v>121</v>
      </c>
      <c r="C20" s="111" t="s">
        <v>38</v>
      </c>
      <c r="D20" s="71">
        <f>D36</f>
        <v>0</v>
      </c>
      <c r="E20" s="11">
        <f>Input!$H$35+Input!$K$35+ROUND(Input!$C$35*IS!D20,2)+ROUND(Input!$N$35*IS!D20,2)+ROUND(Input!$J$35*IS!D20,2)</f>
        <v>3228.21</v>
      </c>
      <c r="F20" s="11">
        <f>Input!$Y$35+ROUND(Input!$T$35*IS!D20,2)+ROUND(Input!$N$35*IS!D20,2)</f>
        <v>3982.3</v>
      </c>
      <c r="G20" s="11">
        <f>F20-E20</f>
        <v>754.09000000000015</v>
      </c>
      <c r="H20" s="12">
        <f>ROUND(G20/E20,3)</f>
        <v>0.23400000000000001</v>
      </c>
      <c r="I20" s="11">
        <f>ROUND(D20*SUM(Input!$O$36:$R$36),2)</f>
        <v>0</v>
      </c>
      <c r="J20" s="11">
        <f>E20+I20</f>
        <v>3228.21</v>
      </c>
      <c r="K20" s="11">
        <f>F20+I20</f>
        <v>3982.3</v>
      </c>
      <c r="L20" s="12">
        <f>ROUND((K20-J20)/J20,3)</f>
        <v>0.23400000000000001</v>
      </c>
    </row>
    <row r="21" spans="1:12" x14ac:dyDescent="0.3">
      <c r="A21" s="111">
        <v>2</v>
      </c>
      <c r="B21" s="111" t="s">
        <v>123</v>
      </c>
      <c r="C21" s="111" t="s">
        <v>39</v>
      </c>
      <c r="D21" s="71">
        <v>100</v>
      </c>
      <c r="E21" s="11">
        <f>Input!$H$35+Input!$K$35+ROUND(Input!$C$35*IS!D21,2)+ROUND(Input!$N$35*IS!D21,2)+ROUND(Input!$J$35*IS!D21,2)</f>
        <v>3289.9</v>
      </c>
      <c r="F21" s="11">
        <f>Input!$Y$35+ROUND(Input!$T$35*IS!D21,2)+ROUND(Input!$N$35*IS!D21,2)</f>
        <v>4054.94</v>
      </c>
      <c r="G21" s="11">
        <f t="shared" ref="G21:G31" si="0">F21-E21</f>
        <v>765.04</v>
      </c>
      <c r="H21" s="12">
        <f t="shared" ref="H21:H34" si="1">ROUND(G21/E21,3)</f>
        <v>0.23300000000000001</v>
      </c>
      <c r="I21" s="11">
        <f>ROUND(D21*SUM(Input!$O$36:$R$36),2)</f>
        <v>441.28</v>
      </c>
      <c r="J21" s="11">
        <f t="shared" ref="J21:J31" si="2">E21+I21</f>
        <v>3731.1800000000003</v>
      </c>
      <c r="K21" s="11">
        <f t="shared" ref="K21:K31" si="3">F21+I21</f>
        <v>4496.22</v>
      </c>
      <c r="L21" s="12">
        <f t="shared" ref="L21:L34" si="4">ROUND((K21-J21)/J21,3)</f>
        <v>0.20499999999999999</v>
      </c>
    </row>
    <row r="22" spans="1:12" x14ac:dyDescent="0.3">
      <c r="A22" s="111">
        <v>3</v>
      </c>
      <c r="B22" s="111" t="s">
        <v>43</v>
      </c>
      <c r="D22" s="71">
        <v>300</v>
      </c>
      <c r="E22" s="11">
        <f>Input!$H$35+Input!$K$35+ROUND(Input!$C$35*IS!D22,2)+ROUND(Input!$N$35*IS!D22,2)+ROUND(Input!$J$35*IS!D22,2)</f>
        <v>3413.28</v>
      </c>
      <c r="F22" s="11">
        <f>Input!$Y$35+ROUND(Input!$T$35*IS!D22,2)+ROUND(Input!$N$35*IS!D22,2)</f>
        <v>4200.22</v>
      </c>
      <c r="G22" s="11">
        <f t="shared" si="0"/>
        <v>786.94</v>
      </c>
      <c r="H22" s="12">
        <f t="shared" si="1"/>
        <v>0.23100000000000001</v>
      </c>
      <c r="I22" s="11">
        <f>ROUND(D22*SUM(Input!$O$36:$R$36),2)</f>
        <v>1323.84</v>
      </c>
      <c r="J22" s="11">
        <f t="shared" si="2"/>
        <v>4737.12</v>
      </c>
      <c r="K22" s="11">
        <f t="shared" si="3"/>
        <v>5524.06</v>
      </c>
      <c r="L22" s="12">
        <f t="shared" si="4"/>
        <v>0.16600000000000001</v>
      </c>
    </row>
    <row r="23" spans="1:12" x14ac:dyDescent="0.3">
      <c r="A23" s="111">
        <v>4</v>
      </c>
      <c r="B23" s="111" t="s">
        <v>58</v>
      </c>
      <c r="D23" s="71">
        <v>500</v>
      </c>
      <c r="E23" s="11">
        <f>Input!$H$35+Input!$K$35+ROUND(Input!$C$35*IS!D23,2)+ROUND(Input!$N$35*IS!D23,2)+ROUND(Input!$J$35*IS!D23,2)</f>
        <v>3536.66</v>
      </c>
      <c r="F23" s="11">
        <f>Input!$Y$35+ROUND(Input!$T$35*IS!D23,2)+ROUND(Input!$N$35*IS!D23,2)</f>
        <v>4345.5</v>
      </c>
      <c r="G23" s="11">
        <f t="shared" si="0"/>
        <v>808.84000000000015</v>
      </c>
      <c r="H23" s="12">
        <f t="shared" si="1"/>
        <v>0.22900000000000001</v>
      </c>
      <c r="I23" s="11">
        <f>ROUND(D23*SUM(Input!$O$36:$R$36),2)</f>
        <v>2206.4</v>
      </c>
      <c r="J23" s="11">
        <f t="shared" si="2"/>
        <v>5743.0599999999995</v>
      </c>
      <c r="K23" s="11">
        <f t="shared" si="3"/>
        <v>6551.9</v>
      </c>
      <c r="L23" s="12">
        <f t="shared" si="4"/>
        <v>0.14099999999999999</v>
      </c>
    </row>
    <row r="24" spans="1:12" x14ac:dyDescent="0.3">
      <c r="A24" s="111">
        <v>5</v>
      </c>
      <c r="B24" s="111"/>
      <c r="D24" s="71">
        <v>700</v>
      </c>
      <c r="E24" s="11">
        <f>Input!$H$35+Input!$K$35+ROUND(Input!$C$35*IS!D24,2)+ROUND(Input!$N$35*IS!D24,2)+ROUND(Input!$J$35*IS!D24,2)</f>
        <v>3660.04</v>
      </c>
      <c r="F24" s="11">
        <f>Input!$Y$35+ROUND(Input!$T$35*IS!D24,2)+ROUND(Input!$N$35*IS!D24,2)</f>
        <v>4490.78</v>
      </c>
      <c r="G24" s="11">
        <f>F24-E24</f>
        <v>830.73999999999978</v>
      </c>
      <c r="H24" s="12">
        <f t="shared" si="1"/>
        <v>0.22700000000000001</v>
      </c>
      <c r="I24" s="11">
        <f>ROUND(D24*SUM(Input!$O$36:$R$36),2)</f>
        <v>3088.96</v>
      </c>
      <c r="J24" s="11">
        <f>E24+I24</f>
        <v>6749</v>
      </c>
      <c r="K24" s="11">
        <f>F24+I24</f>
        <v>7579.74</v>
      </c>
      <c r="L24" s="12">
        <f t="shared" si="4"/>
        <v>0.123</v>
      </c>
    </row>
    <row r="25" spans="1:12" x14ac:dyDescent="0.3">
      <c r="A25" s="111">
        <v>6</v>
      </c>
      <c r="D25" s="71">
        <v>900</v>
      </c>
      <c r="E25" s="11">
        <f>Input!$H$35+Input!$K$35+ROUND(Input!$C$35*IS!D25,2)+ROUND(Input!$N$35*IS!D25,2)+ROUND(Input!$J$35*IS!D25,2)</f>
        <v>3783.42</v>
      </c>
      <c r="F25" s="11">
        <f>Input!$Y$35+ROUND(Input!$T$35*IS!D25,2)+ROUND(Input!$N$35*IS!D25,2)</f>
        <v>4636.0600000000004</v>
      </c>
      <c r="G25" s="11">
        <f t="shared" si="0"/>
        <v>852.64000000000033</v>
      </c>
      <c r="H25" s="12">
        <f t="shared" si="1"/>
        <v>0.22500000000000001</v>
      </c>
      <c r="I25" s="11">
        <f>ROUND(D25*SUM(Input!$O$36:$R$36),2)</f>
        <v>3971.52</v>
      </c>
      <c r="J25" s="11">
        <f t="shared" si="2"/>
        <v>7754.9400000000005</v>
      </c>
      <c r="K25" s="11">
        <f t="shared" si="3"/>
        <v>8607.58</v>
      </c>
      <c r="L25" s="12">
        <f t="shared" si="4"/>
        <v>0.11</v>
      </c>
    </row>
    <row r="26" spans="1:12" x14ac:dyDescent="0.3">
      <c r="A26" s="111">
        <v>7</v>
      </c>
      <c r="B26" s="112"/>
      <c r="D26" s="71">
        <v>1100</v>
      </c>
      <c r="E26" s="11">
        <f>Input!$H$35+Input!$K$35+ROUND(Input!$C$35*IS!D26,2)+ROUND(Input!$N$35*IS!D26,2)+ROUND(Input!$J$35*IS!D26,2)</f>
        <v>3906.8</v>
      </c>
      <c r="F26" s="11">
        <f>Input!$Y$35+ROUND(Input!$T$35*IS!D26,2)+ROUND(Input!$N$35*IS!D26,2)</f>
        <v>4781.34</v>
      </c>
      <c r="G26" s="11">
        <f t="shared" si="0"/>
        <v>874.54</v>
      </c>
      <c r="H26" s="12">
        <f t="shared" si="1"/>
        <v>0.224</v>
      </c>
      <c r="I26" s="11">
        <f>ROUND(D26*SUM(Input!$O$36:$R$36),2)</f>
        <v>4854.08</v>
      </c>
      <c r="J26" s="11">
        <f t="shared" si="2"/>
        <v>8760.880000000001</v>
      </c>
      <c r="K26" s="11">
        <f t="shared" si="3"/>
        <v>9635.42</v>
      </c>
      <c r="L26" s="12">
        <f t="shared" si="4"/>
        <v>0.1</v>
      </c>
    </row>
    <row r="27" spans="1:12" x14ac:dyDescent="0.3">
      <c r="A27" s="111">
        <v>8</v>
      </c>
      <c r="D27" s="71">
        <v>1500</v>
      </c>
      <c r="E27" s="11">
        <f>Input!$H$35+Input!$K$35+ROUND(Input!$C$35*IS!D27,2)+ROUND(Input!$N$35*IS!D27,2)+ROUND(Input!$J$35*IS!D27,2)</f>
        <v>4153.5600000000004</v>
      </c>
      <c r="F27" s="11">
        <f>Input!$Y$35+ROUND(Input!$T$35*IS!D27,2)+ROUND(Input!$N$35*IS!D27,2)</f>
        <v>5071.9000000000005</v>
      </c>
      <c r="G27" s="11">
        <f t="shared" si="0"/>
        <v>918.34000000000015</v>
      </c>
      <c r="H27" s="12">
        <f t="shared" si="1"/>
        <v>0.221</v>
      </c>
      <c r="I27" s="11">
        <f>ROUND(D27*SUM(Input!$O$36:$R$36),2)</f>
        <v>6619.2</v>
      </c>
      <c r="J27" s="11">
        <f t="shared" si="2"/>
        <v>10772.76</v>
      </c>
      <c r="K27" s="11">
        <f t="shared" si="3"/>
        <v>11691.1</v>
      </c>
      <c r="L27" s="12">
        <f t="shared" si="4"/>
        <v>8.5000000000000006E-2</v>
      </c>
    </row>
    <row r="28" spans="1:12" x14ac:dyDescent="0.3">
      <c r="A28" s="111">
        <v>9</v>
      </c>
      <c r="D28" s="71">
        <v>2000</v>
      </c>
      <c r="E28" s="11">
        <f>Input!$H$35+Input!$K$35+ROUND(Input!$C$35*IS!D28,2)+ROUND(Input!$N$35*IS!D28,2)+ROUND(Input!$J$35*IS!D28,2)</f>
        <v>4462.01</v>
      </c>
      <c r="F28" s="11">
        <f>Input!$Y$35+ROUND(Input!$T$35*IS!D28,2)+ROUND(Input!$N$35*IS!D28,2)</f>
        <v>5435.1</v>
      </c>
      <c r="G28" s="11">
        <f t="shared" si="0"/>
        <v>973.09000000000015</v>
      </c>
      <c r="H28" s="12">
        <f t="shared" si="1"/>
        <v>0.218</v>
      </c>
      <c r="I28" s="11">
        <f>ROUND(D28*SUM(Input!$O$36:$R$36),2)</f>
        <v>8825.6</v>
      </c>
      <c r="J28" s="11">
        <f t="shared" si="2"/>
        <v>13287.61</v>
      </c>
      <c r="K28" s="11">
        <f t="shared" si="3"/>
        <v>14260.7</v>
      </c>
      <c r="L28" s="12">
        <f t="shared" si="4"/>
        <v>7.2999999999999995E-2</v>
      </c>
    </row>
    <row r="29" spans="1:12" x14ac:dyDescent="0.3">
      <c r="A29" s="111">
        <v>10</v>
      </c>
      <c r="D29" s="71">
        <v>3000</v>
      </c>
      <c r="E29" s="11">
        <f>Input!$H$35+Input!$K$35+ROUND(Input!$C$35*IS!D29,2)+ROUND(Input!$N$35*IS!D29,2)+ROUND(Input!$J$35*IS!D29,2)</f>
        <v>5078.91</v>
      </c>
      <c r="F29" s="11">
        <f>Input!$Y$35+ROUND(Input!$T$35*IS!D29,2)+ROUND(Input!$N$35*IS!D29,2)</f>
        <v>6161.5</v>
      </c>
      <c r="G29" s="11">
        <f t="shared" si="0"/>
        <v>1082.5900000000001</v>
      </c>
      <c r="H29" s="12">
        <f t="shared" si="1"/>
        <v>0.21299999999999999</v>
      </c>
      <c r="I29" s="11">
        <f>ROUND(D29*SUM(Input!$O$36:$R$36),2)</f>
        <v>13238.4</v>
      </c>
      <c r="J29" s="11">
        <f t="shared" si="2"/>
        <v>18317.309999999998</v>
      </c>
      <c r="K29" s="11">
        <f t="shared" si="3"/>
        <v>19399.900000000001</v>
      </c>
      <c r="L29" s="12">
        <f t="shared" si="4"/>
        <v>5.8999999999999997E-2</v>
      </c>
    </row>
    <row r="30" spans="1:12" x14ac:dyDescent="0.3">
      <c r="A30" s="111">
        <v>11</v>
      </c>
      <c r="D30" s="71">
        <v>3500</v>
      </c>
      <c r="E30" s="11">
        <f>Input!$H$35+Input!$K$35+ROUND(Input!$C$35*IS!D30,2)+ROUND(Input!$N$35*IS!D30,2)+ROUND(Input!$J$35*IS!D30,2)</f>
        <v>5387.36</v>
      </c>
      <c r="F30" s="11">
        <f>Input!$Y$35+ROUND(Input!$T$35*IS!D30,2)+ROUND(Input!$N$35*IS!D30,2)</f>
        <v>6524.7</v>
      </c>
      <c r="G30" s="11">
        <f t="shared" si="0"/>
        <v>1137.3400000000001</v>
      </c>
      <c r="H30" s="12">
        <f t="shared" si="1"/>
        <v>0.21099999999999999</v>
      </c>
      <c r="I30" s="11">
        <f>ROUND(D30*SUM(Input!$O$36:$R$36),2)</f>
        <v>15444.8</v>
      </c>
      <c r="J30" s="11">
        <f t="shared" si="2"/>
        <v>20832.16</v>
      </c>
      <c r="K30" s="11">
        <f t="shared" si="3"/>
        <v>21969.5</v>
      </c>
      <c r="L30" s="12">
        <f t="shared" si="4"/>
        <v>5.5E-2</v>
      </c>
    </row>
    <row r="31" spans="1:12" x14ac:dyDescent="0.3">
      <c r="A31" s="111">
        <v>12</v>
      </c>
      <c r="D31" s="71">
        <v>4000</v>
      </c>
      <c r="E31" s="11">
        <f>Input!$H$35+Input!$K$35+ROUND(Input!$C$35*IS!D31,2)+ROUND(Input!$N$35*IS!D31,2)+ROUND(Input!$J$35*IS!D31,2)</f>
        <v>5695.81</v>
      </c>
      <c r="F31" s="11">
        <f>Input!$Y$35+ROUND(Input!$T$35*IS!D31,2)+ROUND(Input!$N$35*IS!D31,2)</f>
        <v>6887.9000000000005</v>
      </c>
      <c r="G31" s="11">
        <f t="shared" si="0"/>
        <v>1192.0900000000001</v>
      </c>
      <c r="H31" s="12">
        <f t="shared" si="1"/>
        <v>0.20899999999999999</v>
      </c>
      <c r="I31" s="11">
        <f>ROUND(D31*SUM(Input!$O$36:$R$36),2)</f>
        <v>17651.2</v>
      </c>
      <c r="J31" s="11">
        <f t="shared" si="2"/>
        <v>23347.010000000002</v>
      </c>
      <c r="K31" s="11">
        <f t="shared" si="3"/>
        <v>24539.100000000002</v>
      </c>
      <c r="L31" s="12">
        <f t="shared" si="4"/>
        <v>5.0999999999999997E-2</v>
      </c>
    </row>
    <row r="32" spans="1:12" x14ac:dyDescent="0.3">
      <c r="A32" s="111">
        <v>13</v>
      </c>
      <c r="D32" s="71">
        <v>5000</v>
      </c>
      <c r="E32" s="11">
        <f>Input!$H$35+Input!$K$35+ROUND(Input!$C$35*IS!D32,2)+ROUND(Input!$N$35*IS!D32,2)+ROUND(Input!$J$35*IS!D32,2)</f>
        <v>6312.71</v>
      </c>
      <c r="F32" s="11">
        <f>Input!$Y$35+ROUND(Input!$T$35*IS!D32,2)+ROUND(Input!$N$35*IS!D32,2)</f>
        <v>7614.3</v>
      </c>
      <c r="G32" s="11">
        <f>F32-E32</f>
        <v>1301.5900000000001</v>
      </c>
      <c r="H32" s="12">
        <f t="shared" si="1"/>
        <v>0.20599999999999999</v>
      </c>
      <c r="I32" s="11">
        <f>ROUND(D32*SUM(Input!$O$36:$R$36),2)</f>
        <v>22064</v>
      </c>
      <c r="J32" s="11">
        <f>E32+I32</f>
        <v>28376.71</v>
      </c>
      <c r="K32" s="11">
        <f>F32+I32</f>
        <v>29678.3</v>
      </c>
      <c r="L32" s="12">
        <f t="shared" si="4"/>
        <v>4.5999999999999999E-2</v>
      </c>
    </row>
    <row r="33" spans="1:12" x14ac:dyDescent="0.3">
      <c r="A33" s="111">
        <v>14</v>
      </c>
      <c r="D33" s="71">
        <v>6000</v>
      </c>
      <c r="E33" s="11">
        <f>Input!$H$35+Input!$K$35+ROUND(Input!$C$35*IS!D33,2)+ROUND(Input!$N$35*IS!D33,2)+ROUND(Input!$J$35*IS!D33,2)</f>
        <v>6929.61</v>
      </c>
      <c r="F33" s="11">
        <f>Input!$Y$35+ROUND(Input!$T$35*IS!D33,2)+ROUND(Input!$N$35*IS!D33,2)</f>
        <v>8340.6999999999989</v>
      </c>
      <c r="G33" s="11">
        <f>F33-E33</f>
        <v>1411.0899999999992</v>
      </c>
      <c r="H33" s="12">
        <f t="shared" si="1"/>
        <v>0.20399999999999999</v>
      </c>
      <c r="I33" s="11">
        <f>ROUND(D33*SUM(Input!$O$36:$R$36),2)</f>
        <v>26476.799999999999</v>
      </c>
      <c r="J33" s="11">
        <f>E33+I33</f>
        <v>33406.409999999996</v>
      </c>
      <c r="K33" s="11">
        <f>F33+I33</f>
        <v>34817.5</v>
      </c>
      <c r="L33" s="12">
        <f t="shared" si="4"/>
        <v>4.2000000000000003E-2</v>
      </c>
    </row>
    <row r="34" spans="1:12" x14ac:dyDescent="0.3">
      <c r="A34" s="111">
        <v>15</v>
      </c>
      <c r="D34" s="71">
        <v>7000</v>
      </c>
      <c r="E34" s="11">
        <f>Input!$H$35+Input!$K$35+ROUND(Input!$C$35*IS!D34,2)+ROUND(Input!$N$35*IS!D34,2)+ROUND(Input!$J$35*IS!D34,2)</f>
        <v>7546.51</v>
      </c>
      <c r="F34" s="11">
        <f>Input!$Y$35+ROUND(Input!$T$35*IS!D34,2)+ROUND(Input!$N$35*IS!D34,2)</f>
        <v>9067.0999999999985</v>
      </c>
      <c r="G34" s="11">
        <f>F34-E34</f>
        <v>1520.5899999999983</v>
      </c>
      <c r="H34" s="12">
        <f t="shared" si="1"/>
        <v>0.20100000000000001</v>
      </c>
      <c r="I34" s="11">
        <f>ROUND(D34*SUM(Input!$O$36:$R$36),2)</f>
        <v>30889.599999999999</v>
      </c>
      <c r="J34" s="11">
        <f>E34+I34</f>
        <v>38436.11</v>
      </c>
      <c r="K34" s="11">
        <f>F34+I34</f>
        <v>39956.699999999997</v>
      </c>
      <c r="L34" s="12">
        <f t="shared" si="4"/>
        <v>0.04</v>
      </c>
    </row>
    <row r="36" spans="1:12" x14ac:dyDescent="0.3">
      <c r="A36" s="14"/>
      <c r="B36" s="3" t="s">
        <v>102</v>
      </c>
      <c r="D36" s="70">
        <f>Input!AE35</f>
        <v>0</v>
      </c>
    </row>
    <row r="37" spans="1:12" x14ac:dyDescent="0.3">
      <c r="C37" s="3" t="s">
        <v>154</v>
      </c>
    </row>
  </sheetData>
  <mergeCells count="5">
    <mergeCell ref="A1:L1"/>
    <mergeCell ref="A2:L2"/>
    <mergeCell ref="A3:L3"/>
    <mergeCell ref="A4:L4"/>
    <mergeCell ref="A5:L5"/>
  </mergeCells>
  <printOptions horizontalCentered="1"/>
  <pageMargins left="0.75" right="0.75" top="1" bottom="0.75" header="0.5" footer="0.5"/>
  <pageSetup scale="96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L36"/>
  <sheetViews>
    <sheetView topLeftCell="A7" zoomScaleNormal="100" workbookViewId="0">
      <selection activeCell="A9" sqref="A9"/>
    </sheetView>
  </sheetViews>
  <sheetFormatPr defaultColWidth="9.08203125" defaultRowHeight="13" x14ac:dyDescent="0.3"/>
  <cols>
    <col min="1" max="1" width="9.08203125" style="3"/>
    <col min="2" max="2" width="9.6640625" style="3" customWidth="1"/>
    <col min="3" max="3" width="9.58203125" style="3" customWidth="1"/>
    <col min="4" max="8" width="9.08203125" style="3"/>
    <col min="9" max="10" width="9.9140625" style="3" bestFit="1" customWidth="1"/>
    <col min="11" max="12" width="10.33203125" style="3" customWidth="1"/>
    <col min="13" max="16384" width="9.08203125" style="3"/>
  </cols>
  <sheetData>
    <row r="1" spans="1:12" x14ac:dyDescent="0.3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x14ac:dyDescent="0.3">
      <c r="A2" s="118" t="str">
        <f>Input!$B$13</f>
        <v>CASE NO. 2021-00183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x14ac:dyDescent="0.3">
      <c r="A3" s="118" t="s">
        <v>40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x14ac:dyDescent="0.3">
      <c r="A4" s="118" t="s">
        <v>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x14ac:dyDescent="0.3">
      <c r="A5" s="118" t="str">
        <f>Input!B17</f>
        <v>TWELVE MONTHS ENDING DECEMBER 31, 2022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x14ac:dyDescent="0.3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x14ac:dyDescent="0.3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2"/>
      <c r="L7" s="112"/>
    </row>
    <row r="8" spans="1:12" x14ac:dyDescent="0.3">
      <c r="A8" s="3" t="s">
        <v>113</v>
      </c>
      <c r="L8" s="13" t="s">
        <v>3</v>
      </c>
    </row>
    <row r="9" spans="1:12" x14ac:dyDescent="0.3">
      <c r="A9" s="1" t="s">
        <v>158</v>
      </c>
      <c r="L9" s="13" t="s">
        <v>137</v>
      </c>
    </row>
    <row r="10" spans="1:12" x14ac:dyDescent="0.3">
      <c r="A10" s="23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 t="str">
        <f>Input!B15</f>
        <v>Witness: JUDITH L. SIEGLER</v>
      </c>
    </row>
    <row r="13" spans="1:12" x14ac:dyDescent="0.3">
      <c r="D13" s="111"/>
      <c r="E13" s="111"/>
      <c r="F13" s="111"/>
      <c r="G13" s="111"/>
      <c r="H13" s="111"/>
      <c r="I13" s="111"/>
      <c r="J13" s="111" t="s">
        <v>29</v>
      </c>
      <c r="K13" s="111" t="s">
        <v>29</v>
      </c>
      <c r="L13" s="111"/>
    </row>
    <row r="14" spans="1:12" x14ac:dyDescent="0.3">
      <c r="A14" s="111" t="s">
        <v>4</v>
      </c>
      <c r="B14" s="111" t="s">
        <v>6</v>
      </c>
      <c r="C14" s="111" t="s">
        <v>8</v>
      </c>
      <c r="D14" s="111" t="s">
        <v>8</v>
      </c>
      <c r="E14" s="111" t="s">
        <v>14</v>
      </c>
      <c r="F14" s="111" t="s">
        <v>18</v>
      </c>
      <c r="G14" s="111" t="s">
        <v>20</v>
      </c>
      <c r="H14" s="111" t="s">
        <v>20</v>
      </c>
      <c r="I14" s="111" t="s">
        <v>26</v>
      </c>
      <c r="J14" s="111" t="s">
        <v>14</v>
      </c>
      <c r="K14" s="111" t="s">
        <v>18</v>
      </c>
      <c r="L14" s="111" t="s">
        <v>33</v>
      </c>
    </row>
    <row r="15" spans="1:12" x14ac:dyDescent="0.3">
      <c r="A15" s="72" t="s">
        <v>5</v>
      </c>
      <c r="B15" s="72" t="s">
        <v>7</v>
      </c>
      <c r="C15" s="72" t="s">
        <v>9</v>
      </c>
      <c r="D15" s="72" t="s">
        <v>10</v>
      </c>
      <c r="E15" s="72" t="s">
        <v>15</v>
      </c>
      <c r="F15" s="72" t="s">
        <v>15</v>
      </c>
      <c r="G15" s="73" t="s">
        <v>21</v>
      </c>
      <c r="H15" s="73" t="s">
        <v>23</v>
      </c>
      <c r="I15" s="72" t="s">
        <v>27</v>
      </c>
      <c r="J15" s="72" t="s">
        <v>15</v>
      </c>
      <c r="K15" s="72" t="s">
        <v>15</v>
      </c>
      <c r="L15" s="72" t="s">
        <v>20</v>
      </c>
    </row>
    <row r="16" spans="1:12" x14ac:dyDescent="0.3">
      <c r="D16" s="10" t="s">
        <v>12</v>
      </c>
      <c r="E16" s="10" t="s">
        <v>16</v>
      </c>
      <c r="F16" s="10" t="s">
        <v>16</v>
      </c>
      <c r="G16" s="10" t="s">
        <v>16</v>
      </c>
      <c r="H16" s="10" t="s">
        <v>24</v>
      </c>
      <c r="I16" s="10" t="s">
        <v>16</v>
      </c>
      <c r="J16" s="10" t="s">
        <v>16</v>
      </c>
      <c r="K16" s="10" t="s">
        <v>16</v>
      </c>
      <c r="L16" s="10" t="s">
        <v>24</v>
      </c>
    </row>
    <row r="17" spans="1:12" x14ac:dyDescent="0.3">
      <c r="C17" s="10" t="s">
        <v>11</v>
      </c>
      <c r="D17" s="10" t="s">
        <v>13</v>
      </c>
      <c r="E17" s="10" t="s">
        <v>17</v>
      </c>
      <c r="F17" s="10" t="s">
        <v>19</v>
      </c>
      <c r="G17" s="10" t="s">
        <v>22</v>
      </c>
      <c r="H17" s="10" t="s">
        <v>25</v>
      </c>
      <c r="I17" s="10" t="s">
        <v>28</v>
      </c>
      <c r="J17" s="10" t="s">
        <v>30</v>
      </c>
      <c r="K17" s="10" t="s">
        <v>31</v>
      </c>
      <c r="L17" s="10" t="s">
        <v>32</v>
      </c>
    </row>
    <row r="18" spans="1:12" x14ac:dyDescent="0.3">
      <c r="D18" s="111"/>
      <c r="E18" s="111"/>
      <c r="F18" s="111"/>
      <c r="G18" s="111"/>
      <c r="H18" s="111"/>
      <c r="I18" s="111"/>
      <c r="J18" s="10" t="s">
        <v>34</v>
      </c>
      <c r="K18" s="10" t="s">
        <v>35</v>
      </c>
      <c r="L18" s="10" t="s">
        <v>36</v>
      </c>
    </row>
    <row r="19" spans="1:12" x14ac:dyDescent="0.3">
      <c r="A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x14ac:dyDescent="0.3">
      <c r="A20" s="111">
        <v>1</v>
      </c>
      <c r="B20" s="111" t="s">
        <v>53</v>
      </c>
      <c r="C20" s="111" t="s">
        <v>38</v>
      </c>
      <c r="D20" s="71">
        <v>250</v>
      </c>
      <c r="E20" s="11">
        <f>Input!$H$36+Input!$K$36+ROUND(Input!$C$36*IUS!D20,2)+ROUND(Input!$N$36*IUS!D20,2)+ROUND(Input!$J$36*IUS!D20,2)</f>
        <v>1038.4000000000001</v>
      </c>
      <c r="F20" s="11">
        <f>Input!$Y$36+ROUND(Input!$T$36*IUS!D20,2)+ROUND(Input!$N$36*IUS!D20,2)</f>
        <v>1248.4899999999998</v>
      </c>
      <c r="G20" s="11">
        <f>F20-E20</f>
        <v>210.08999999999969</v>
      </c>
      <c r="H20" s="12">
        <f>ROUND(G20/E20,3)</f>
        <v>0.20200000000000001</v>
      </c>
      <c r="I20" s="11">
        <f>ROUND(D20*SUM(Input!$O$36:$R$36),2)</f>
        <v>1103.2</v>
      </c>
      <c r="J20" s="11">
        <f>E20+I20</f>
        <v>2141.6000000000004</v>
      </c>
      <c r="K20" s="11">
        <f>F20+I20</f>
        <v>2351.6899999999996</v>
      </c>
      <c r="L20" s="12">
        <f>ROUND((K20-J20)/J20,3)</f>
        <v>9.8000000000000004E-2</v>
      </c>
    </row>
    <row r="21" spans="1:12" x14ac:dyDescent="0.3">
      <c r="A21" s="111">
        <v>2</v>
      </c>
      <c r="B21" s="111" t="s">
        <v>59</v>
      </c>
      <c r="C21" s="111" t="s">
        <v>39</v>
      </c>
      <c r="D21" s="71">
        <f>D36</f>
        <v>468.8</v>
      </c>
      <c r="E21" s="11">
        <f>Input!$H$36+Input!$K$36+ROUND(Input!$C$36*IUS!D21,2)+ROUND(Input!$N$36*IUS!D21,2)+ROUND(Input!$J$36*IUS!D21,2)</f>
        <v>1268.75</v>
      </c>
      <c r="F21" s="11">
        <f>Input!$Y$36+ROUND(Input!$T$36*IUS!D21,2)+ROUND(Input!$N$36*IUS!D21,2)</f>
        <v>1513.8899999999999</v>
      </c>
      <c r="G21" s="11">
        <f t="shared" ref="G21:G31" si="0">F21-E21</f>
        <v>245.13999999999987</v>
      </c>
      <c r="H21" s="12">
        <f t="shared" ref="H21:H34" si="1">ROUND(G21/E21,3)</f>
        <v>0.193</v>
      </c>
      <c r="I21" s="11">
        <f>ROUND(D21*SUM(Input!$O$36:$R$36),2)</f>
        <v>2068.7199999999998</v>
      </c>
      <c r="J21" s="11">
        <f t="shared" ref="J21:J31" si="2">E21+I21</f>
        <v>3337.47</v>
      </c>
      <c r="K21" s="11">
        <f t="shared" ref="K21:K31" si="3">F21+I21</f>
        <v>3582.6099999999997</v>
      </c>
      <c r="L21" s="12">
        <f t="shared" ref="L21:L34" si="4">ROUND((K21-J21)/J21,3)</f>
        <v>7.2999999999999995E-2</v>
      </c>
    </row>
    <row r="22" spans="1:12" x14ac:dyDescent="0.3">
      <c r="A22" s="111">
        <v>3</v>
      </c>
      <c r="B22" s="111" t="s">
        <v>60</v>
      </c>
      <c r="D22" s="71">
        <v>500</v>
      </c>
      <c r="E22" s="11">
        <f>Input!$H$36+Input!$K$36+ROUND(Input!$C$36*IUS!D22,2)+ROUND(Input!$N$36*IUS!D22,2)+ROUND(Input!$J$36*IUS!D22,2)</f>
        <v>1301.6000000000001</v>
      </c>
      <c r="F22" s="11">
        <f>Input!$Y$36+ROUND(Input!$T$36*IUS!D22,2)+ROUND(Input!$N$36*IUS!D22,2)</f>
        <v>1551.74</v>
      </c>
      <c r="G22" s="11">
        <f t="shared" si="0"/>
        <v>250.13999999999987</v>
      </c>
      <c r="H22" s="12">
        <f t="shared" si="1"/>
        <v>0.192</v>
      </c>
      <c r="I22" s="11">
        <f>ROUND(D22*SUM(Input!$O$36:$R$36),2)</f>
        <v>2206.4</v>
      </c>
      <c r="J22" s="11">
        <f t="shared" si="2"/>
        <v>3508</v>
      </c>
      <c r="K22" s="11">
        <f t="shared" si="3"/>
        <v>3758.1400000000003</v>
      </c>
      <c r="L22" s="12">
        <f t="shared" si="4"/>
        <v>7.0999999999999994E-2</v>
      </c>
    </row>
    <row r="23" spans="1:12" x14ac:dyDescent="0.3">
      <c r="A23" s="111">
        <v>4</v>
      </c>
      <c r="B23" s="111" t="s">
        <v>43</v>
      </c>
      <c r="D23" s="71">
        <v>600</v>
      </c>
      <c r="E23" s="11">
        <f>Input!$H$36+Input!$K$36+ROUND(Input!$C$36*IUS!D23,2)+ROUND(Input!$N$36*IUS!D23,2)+ROUND(Input!$J$36*IUS!D23,2)</f>
        <v>1406.8800000000003</v>
      </c>
      <c r="F23" s="11">
        <f>Input!$Y$36+ROUND(Input!$T$36*IUS!D23,2)+ROUND(Input!$N$36*IUS!D23,2)</f>
        <v>1673.0400000000002</v>
      </c>
      <c r="G23" s="11">
        <f t="shared" si="0"/>
        <v>266.15999999999985</v>
      </c>
      <c r="H23" s="12">
        <f t="shared" si="1"/>
        <v>0.189</v>
      </c>
      <c r="I23" s="11">
        <f>ROUND(D23*SUM(Input!$O$36:$R$36),2)</f>
        <v>2647.68</v>
      </c>
      <c r="J23" s="11">
        <f t="shared" si="2"/>
        <v>4054.5600000000004</v>
      </c>
      <c r="K23" s="11">
        <f t="shared" si="3"/>
        <v>4320.72</v>
      </c>
      <c r="L23" s="12">
        <f t="shared" si="4"/>
        <v>6.6000000000000003E-2</v>
      </c>
    </row>
    <row r="24" spans="1:12" x14ac:dyDescent="0.3">
      <c r="A24" s="111">
        <v>5</v>
      </c>
      <c r="B24" s="111" t="s">
        <v>61</v>
      </c>
      <c r="D24" s="71">
        <v>650</v>
      </c>
      <c r="E24" s="11">
        <f>Input!$H$36+Input!$K$36+ROUND(Input!$C$36*IUS!D24,2)+ROUND(Input!$N$36*IUS!D24,2)+ROUND(Input!$J$36*IUS!D24,2)</f>
        <v>1459.5199999999998</v>
      </c>
      <c r="F24" s="11">
        <f>Input!$Y$36+ROUND(Input!$T$36*IUS!D24,2)+ROUND(Input!$N$36*IUS!D24,2)</f>
        <v>1733.6899999999998</v>
      </c>
      <c r="G24" s="11">
        <f>F24-E24</f>
        <v>274.17000000000007</v>
      </c>
      <c r="H24" s="12">
        <f t="shared" si="1"/>
        <v>0.188</v>
      </c>
      <c r="I24" s="11">
        <f>ROUND(D24*SUM(Input!$O$36:$R$36),2)</f>
        <v>2868.32</v>
      </c>
      <c r="J24" s="11">
        <f>E24+I24</f>
        <v>4327.84</v>
      </c>
      <c r="K24" s="11">
        <f>F24+I24</f>
        <v>4602.01</v>
      </c>
      <c r="L24" s="12">
        <f t="shared" si="4"/>
        <v>6.3E-2</v>
      </c>
    </row>
    <row r="25" spans="1:12" x14ac:dyDescent="0.3">
      <c r="A25" s="111">
        <v>6</v>
      </c>
      <c r="D25" s="71">
        <v>700</v>
      </c>
      <c r="E25" s="11">
        <f>Input!$H$36+Input!$K$36+ROUND(Input!$C$36*IUS!D25,2)+ROUND(Input!$N$36*IUS!D25,2)+ROUND(Input!$J$36*IUS!D25,2)</f>
        <v>1512.16</v>
      </c>
      <c r="F25" s="11">
        <f>Input!$Y$36+ROUND(Input!$T$36*IUS!D25,2)+ROUND(Input!$N$36*IUS!D25,2)</f>
        <v>1794.34</v>
      </c>
      <c r="G25" s="11">
        <f t="shared" si="0"/>
        <v>282.17999999999984</v>
      </c>
      <c r="H25" s="12">
        <f t="shared" si="1"/>
        <v>0.187</v>
      </c>
      <c r="I25" s="11">
        <f>ROUND(D25*SUM(Input!$O$36:$R$36),2)</f>
        <v>3088.96</v>
      </c>
      <c r="J25" s="11">
        <f t="shared" si="2"/>
        <v>4601.12</v>
      </c>
      <c r="K25" s="11">
        <f t="shared" si="3"/>
        <v>4883.3</v>
      </c>
      <c r="L25" s="12">
        <f t="shared" si="4"/>
        <v>6.0999999999999999E-2</v>
      </c>
    </row>
    <row r="26" spans="1:12" x14ac:dyDescent="0.3">
      <c r="A26" s="111">
        <v>7</v>
      </c>
      <c r="B26" s="112"/>
      <c r="D26" s="71">
        <v>750</v>
      </c>
      <c r="E26" s="11">
        <f>Input!$H$36+Input!$K$36+ROUND(Input!$C$36*IUS!D26,2)+ROUND(Input!$N$36*IUS!D26,2)+ROUND(Input!$J$36*IUS!D26,2)</f>
        <v>1564.8</v>
      </c>
      <c r="F26" s="11">
        <f>Input!$Y$36+ROUND(Input!$T$36*IUS!D26,2)+ROUND(Input!$N$36*IUS!D26,2)</f>
        <v>1854.99</v>
      </c>
      <c r="G26" s="11">
        <f t="shared" si="0"/>
        <v>290.19000000000005</v>
      </c>
      <c r="H26" s="12">
        <f t="shared" si="1"/>
        <v>0.185</v>
      </c>
      <c r="I26" s="11">
        <f>ROUND(D26*SUM(Input!$O$36:$R$36),2)</f>
        <v>3309.6</v>
      </c>
      <c r="J26" s="11">
        <f t="shared" si="2"/>
        <v>4874.3999999999996</v>
      </c>
      <c r="K26" s="11">
        <f t="shared" si="3"/>
        <v>5164.59</v>
      </c>
      <c r="L26" s="12">
        <f t="shared" si="4"/>
        <v>0.06</v>
      </c>
    </row>
    <row r="27" spans="1:12" x14ac:dyDescent="0.3">
      <c r="A27" s="111">
        <v>8</v>
      </c>
      <c r="D27" s="71">
        <v>800</v>
      </c>
      <c r="E27" s="11">
        <f>Input!$H$36+Input!$K$36+ROUND(Input!$C$36*IUS!D27,2)+ROUND(Input!$N$36*IUS!D27,2)+ROUND(Input!$J$36*IUS!D27,2)</f>
        <v>1617.44</v>
      </c>
      <c r="F27" s="11">
        <f>Input!$Y$36+ROUND(Input!$T$36*IUS!D27,2)+ROUND(Input!$N$36*IUS!D27,2)</f>
        <v>1915.6399999999999</v>
      </c>
      <c r="G27" s="11">
        <f t="shared" si="0"/>
        <v>298.19999999999982</v>
      </c>
      <c r="H27" s="12">
        <f t="shared" si="1"/>
        <v>0.184</v>
      </c>
      <c r="I27" s="11">
        <f>ROUND(D27*SUM(Input!$O$36:$R$36),2)</f>
        <v>3530.24</v>
      </c>
      <c r="J27" s="11">
        <f t="shared" si="2"/>
        <v>5147.68</v>
      </c>
      <c r="K27" s="11">
        <f t="shared" si="3"/>
        <v>5445.8799999999992</v>
      </c>
      <c r="L27" s="12">
        <f t="shared" si="4"/>
        <v>5.8000000000000003E-2</v>
      </c>
    </row>
    <row r="28" spans="1:12" x14ac:dyDescent="0.3">
      <c r="A28" s="111">
        <v>9</v>
      </c>
      <c r="D28" s="71">
        <v>900</v>
      </c>
      <c r="E28" s="11">
        <f>Input!$H$36+Input!$K$36+ROUND(Input!$C$36*IUS!D28,2)+ROUND(Input!$N$36*IUS!D28,2)+ROUND(Input!$J$36*IUS!D28,2)</f>
        <v>1722.72</v>
      </c>
      <c r="F28" s="11">
        <f>Input!$Y$36+ROUND(Input!$T$36*IUS!D28,2)+ROUND(Input!$N$36*IUS!D28,2)</f>
        <v>2036.94</v>
      </c>
      <c r="G28" s="11">
        <f t="shared" si="0"/>
        <v>314.22000000000003</v>
      </c>
      <c r="H28" s="12">
        <f t="shared" si="1"/>
        <v>0.182</v>
      </c>
      <c r="I28" s="11">
        <f>ROUND(D28*SUM(Input!$O$36:$R$36),2)</f>
        <v>3971.52</v>
      </c>
      <c r="J28" s="11">
        <f t="shared" si="2"/>
        <v>5694.24</v>
      </c>
      <c r="K28" s="11">
        <f t="shared" si="3"/>
        <v>6008.46</v>
      </c>
      <c r="L28" s="12">
        <f t="shared" si="4"/>
        <v>5.5E-2</v>
      </c>
    </row>
    <row r="29" spans="1:12" x14ac:dyDescent="0.3">
      <c r="A29" s="111">
        <v>10</v>
      </c>
      <c r="D29" s="71">
        <v>1000</v>
      </c>
      <c r="E29" s="11">
        <f>Input!$H$36+Input!$K$36+ROUND(Input!$C$36*IUS!D29,2)+ROUND(Input!$N$36*IUS!D29,2)+ROUND(Input!$J$36*IUS!D29,2)</f>
        <v>1828.0000000000002</v>
      </c>
      <c r="F29" s="11">
        <f>Input!$Y$36+ROUND(Input!$T$36*IUS!D29,2)+ROUND(Input!$N$36*IUS!D29,2)</f>
        <v>2158.2400000000002</v>
      </c>
      <c r="G29" s="11">
        <f t="shared" si="0"/>
        <v>330.24</v>
      </c>
      <c r="H29" s="12">
        <f t="shared" si="1"/>
        <v>0.18099999999999999</v>
      </c>
      <c r="I29" s="11">
        <f>ROUND(D29*SUM(Input!$O$36:$R$36),2)</f>
        <v>4412.8</v>
      </c>
      <c r="J29" s="11">
        <f t="shared" si="2"/>
        <v>6240.8</v>
      </c>
      <c r="K29" s="11">
        <f t="shared" si="3"/>
        <v>6571.0400000000009</v>
      </c>
      <c r="L29" s="12">
        <f t="shared" si="4"/>
        <v>5.2999999999999999E-2</v>
      </c>
    </row>
    <row r="30" spans="1:12" x14ac:dyDescent="0.3">
      <c r="A30" s="111">
        <v>11</v>
      </c>
      <c r="D30" s="71">
        <v>2000</v>
      </c>
      <c r="E30" s="11">
        <f>Input!$H$36+Input!$K$36+ROUND(Input!$C$36*IUS!D30,2)+ROUND(Input!$N$36*IUS!D30,2)+ROUND(Input!$J$36*IUS!D30,2)</f>
        <v>2880.8</v>
      </c>
      <c r="F30" s="11">
        <f>Input!$Y$36+ROUND(Input!$T$36*IUS!D30,2)+ROUND(Input!$N$36*IUS!D30,2)</f>
        <v>3371.24</v>
      </c>
      <c r="G30" s="11">
        <f t="shared" si="0"/>
        <v>490.4399999999996</v>
      </c>
      <c r="H30" s="12">
        <f t="shared" si="1"/>
        <v>0.17</v>
      </c>
      <c r="I30" s="11">
        <f>ROUND(D30*SUM(Input!$O$36:$R$36),2)</f>
        <v>8825.6</v>
      </c>
      <c r="J30" s="11">
        <f t="shared" si="2"/>
        <v>11706.400000000001</v>
      </c>
      <c r="K30" s="11">
        <f t="shared" si="3"/>
        <v>12196.84</v>
      </c>
      <c r="L30" s="12">
        <f t="shared" si="4"/>
        <v>4.2000000000000003E-2</v>
      </c>
    </row>
    <row r="31" spans="1:12" x14ac:dyDescent="0.3">
      <c r="A31" s="111">
        <v>12</v>
      </c>
      <c r="D31" s="71">
        <v>3000</v>
      </c>
      <c r="E31" s="11">
        <f>Input!$H$36+Input!$K$36+ROUND(Input!$C$36*IUS!D31,2)+ROUND(Input!$N$36*IUS!D31,2)+ROUND(Input!$J$36*IUS!D31,2)</f>
        <v>3933.5999999999995</v>
      </c>
      <c r="F31" s="11">
        <f>Input!$Y$36+ROUND(Input!$T$36*IUS!D31,2)+ROUND(Input!$N$36*IUS!D31,2)</f>
        <v>4584.24</v>
      </c>
      <c r="G31" s="11">
        <f t="shared" si="0"/>
        <v>650.64000000000033</v>
      </c>
      <c r="H31" s="12">
        <f t="shared" si="1"/>
        <v>0.16500000000000001</v>
      </c>
      <c r="I31" s="11">
        <f>ROUND(D31*SUM(Input!$O$36:$R$36),2)</f>
        <v>13238.4</v>
      </c>
      <c r="J31" s="11">
        <f t="shared" si="2"/>
        <v>17172</v>
      </c>
      <c r="K31" s="11">
        <f t="shared" si="3"/>
        <v>17822.64</v>
      </c>
      <c r="L31" s="12">
        <f t="shared" si="4"/>
        <v>3.7999999999999999E-2</v>
      </c>
    </row>
    <row r="32" spans="1:12" x14ac:dyDescent="0.3">
      <c r="A32" s="111">
        <v>13</v>
      </c>
      <c r="D32" s="71">
        <v>4000</v>
      </c>
      <c r="E32" s="11">
        <f>Input!$H$36+Input!$K$36+ROUND(Input!$C$36*IUS!D32,2)+ROUND(Input!$N$36*IUS!D32,2)+ROUND(Input!$J$36*IUS!D32,2)</f>
        <v>4986.4000000000005</v>
      </c>
      <c r="F32" s="11">
        <f>Input!$Y$36+ROUND(Input!$T$36*IUS!D32,2)+ROUND(Input!$N$36*IUS!D32,2)</f>
        <v>5797.24</v>
      </c>
      <c r="G32" s="11">
        <f>F32-E32</f>
        <v>810.83999999999924</v>
      </c>
      <c r="H32" s="12">
        <f t="shared" si="1"/>
        <v>0.16300000000000001</v>
      </c>
      <c r="I32" s="11">
        <f>ROUND(D32*SUM(Input!$O$36:$R$36),2)</f>
        <v>17651.2</v>
      </c>
      <c r="J32" s="11">
        <f>E32+I32</f>
        <v>22637.600000000002</v>
      </c>
      <c r="K32" s="11">
        <f>F32+I32</f>
        <v>23448.440000000002</v>
      </c>
      <c r="L32" s="12">
        <f t="shared" si="4"/>
        <v>3.5999999999999997E-2</v>
      </c>
    </row>
    <row r="33" spans="1:12" x14ac:dyDescent="0.3">
      <c r="A33" s="111">
        <v>14</v>
      </c>
      <c r="D33" s="71">
        <v>5000</v>
      </c>
      <c r="E33" s="11">
        <f>Input!$H$36+Input!$K$36+ROUND(Input!$C$36*IUS!D33,2)+ROUND(Input!$N$36*IUS!D33,2)+ROUND(Input!$J$36*IUS!D33,2)</f>
        <v>6039.2</v>
      </c>
      <c r="F33" s="11">
        <f>Input!$Y$36+ROUND(Input!$T$36*IUS!D33,2)+ROUND(Input!$N$36*IUS!D33,2)</f>
        <v>7010.24</v>
      </c>
      <c r="G33" s="11">
        <f>F33-E33</f>
        <v>971.04</v>
      </c>
      <c r="H33" s="12">
        <f t="shared" si="1"/>
        <v>0.161</v>
      </c>
      <c r="I33" s="11">
        <f>ROUND(D33*SUM(Input!$O$36:$R$36),2)</f>
        <v>22064</v>
      </c>
      <c r="J33" s="11">
        <f>E33+I33</f>
        <v>28103.200000000001</v>
      </c>
      <c r="K33" s="11">
        <f>F33+I33</f>
        <v>29074.239999999998</v>
      </c>
      <c r="L33" s="12">
        <f t="shared" si="4"/>
        <v>3.5000000000000003E-2</v>
      </c>
    </row>
    <row r="34" spans="1:12" x14ac:dyDescent="0.3">
      <c r="A34" s="111">
        <v>15</v>
      </c>
      <c r="D34" s="71">
        <v>6000</v>
      </c>
      <c r="E34" s="11">
        <f>Input!$H$36+Input!$K$36+ROUND(Input!$C$36*IUS!D34,2)+ROUND(Input!$N$36*IUS!D34,2)+ROUND(Input!$J$36*IUS!D34,2)</f>
        <v>7091.9999999999991</v>
      </c>
      <c r="F34" s="11">
        <f>Input!$Y$36+ROUND(Input!$T$36*IUS!D34,2)+ROUND(Input!$N$36*IUS!D34,2)</f>
        <v>8223.24</v>
      </c>
      <c r="G34" s="11">
        <f>F34-E34</f>
        <v>1131.2400000000007</v>
      </c>
      <c r="H34" s="12">
        <f t="shared" si="1"/>
        <v>0.16</v>
      </c>
      <c r="I34" s="11">
        <f>ROUND(D34*SUM(Input!$O$36:$R$36),2)</f>
        <v>26476.799999999999</v>
      </c>
      <c r="J34" s="11">
        <f>E34+I34</f>
        <v>33568.799999999996</v>
      </c>
      <c r="K34" s="11">
        <f>F34+I34</f>
        <v>34700.04</v>
      </c>
      <c r="L34" s="12">
        <f t="shared" si="4"/>
        <v>3.4000000000000002E-2</v>
      </c>
    </row>
    <row r="36" spans="1:12" x14ac:dyDescent="0.3">
      <c r="A36" s="14"/>
      <c r="B36" s="3" t="s">
        <v>102</v>
      </c>
      <c r="D36" s="70">
        <f>Input!AE36</f>
        <v>468.8</v>
      </c>
    </row>
  </sheetData>
  <mergeCells count="5">
    <mergeCell ref="A1:L1"/>
    <mergeCell ref="A2:L2"/>
    <mergeCell ref="A4:L4"/>
    <mergeCell ref="A5:L5"/>
    <mergeCell ref="A3:L3"/>
  </mergeCells>
  <phoneticPr fontId="0" type="noConversion"/>
  <printOptions horizontalCentered="1"/>
  <pageMargins left="0.75" right="0.75" top="1" bottom="0.75" header="0.5" footer="0.5"/>
  <pageSetup scale="9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8">
    <pageSetUpPr fitToPage="1"/>
  </sheetPr>
  <dimension ref="A1:I26"/>
  <sheetViews>
    <sheetView zoomScaleNormal="100" workbookViewId="0">
      <selection activeCell="E21" sqref="E21"/>
    </sheetView>
  </sheetViews>
  <sheetFormatPr defaultColWidth="8.4140625" defaultRowHeight="10.5" x14ac:dyDescent="0.25"/>
  <cols>
    <col min="1" max="1" width="22" style="60" customWidth="1"/>
    <col min="2" max="2" width="2.33203125" style="60" customWidth="1"/>
    <col min="3" max="3" width="67.6640625" style="60" customWidth="1"/>
    <col min="4" max="9" width="8.4140625" style="60"/>
    <col min="10" max="10" width="8.4140625" style="60" customWidth="1"/>
    <col min="11" max="11" width="8.4140625" style="60"/>
    <col min="12" max="12" width="1.58203125" style="60" customWidth="1"/>
    <col min="13" max="13" width="6.6640625" style="60" customWidth="1"/>
    <col min="14" max="14" width="5.9140625" style="60" customWidth="1"/>
    <col min="15" max="16384" width="8.4140625" style="60"/>
  </cols>
  <sheetData>
    <row r="1" spans="1:3" ht="12.5" x14ac:dyDescent="0.25">
      <c r="A1" s="58" t="s">
        <v>139</v>
      </c>
      <c r="B1" s="59"/>
      <c r="C1" s="59"/>
    </row>
    <row r="2" spans="1:3" ht="12.5" x14ac:dyDescent="0.25">
      <c r="A2" s="59"/>
      <c r="B2" s="59"/>
      <c r="C2" s="59"/>
    </row>
    <row r="3" spans="1:3" ht="12.5" x14ac:dyDescent="0.25">
      <c r="A3" s="114" t="s">
        <v>144</v>
      </c>
      <c r="B3" s="114"/>
      <c r="C3" s="114"/>
    </row>
    <row r="4" spans="1:3" ht="12.5" x14ac:dyDescent="0.25">
      <c r="A4" s="59"/>
      <c r="B4" s="59"/>
      <c r="C4" s="59"/>
    </row>
    <row r="5" spans="1:3" ht="12.5" x14ac:dyDescent="0.25">
      <c r="A5" s="114" t="s">
        <v>145</v>
      </c>
      <c r="B5" s="114"/>
      <c r="C5" s="114"/>
    </row>
    <row r="6" spans="1:3" ht="12.5" x14ac:dyDescent="0.25">
      <c r="A6" s="59"/>
      <c r="B6" s="59"/>
      <c r="C6" s="59"/>
    </row>
    <row r="7" spans="1:3" ht="12.5" x14ac:dyDescent="0.25">
      <c r="A7" s="114" t="s">
        <v>0</v>
      </c>
      <c r="B7" s="114"/>
      <c r="C7" s="114"/>
    </row>
    <row r="8" spans="1:3" ht="12.5" x14ac:dyDescent="0.25">
      <c r="A8" s="59"/>
      <c r="B8" s="59"/>
      <c r="C8" s="59"/>
    </row>
    <row r="9" spans="1:3" ht="12.5" x14ac:dyDescent="0.25">
      <c r="A9" s="114" t="str">
        <f>Input!B13</f>
        <v>CASE NO. 2021-00183</v>
      </c>
      <c r="B9" s="114"/>
      <c r="C9" s="114"/>
    </row>
    <row r="10" spans="1:3" ht="12.5" x14ac:dyDescent="0.25">
      <c r="A10" s="59"/>
      <c r="B10" s="59"/>
      <c r="C10" s="59"/>
    </row>
    <row r="11" spans="1:3" ht="12.5" x14ac:dyDescent="0.25">
      <c r="A11" s="59"/>
      <c r="B11" s="59"/>
      <c r="C11" s="59"/>
    </row>
    <row r="12" spans="1:3" ht="12.5" x14ac:dyDescent="0.25">
      <c r="A12" s="59"/>
      <c r="B12" s="59"/>
      <c r="C12" s="59"/>
    </row>
    <row r="13" spans="1:3" ht="12.5" x14ac:dyDescent="0.25">
      <c r="A13" s="61" t="s">
        <v>140</v>
      </c>
      <c r="B13" s="59"/>
      <c r="C13" s="82" t="s">
        <v>155</v>
      </c>
    </row>
    <row r="14" spans="1:3" ht="12.5" x14ac:dyDescent="0.25">
      <c r="A14" s="59"/>
      <c r="B14" s="59"/>
      <c r="C14" s="59"/>
    </row>
    <row r="15" spans="1:3" ht="12.5" x14ac:dyDescent="0.25">
      <c r="A15" s="61" t="s">
        <v>141</v>
      </c>
      <c r="B15" s="59"/>
      <c r="C15" s="82" t="s">
        <v>156</v>
      </c>
    </row>
    <row r="16" spans="1:3" ht="12.5" x14ac:dyDescent="0.25">
      <c r="A16" s="59"/>
      <c r="B16" s="59"/>
      <c r="C16" s="59"/>
    </row>
    <row r="17" spans="1:9" ht="12.5" x14ac:dyDescent="0.25">
      <c r="A17" s="59"/>
      <c r="B17" s="59"/>
      <c r="C17" s="59"/>
    </row>
    <row r="18" spans="1:9" ht="12.5" x14ac:dyDescent="0.25">
      <c r="A18" s="62" t="s">
        <v>142</v>
      </c>
      <c r="B18" s="63"/>
      <c r="C18" s="67" t="s">
        <v>143</v>
      </c>
      <c r="D18" s="64"/>
      <c r="E18" s="64"/>
      <c r="F18" s="64"/>
      <c r="G18" s="64"/>
      <c r="H18" s="64"/>
      <c r="I18" s="64"/>
    </row>
    <row r="19" spans="1:9" ht="12.5" x14ac:dyDescent="0.25">
      <c r="A19" s="59"/>
      <c r="B19" s="59"/>
      <c r="C19" s="59"/>
    </row>
    <row r="20" spans="1:9" ht="12.5" x14ac:dyDescent="0.25">
      <c r="A20" s="59"/>
      <c r="B20" s="59"/>
      <c r="C20" s="59"/>
    </row>
    <row r="21" spans="1:9" ht="12.5" x14ac:dyDescent="0.25">
      <c r="A21" s="65" t="s">
        <v>146</v>
      </c>
      <c r="B21" s="66"/>
      <c r="C21" s="65" t="s">
        <v>145</v>
      </c>
    </row>
    <row r="22" spans="1:9" ht="12.5" x14ac:dyDescent="0.25">
      <c r="A22" s="65"/>
      <c r="B22" s="66"/>
      <c r="C22" s="65" t="s">
        <v>147</v>
      </c>
    </row>
    <row r="23" spans="1:9" ht="12.5" x14ac:dyDescent="0.25">
      <c r="A23" s="65"/>
      <c r="B23" s="66"/>
      <c r="C23" s="65"/>
    </row>
    <row r="24" spans="1:9" ht="12" customHeight="1" x14ac:dyDescent="0.25">
      <c r="A24" s="65"/>
      <c r="B24" s="66"/>
      <c r="C24" s="65"/>
    </row>
    <row r="25" spans="1:9" ht="12.5" x14ac:dyDescent="0.25">
      <c r="A25" s="65"/>
      <c r="B25" s="66"/>
      <c r="C25" s="65"/>
    </row>
    <row r="26" spans="1:9" ht="12.5" x14ac:dyDescent="0.25">
      <c r="A26" s="66"/>
      <c r="B26" s="66"/>
      <c r="C26" s="66"/>
    </row>
  </sheetData>
  <mergeCells count="4">
    <mergeCell ref="A3:C3"/>
    <mergeCell ref="A5:C5"/>
    <mergeCell ref="A7:C7"/>
    <mergeCell ref="A9:C9"/>
  </mergeCells>
  <printOptions horizontalCentered="1"/>
  <pageMargins left="1" right="0.5" top="1" bottom="1" header="0.5" footer="0.5"/>
  <pageSetup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41"/>
  <sheetViews>
    <sheetView zoomScaleNormal="100" workbookViewId="0">
      <selection activeCell="A9" sqref="A9"/>
    </sheetView>
  </sheetViews>
  <sheetFormatPr defaultColWidth="9.08203125" defaultRowHeight="13" x14ac:dyDescent="0.3"/>
  <cols>
    <col min="1" max="1" width="9.08203125" style="1"/>
    <col min="2" max="2" width="10.33203125" style="1" customWidth="1"/>
    <col min="3" max="3" width="9.58203125" style="1" customWidth="1"/>
    <col min="4" max="5" width="9.08203125" style="1"/>
    <col min="6" max="6" width="13.08203125" style="1" customWidth="1"/>
    <col min="7" max="10" width="9.08203125" style="1"/>
    <col min="11" max="11" width="12.58203125" style="1" customWidth="1"/>
    <col min="12" max="12" width="10.33203125" style="1" customWidth="1"/>
    <col min="13" max="16384" width="9.08203125" style="1"/>
  </cols>
  <sheetData>
    <row r="1" spans="1:12" x14ac:dyDescent="0.3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x14ac:dyDescent="0.3">
      <c r="A2" s="115" t="str">
        <f>Input!$B$13</f>
        <v>CASE NO. 2021-00183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x14ac:dyDescent="0.3">
      <c r="A3" s="115" t="s">
        <v>40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x14ac:dyDescent="0.3">
      <c r="A4" s="115" t="s">
        <v>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x14ac:dyDescent="0.3">
      <c r="A5" s="117" t="str">
        <f>Input!B17</f>
        <v>TWELVE MONTHS ENDING DECEMBER 31, 2022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x14ac:dyDescent="0.3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x14ac:dyDescent="0.3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2"/>
      <c r="L7" s="110"/>
    </row>
    <row r="8" spans="1:12" x14ac:dyDescent="0.3">
      <c r="A8" s="1" t="s">
        <v>113</v>
      </c>
      <c r="L8" s="8" t="s">
        <v>3</v>
      </c>
    </row>
    <row r="9" spans="1:12" x14ac:dyDescent="0.3">
      <c r="A9" s="1" t="s">
        <v>158</v>
      </c>
      <c r="L9" s="13" t="s">
        <v>124</v>
      </c>
    </row>
    <row r="10" spans="1:12" x14ac:dyDescent="0.3">
      <c r="A10" s="20" t="s">
        <v>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 t="str">
        <f>Input!B15</f>
        <v>Witness: JUDITH L. SIEGLER</v>
      </c>
    </row>
    <row r="13" spans="1:12" x14ac:dyDescent="0.3">
      <c r="D13" s="109"/>
      <c r="E13" s="109"/>
      <c r="F13" s="109"/>
      <c r="G13" s="109"/>
      <c r="H13" s="109"/>
      <c r="I13" s="109"/>
      <c r="J13" s="109" t="s">
        <v>29</v>
      </c>
      <c r="K13" s="109" t="s">
        <v>29</v>
      </c>
      <c r="L13" s="109"/>
    </row>
    <row r="14" spans="1:12" x14ac:dyDescent="0.3">
      <c r="A14" s="109" t="s">
        <v>4</v>
      </c>
      <c r="B14" s="109" t="s">
        <v>6</v>
      </c>
      <c r="C14" s="109" t="s">
        <v>8</v>
      </c>
      <c r="D14" s="109" t="s">
        <v>8</v>
      </c>
      <c r="E14" s="109" t="s">
        <v>14</v>
      </c>
      <c r="F14" s="109" t="s">
        <v>18</v>
      </c>
      <c r="G14" s="109" t="s">
        <v>20</v>
      </c>
      <c r="H14" s="109" t="s">
        <v>20</v>
      </c>
      <c r="I14" s="109" t="s">
        <v>26</v>
      </c>
      <c r="J14" s="109" t="s">
        <v>14</v>
      </c>
      <c r="K14" s="109" t="s">
        <v>18</v>
      </c>
      <c r="L14" s="109" t="s">
        <v>33</v>
      </c>
    </row>
    <row r="15" spans="1:12" x14ac:dyDescent="0.3">
      <c r="A15" s="74" t="s">
        <v>5</v>
      </c>
      <c r="B15" s="74" t="s">
        <v>7</v>
      </c>
      <c r="C15" s="74" t="s">
        <v>9</v>
      </c>
      <c r="D15" s="74" t="s">
        <v>10</v>
      </c>
      <c r="E15" s="74" t="s">
        <v>15</v>
      </c>
      <c r="F15" s="74" t="s">
        <v>15</v>
      </c>
      <c r="G15" s="75" t="s">
        <v>21</v>
      </c>
      <c r="H15" s="75" t="s">
        <v>23</v>
      </c>
      <c r="I15" s="74" t="s">
        <v>27</v>
      </c>
      <c r="J15" s="74" t="s">
        <v>15</v>
      </c>
      <c r="K15" s="74" t="s">
        <v>15</v>
      </c>
      <c r="L15" s="74" t="s">
        <v>20</v>
      </c>
    </row>
    <row r="16" spans="1:12" x14ac:dyDescent="0.3">
      <c r="D16" s="4" t="s">
        <v>12</v>
      </c>
      <c r="E16" s="4" t="s">
        <v>16</v>
      </c>
      <c r="F16" s="4" t="s">
        <v>16</v>
      </c>
      <c r="G16" s="4" t="s">
        <v>16</v>
      </c>
      <c r="H16" s="4" t="s">
        <v>24</v>
      </c>
      <c r="I16" s="4" t="s">
        <v>16</v>
      </c>
      <c r="J16" s="4" t="s">
        <v>16</v>
      </c>
      <c r="K16" s="4" t="s">
        <v>16</v>
      </c>
      <c r="L16" s="4" t="s">
        <v>24</v>
      </c>
    </row>
    <row r="17" spans="1:12" x14ac:dyDescent="0.3">
      <c r="C17" s="4" t="s">
        <v>11</v>
      </c>
      <c r="D17" s="4" t="s">
        <v>13</v>
      </c>
      <c r="E17" s="4" t="s">
        <v>17</v>
      </c>
      <c r="F17" s="4" t="s">
        <v>19</v>
      </c>
      <c r="G17" s="4" t="s">
        <v>22</v>
      </c>
      <c r="H17" s="4" t="s">
        <v>25</v>
      </c>
      <c r="I17" s="4" t="s">
        <v>28</v>
      </c>
      <c r="J17" s="4" t="s">
        <v>30</v>
      </c>
      <c r="K17" s="4" t="s">
        <v>31</v>
      </c>
      <c r="L17" s="4" t="s">
        <v>32</v>
      </c>
    </row>
    <row r="18" spans="1:12" x14ac:dyDescent="0.3">
      <c r="D18" s="109"/>
      <c r="E18" s="109"/>
      <c r="F18" s="109"/>
      <c r="G18" s="109"/>
      <c r="H18" s="109"/>
      <c r="I18" s="109"/>
      <c r="J18" s="4" t="s">
        <v>34</v>
      </c>
      <c r="K18" s="4" t="s">
        <v>35</v>
      </c>
      <c r="L18" s="4" t="s">
        <v>36</v>
      </c>
    </row>
    <row r="19" spans="1:12" x14ac:dyDescent="0.3">
      <c r="A19" s="109"/>
      <c r="D19" s="109"/>
      <c r="E19" s="5"/>
      <c r="F19" s="109"/>
      <c r="G19" s="109"/>
      <c r="H19" s="109"/>
      <c r="I19" s="109"/>
      <c r="J19" s="109"/>
      <c r="K19" s="109"/>
      <c r="L19" s="109"/>
    </row>
    <row r="20" spans="1:12" x14ac:dyDescent="0.3">
      <c r="A20" s="109">
        <v>1</v>
      </c>
      <c r="B20" s="109" t="s">
        <v>41</v>
      </c>
      <c r="C20" s="109" t="s">
        <v>38</v>
      </c>
      <c r="D20" s="81">
        <v>1</v>
      </c>
      <c r="E20" s="6">
        <f>Input!$H$22+Input!$K$22+Input!$L$22+Input!$M$22+ROUND((+Input!$N$22+Input!$J$22)*GSR!D20,2)+ROUND(Input!$C$22*GSR!D20,2)</f>
        <v>26.52</v>
      </c>
      <c r="F20" s="6">
        <f>Input!$Y$22+Input!$L$22+Input!$M$22+ROUND((+Input!$N$22)*GSR!D20,2)+ROUND(Input!$T$22*GSR!D20,2)</f>
        <v>25.62</v>
      </c>
      <c r="G20" s="6">
        <f>F20-E20</f>
        <v>-0.89999999999999858</v>
      </c>
      <c r="H20" s="7">
        <f>ROUND(G20/E20,3)</f>
        <v>-3.4000000000000002E-2</v>
      </c>
      <c r="I20" s="11">
        <f>ROUND(D20*SUM(Input!$O$36:$R$36),2)</f>
        <v>4.41</v>
      </c>
      <c r="J20" s="6">
        <f>E20+I20</f>
        <v>30.93</v>
      </c>
      <c r="K20" s="6">
        <f>F20+I20</f>
        <v>30.03</v>
      </c>
      <c r="L20" s="7">
        <f>ROUND((K20-J20)/J20,3)</f>
        <v>-2.9000000000000001E-2</v>
      </c>
    </row>
    <row r="21" spans="1:12" x14ac:dyDescent="0.3">
      <c r="A21" s="109">
        <v>2</v>
      </c>
      <c r="B21" s="109" t="s">
        <v>42</v>
      </c>
      <c r="C21" s="109" t="s">
        <v>39</v>
      </c>
      <c r="D21" s="81">
        <v>2</v>
      </c>
      <c r="E21" s="6">
        <f>Input!$H$22+Input!$K$22+Input!$L$22+Input!$M$22+ROUND((+Input!$N$22+Input!$J$22)*GSR!D21,2)+ROUND(Input!$C$22*GSR!D21,2)</f>
        <v>29.81</v>
      </c>
      <c r="F21" s="6">
        <f>Input!$Y$22+Input!$L$22+Input!$M$22+ROUND((+Input!$N$22)*GSR!D21,2)+ROUND(Input!$T$22*GSR!D21,2)</f>
        <v>30.92</v>
      </c>
      <c r="G21" s="6">
        <f t="shared" ref="G21:G31" si="0">F21-E21</f>
        <v>1.110000000000003</v>
      </c>
      <c r="H21" s="7">
        <f t="shared" ref="H21:H31" si="1">ROUND(G21/E21,3)</f>
        <v>3.6999999999999998E-2</v>
      </c>
      <c r="I21" s="11">
        <f>ROUND(D21*SUM(Input!$O$36:$R$36),2)</f>
        <v>8.83</v>
      </c>
      <c r="J21" s="6">
        <f t="shared" ref="J21:J31" si="2">E21+I21</f>
        <v>38.64</v>
      </c>
      <c r="K21" s="6">
        <f t="shared" ref="K21:K31" si="3">F21+I21</f>
        <v>39.75</v>
      </c>
      <c r="L21" s="7">
        <f t="shared" ref="L21:L31" si="4">ROUND((K21-J21)/J21,3)</f>
        <v>2.9000000000000001E-2</v>
      </c>
    </row>
    <row r="22" spans="1:12" x14ac:dyDescent="0.3">
      <c r="A22" s="109">
        <v>3</v>
      </c>
      <c r="B22" s="109" t="s">
        <v>43</v>
      </c>
      <c r="D22" s="81">
        <v>4</v>
      </c>
      <c r="E22" s="6">
        <f>Input!$H$22+Input!$K$22+Input!$L$22+Input!$M$22+ROUND((+Input!$N$22+Input!$J$22)*GSR!D22,2)+ROUND(Input!$C$22*GSR!D22,2)</f>
        <v>36.42</v>
      </c>
      <c r="F22" s="6">
        <f>Input!$Y$22+Input!$L$22+Input!$M$22+ROUND((+Input!$N$22)*GSR!D22,2)+ROUND(Input!$T$22*GSR!D22,2)</f>
        <v>41.5</v>
      </c>
      <c r="G22" s="6">
        <f t="shared" si="0"/>
        <v>5.0799999999999983</v>
      </c>
      <c r="H22" s="7">
        <f t="shared" si="1"/>
        <v>0.13900000000000001</v>
      </c>
      <c r="I22" s="11">
        <f>ROUND(D22*SUM(Input!$O$36:$R$36),2)</f>
        <v>17.649999999999999</v>
      </c>
      <c r="J22" s="6">
        <f t="shared" si="2"/>
        <v>54.07</v>
      </c>
      <c r="K22" s="6">
        <f t="shared" si="3"/>
        <v>59.15</v>
      </c>
      <c r="L22" s="7">
        <f t="shared" si="4"/>
        <v>9.4E-2</v>
      </c>
    </row>
    <row r="23" spans="1:12" x14ac:dyDescent="0.3">
      <c r="A23" s="109">
        <v>4</v>
      </c>
      <c r="B23" s="109" t="s">
        <v>37</v>
      </c>
      <c r="D23" s="81">
        <f>Input!AE22</f>
        <v>5.6</v>
      </c>
      <c r="E23" s="6">
        <f>Input!$H$22+Input!$K$22+Input!$L$22+Input!$M$22+ROUND((+Input!$N$22+Input!$J$22)*GSR!D23,2)+ROUND(Input!$C$22*GSR!D23,2)</f>
        <v>41.69</v>
      </c>
      <c r="F23" s="6">
        <f>Input!$Y$22+Input!$L$22+Input!$M$22+ROUND((+Input!$N$22)*GSR!D23,2)+ROUND(Input!$T$22*GSR!D23,2)</f>
        <v>49.95</v>
      </c>
      <c r="G23" s="6">
        <f t="shared" si="0"/>
        <v>8.2600000000000051</v>
      </c>
      <c r="H23" s="7">
        <f t="shared" si="1"/>
        <v>0.19800000000000001</v>
      </c>
      <c r="I23" s="11">
        <f>ROUND(D23*SUM(Input!$O$36:$R$36),2)</f>
        <v>24.71</v>
      </c>
      <c r="J23" s="6">
        <f t="shared" si="2"/>
        <v>66.400000000000006</v>
      </c>
      <c r="K23" s="6">
        <f t="shared" si="3"/>
        <v>74.66</v>
      </c>
      <c r="L23" s="7">
        <f t="shared" si="4"/>
        <v>0.124</v>
      </c>
    </row>
    <row r="24" spans="1:12" x14ac:dyDescent="0.3">
      <c r="A24" s="109">
        <v>5</v>
      </c>
      <c r="D24" s="81">
        <v>6</v>
      </c>
      <c r="E24" s="6">
        <f>Input!$H$22+Input!$K$22+Input!$L$22+Input!$M$22+ROUND((+Input!$N$22+Input!$J$22)*GSR!D24,2)+ROUND(Input!$C$22*GSR!D24,2)</f>
        <v>43.01</v>
      </c>
      <c r="F24" s="6">
        <f>Input!$Y$22+Input!$L$22+Input!$M$22+ROUND((+Input!$N$22)*GSR!D24,2)+ROUND(Input!$T$22*GSR!D24,2)</f>
        <v>52.07</v>
      </c>
      <c r="G24" s="6">
        <f t="shared" si="0"/>
        <v>9.0600000000000023</v>
      </c>
      <c r="H24" s="7">
        <f t="shared" si="1"/>
        <v>0.21099999999999999</v>
      </c>
      <c r="I24" s="11">
        <f>ROUND(D24*SUM(Input!$O$36:$R$36),2)</f>
        <v>26.48</v>
      </c>
      <c r="J24" s="6">
        <f t="shared" si="2"/>
        <v>69.489999999999995</v>
      </c>
      <c r="K24" s="6">
        <f t="shared" si="3"/>
        <v>78.55</v>
      </c>
      <c r="L24" s="7">
        <f t="shared" si="4"/>
        <v>0.13</v>
      </c>
    </row>
    <row r="25" spans="1:12" x14ac:dyDescent="0.3">
      <c r="A25" s="109">
        <v>6</v>
      </c>
      <c r="B25" s="109"/>
      <c r="D25" s="81">
        <v>8</v>
      </c>
      <c r="E25" s="6">
        <f>Input!$H$22+Input!$K$22+Input!$L$22+Input!$M$22+ROUND((+Input!$N$22+Input!$J$22)*GSR!D25,2)+ROUND(Input!$C$22*GSR!D25,2)</f>
        <v>49.61</v>
      </c>
      <c r="F25" s="6">
        <f>Input!$Y$22+Input!$L$22+Input!$M$22+ROUND((+Input!$N$22)*GSR!D25,2)+ROUND(Input!$T$22*GSR!D25,2)</f>
        <v>62.65</v>
      </c>
      <c r="G25" s="6">
        <f t="shared" si="0"/>
        <v>13.04</v>
      </c>
      <c r="H25" s="7">
        <f t="shared" si="1"/>
        <v>0.26300000000000001</v>
      </c>
      <c r="I25" s="11">
        <f>ROUND(D25*SUM(Input!$O$36:$R$36),2)</f>
        <v>35.299999999999997</v>
      </c>
      <c r="J25" s="6">
        <f t="shared" si="2"/>
        <v>84.91</v>
      </c>
      <c r="K25" s="6">
        <f t="shared" si="3"/>
        <v>97.949999999999989</v>
      </c>
      <c r="L25" s="7">
        <f t="shared" si="4"/>
        <v>0.154</v>
      </c>
    </row>
    <row r="26" spans="1:12" x14ac:dyDescent="0.3">
      <c r="A26" s="109">
        <v>7</v>
      </c>
      <c r="B26" s="110"/>
      <c r="D26" s="81">
        <v>10</v>
      </c>
      <c r="E26" s="6">
        <f>Input!$H$22+Input!$K$22+Input!$L$22+Input!$M$22+ROUND((+Input!$N$22+Input!$J$22)*GSR!D26,2)+ROUND(Input!$C$22*GSR!D26,2)</f>
        <v>56.21</v>
      </c>
      <c r="F26" s="6">
        <f>Input!$Y$22+Input!$L$22+Input!$M$22+ROUND((+Input!$N$22)*GSR!D26,2)+ROUND(Input!$T$22*GSR!D26,2)</f>
        <v>73.22</v>
      </c>
      <c r="G26" s="6">
        <f t="shared" si="0"/>
        <v>17.009999999999998</v>
      </c>
      <c r="H26" s="7">
        <f t="shared" si="1"/>
        <v>0.30299999999999999</v>
      </c>
      <c r="I26" s="11">
        <f>ROUND(D26*SUM(Input!$O$36:$R$36),2)</f>
        <v>44.13</v>
      </c>
      <c r="J26" s="6">
        <f t="shared" si="2"/>
        <v>100.34</v>
      </c>
      <c r="K26" s="6">
        <f t="shared" si="3"/>
        <v>117.35</v>
      </c>
      <c r="L26" s="7">
        <f t="shared" si="4"/>
        <v>0.17</v>
      </c>
    </row>
    <row r="27" spans="1:12" x14ac:dyDescent="0.3">
      <c r="A27" s="109">
        <v>8</v>
      </c>
      <c r="D27" s="81">
        <v>12</v>
      </c>
      <c r="E27" s="6">
        <f>Input!$H$22+Input!$K$22+Input!$L$22+Input!$M$22+ROUND((+Input!$N$22+Input!$J$22)*GSR!D27,2)+ROUND(Input!$C$22*GSR!D27,2)</f>
        <v>62.8</v>
      </c>
      <c r="F27" s="6">
        <f>Input!$Y$22+Input!$L$22+Input!$M$22+ROUND((+Input!$N$22)*GSR!D27,2)+ROUND(Input!$T$22*GSR!D27,2)</f>
        <v>83.8</v>
      </c>
      <c r="G27" s="6">
        <f t="shared" si="0"/>
        <v>21</v>
      </c>
      <c r="H27" s="7">
        <f t="shared" si="1"/>
        <v>0.33400000000000002</v>
      </c>
      <c r="I27" s="11">
        <f>ROUND(D27*SUM(Input!$O$36:$R$36),2)</f>
        <v>52.95</v>
      </c>
      <c r="J27" s="6">
        <f t="shared" si="2"/>
        <v>115.75</v>
      </c>
      <c r="K27" s="6">
        <f t="shared" si="3"/>
        <v>136.75</v>
      </c>
      <c r="L27" s="7">
        <f t="shared" si="4"/>
        <v>0.18099999999999999</v>
      </c>
    </row>
    <row r="28" spans="1:12" x14ac:dyDescent="0.3">
      <c r="A28" s="109">
        <v>9</v>
      </c>
      <c r="D28" s="81">
        <v>16</v>
      </c>
      <c r="E28" s="6">
        <f>Input!$H$22+Input!$K$22+Input!$L$22+Input!$M$22+ROUND((+Input!$N$22+Input!$J$22)*GSR!D28,2)+ROUND(Input!$C$22*GSR!D28,2)</f>
        <v>75.990000000000009</v>
      </c>
      <c r="F28" s="6">
        <f>Input!$Y$22+Input!$L$22+Input!$M$22+ROUND((+Input!$N$22)*GSR!D28,2)+ROUND(Input!$T$22*GSR!D28,2)</f>
        <v>104.94999999999999</v>
      </c>
      <c r="G28" s="6">
        <f t="shared" si="0"/>
        <v>28.95999999999998</v>
      </c>
      <c r="H28" s="7">
        <f t="shared" si="1"/>
        <v>0.38100000000000001</v>
      </c>
      <c r="I28" s="11">
        <f>ROUND(D28*SUM(Input!$O$36:$R$36),2)</f>
        <v>70.599999999999994</v>
      </c>
      <c r="J28" s="6">
        <f t="shared" si="2"/>
        <v>146.59</v>
      </c>
      <c r="K28" s="6">
        <f t="shared" si="3"/>
        <v>175.54999999999998</v>
      </c>
      <c r="L28" s="7">
        <f t="shared" si="4"/>
        <v>0.19800000000000001</v>
      </c>
    </row>
    <row r="29" spans="1:12" x14ac:dyDescent="0.3">
      <c r="A29" s="109">
        <v>10</v>
      </c>
      <c r="D29" s="81">
        <v>18</v>
      </c>
      <c r="E29" s="6">
        <f>Input!$H$22+Input!$K$22+Input!$L$22+Input!$M$22+ROUND((+Input!$N$22+Input!$J$22)*GSR!D29,2)+ROUND(Input!$C$22*GSR!D29,2)</f>
        <v>82.59</v>
      </c>
      <c r="F29" s="6">
        <f>Input!$Y$22+Input!$L$22+Input!$M$22+ROUND((+Input!$N$22)*GSR!D29,2)+ROUND(Input!$T$22*GSR!D29,2)</f>
        <v>115.53</v>
      </c>
      <c r="G29" s="6">
        <f t="shared" si="0"/>
        <v>32.94</v>
      </c>
      <c r="H29" s="7">
        <f t="shared" si="1"/>
        <v>0.39900000000000002</v>
      </c>
      <c r="I29" s="11">
        <f>ROUND(D29*SUM(Input!$O$36:$R$36),2)</f>
        <v>79.430000000000007</v>
      </c>
      <c r="J29" s="6">
        <f t="shared" si="2"/>
        <v>162.02000000000001</v>
      </c>
      <c r="K29" s="6">
        <f t="shared" si="3"/>
        <v>194.96</v>
      </c>
      <c r="L29" s="7">
        <f t="shared" si="4"/>
        <v>0.20300000000000001</v>
      </c>
    </row>
    <row r="30" spans="1:12" x14ac:dyDescent="0.3">
      <c r="A30" s="109">
        <v>11</v>
      </c>
      <c r="D30" s="81">
        <v>22</v>
      </c>
      <c r="E30" s="6">
        <f>Input!$H$22+Input!$K$22+Input!$L$22+Input!$M$22+ROUND((+Input!$N$22+Input!$J$22)*GSR!D30,2)+ROUND(Input!$C$22*GSR!D30,2)</f>
        <v>95.78</v>
      </c>
      <c r="F30" s="6">
        <f>Input!$Y$22+Input!$L$22+Input!$M$22+ROUND((+Input!$N$22)*GSR!D30,2)+ROUND(Input!$T$22*GSR!D30,2)</f>
        <v>136.69</v>
      </c>
      <c r="G30" s="6">
        <f t="shared" si="0"/>
        <v>40.909999999999997</v>
      </c>
      <c r="H30" s="7">
        <f t="shared" si="1"/>
        <v>0.42699999999999999</v>
      </c>
      <c r="I30" s="11">
        <f>ROUND(D30*SUM(Input!$O$36:$R$36),2)</f>
        <v>97.08</v>
      </c>
      <c r="J30" s="6">
        <f t="shared" si="2"/>
        <v>192.86</v>
      </c>
      <c r="K30" s="6">
        <f t="shared" si="3"/>
        <v>233.76999999999998</v>
      </c>
      <c r="L30" s="7">
        <f t="shared" si="4"/>
        <v>0.21199999999999999</v>
      </c>
    </row>
    <row r="31" spans="1:12" x14ac:dyDescent="0.3">
      <c r="A31" s="109">
        <v>12</v>
      </c>
      <c r="D31" s="81">
        <v>25</v>
      </c>
      <c r="E31" s="6">
        <f>Input!$H$22+Input!$K$22+Input!$L$22+Input!$M$22+ROUND((+Input!$N$22+Input!$J$22)*GSR!D31,2)+ROUND(Input!$C$22*GSR!D31,2)</f>
        <v>105.67999999999999</v>
      </c>
      <c r="F31" s="6">
        <f>Input!$Y$22+Input!$L$22+Input!$M$22+ROUND((+Input!$N$22)*GSR!D31,2)+ROUND(Input!$T$22*GSR!D31,2)</f>
        <v>152.54999999999998</v>
      </c>
      <c r="G31" s="6">
        <f t="shared" si="0"/>
        <v>46.86999999999999</v>
      </c>
      <c r="H31" s="7">
        <f t="shared" si="1"/>
        <v>0.44400000000000001</v>
      </c>
      <c r="I31" s="11">
        <f>ROUND(D31*SUM(Input!$O$36:$R$36),2)</f>
        <v>110.32</v>
      </c>
      <c r="J31" s="6">
        <f t="shared" si="2"/>
        <v>216</v>
      </c>
      <c r="K31" s="6">
        <f t="shared" si="3"/>
        <v>262.87</v>
      </c>
      <c r="L31" s="7">
        <f t="shared" si="4"/>
        <v>0.217</v>
      </c>
    </row>
    <row r="32" spans="1:12" x14ac:dyDescent="0.3">
      <c r="A32" s="109"/>
      <c r="D32" s="8"/>
      <c r="E32" s="8"/>
      <c r="F32" s="8"/>
      <c r="G32" s="8"/>
      <c r="H32" s="8"/>
      <c r="I32" s="8"/>
      <c r="J32" s="8"/>
      <c r="K32" s="8"/>
      <c r="L32" s="8"/>
    </row>
    <row r="33" spans="1:5" x14ac:dyDescent="0.3">
      <c r="A33" s="9"/>
      <c r="C33" s="1" t="s">
        <v>102</v>
      </c>
      <c r="E33" s="78">
        <f>Input!AE22</f>
        <v>5.6</v>
      </c>
    </row>
    <row r="35" spans="1:5" x14ac:dyDescent="0.3">
      <c r="E35" s="22"/>
    </row>
    <row r="36" spans="1:5" x14ac:dyDescent="0.3">
      <c r="D36" s="79"/>
      <c r="E36" s="22"/>
    </row>
    <row r="37" spans="1:5" x14ac:dyDescent="0.3">
      <c r="E37" s="22"/>
    </row>
    <row r="38" spans="1:5" x14ac:dyDescent="0.3">
      <c r="E38" s="22"/>
    </row>
    <row r="39" spans="1:5" x14ac:dyDescent="0.3">
      <c r="E39" s="22"/>
    </row>
    <row r="40" spans="1:5" x14ac:dyDescent="0.3">
      <c r="E40" s="22"/>
    </row>
    <row r="41" spans="1:5" x14ac:dyDescent="0.3">
      <c r="E41" s="22"/>
    </row>
  </sheetData>
  <mergeCells count="5">
    <mergeCell ref="A1:L1"/>
    <mergeCell ref="A2:L2"/>
    <mergeCell ref="A4:L4"/>
    <mergeCell ref="A5:L5"/>
    <mergeCell ref="A3:L3"/>
  </mergeCells>
  <phoneticPr fontId="0" type="noConversion"/>
  <printOptions horizontalCentered="1"/>
  <pageMargins left="0.75" right="0.75" top="1" bottom="0.75" header="0.5" footer="0.5"/>
  <pageSetup scale="8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36"/>
  <sheetViews>
    <sheetView zoomScaleNormal="100" workbookViewId="0">
      <selection activeCell="A9" sqref="A9"/>
    </sheetView>
  </sheetViews>
  <sheetFormatPr defaultColWidth="9.08203125" defaultRowHeight="13" x14ac:dyDescent="0.3"/>
  <cols>
    <col min="1" max="1" width="9.08203125" style="3"/>
    <col min="2" max="2" width="10.9140625" style="3" customWidth="1"/>
    <col min="3" max="3" width="9.58203125" style="3" customWidth="1"/>
    <col min="4" max="10" width="9.08203125" style="3"/>
    <col min="11" max="12" width="10.33203125" style="3" customWidth="1"/>
    <col min="13" max="16384" width="9.08203125" style="3"/>
  </cols>
  <sheetData>
    <row r="1" spans="1:12" x14ac:dyDescent="0.3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x14ac:dyDescent="0.3">
      <c r="A2" s="118" t="str">
        <f>Input!$B$13</f>
        <v>CASE NO. 2021-00183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x14ac:dyDescent="0.3">
      <c r="A3" s="118" t="s">
        <v>40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x14ac:dyDescent="0.3">
      <c r="A4" s="118" t="s">
        <v>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x14ac:dyDescent="0.3">
      <c r="A5" s="118" t="str">
        <f>Input!B17</f>
        <v>TWELVE MONTHS ENDING DECEMBER 31, 2022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x14ac:dyDescent="0.3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x14ac:dyDescent="0.3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x14ac:dyDescent="0.3">
      <c r="A8" s="3" t="s">
        <v>113</v>
      </c>
      <c r="L8" s="13" t="s">
        <v>3</v>
      </c>
    </row>
    <row r="9" spans="1:12" x14ac:dyDescent="0.3">
      <c r="A9" s="1" t="s">
        <v>158</v>
      </c>
      <c r="L9" s="13" t="s">
        <v>125</v>
      </c>
    </row>
    <row r="10" spans="1:12" x14ac:dyDescent="0.3">
      <c r="A10" s="23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 t="str">
        <f>Input!B15</f>
        <v>Witness: JUDITH L. SIEGLER</v>
      </c>
    </row>
    <row r="13" spans="1:12" x14ac:dyDescent="0.3">
      <c r="D13" s="111"/>
      <c r="E13" s="111"/>
      <c r="F13" s="111"/>
      <c r="G13" s="111"/>
      <c r="H13" s="111"/>
      <c r="I13" s="111"/>
      <c r="J13" s="111" t="s">
        <v>29</v>
      </c>
      <c r="K13" s="111" t="s">
        <v>29</v>
      </c>
      <c r="L13" s="111"/>
    </row>
    <row r="14" spans="1:12" x14ac:dyDescent="0.3">
      <c r="A14" s="111" t="s">
        <v>4</v>
      </c>
      <c r="B14" s="111" t="s">
        <v>6</v>
      </c>
      <c r="C14" s="111" t="s">
        <v>8</v>
      </c>
      <c r="D14" s="111" t="s">
        <v>8</v>
      </c>
      <c r="E14" s="111" t="s">
        <v>14</v>
      </c>
      <c r="F14" s="111" t="s">
        <v>18</v>
      </c>
      <c r="G14" s="111" t="s">
        <v>20</v>
      </c>
      <c r="H14" s="111" t="s">
        <v>20</v>
      </c>
      <c r="I14" s="111" t="s">
        <v>26</v>
      </c>
      <c r="J14" s="111" t="s">
        <v>14</v>
      </c>
      <c r="K14" s="111" t="s">
        <v>18</v>
      </c>
      <c r="L14" s="111" t="s">
        <v>33</v>
      </c>
    </row>
    <row r="15" spans="1:12" x14ac:dyDescent="0.3">
      <c r="A15" s="72" t="s">
        <v>5</v>
      </c>
      <c r="B15" s="72" t="s">
        <v>7</v>
      </c>
      <c r="C15" s="72" t="s">
        <v>9</v>
      </c>
      <c r="D15" s="72" t="s">
        <v>10</v>
      </c>
      <c r="E15" s="72" t="s">
        <v>15</v>
      </c>
      <c r="F15" s="72" t="s">
        <v>15</v>
      </c>
      <c r="G15" s="73" t="s">
        <v>21</v>
      </c>
      <c r="H15" s="73" t="s">
        <v>23</v>
      </c>
      <c r="I15" s="72" t="s">
        <v>27</v>
      </c>
      <c r="J15" s="72" t="s">
        <v>15</v>
      </c>
      <c r="K15" s="72" t="s">
        <v>15</v>
      </c>
      <c r="L15" s="72" t="s">
        <v>20</v>
      </c>
    </row>
    <row r="16" spans="1:12" x14ac:dyDescent="0.3">
      <c r="D16" s="10" t="s">
        <v>12</v>
      </c>
      <c r="E16" s="10" t="s">
        <v>16</v>
      </c>
      <c r="F16" s="10" t="s">
        <v>16</v>
      </c>
      <c r="G16" s="10" t="s">
        <v>16</v>
      </c>
      <c r="H16" s="10" t="s">
        <v>24</v>
      </c>
      <c r="I16" s="10" t="s">
        <v>16</v>
      </c>
      <c r="J16" s="10" t="s">
        <v>16</v>
      </c>
      <c r="K16" s="10" t="s">
        <v>16</v>
      </c>
      <c r="L16" s="10" t="s">
        <v>24</v>
      </c>
    </row>
    <row r="17" spans="1:12" x14ac:dyDescent="0.3">
      <c r="C17" s="10" t="s">
        <v>11</v>
      </c>
      <c r="D17" s="10" t="s">
        <v>13</v>
      </c>
      <c r="E17" s="10" t="s">
        <v>17</v>
      </c>
      <c r="F17" s="10" t="s">
        <v>19</v>
      </c>
      <c r="G17" s="10" t="s">
        <v>22</v>
      </c>
      <c r="H17" s="10" t="s">
        <v>25</v>
      </c>
      <c r="I17" s="10" t="s">
        <v>28</v>
      </c>
      <c r="J17" s="10" t="s">
        <v>30</v>
      </c>
      <c r="K17" s="10" t="s">
        <v>31</v>
      </c>
      <c r="L17" s="10" t="s">
        <v>32</v>
      </c>
    </row>
    <row r="18" spans="1:12" x14ac:dyDescent="0.3">
      <c r="D18" s="111"/>
      <c r="E18" s="111"/>
      <c r="F18" s="111"/>
      <c r="G18" s="111"/>
      <c r="H18" s="111"/>
      <c r="I18" s="111"/>
      <c r="J18" s="10" t="s">
        <v>34</v>
      </c>
      <c r="K18" s="10" t="s">
        <v>35</v>
      </c>
      <c r="L18" s="10" t="s">
        <v>36</v>
      </c>
    </row>
    <row r="19" spans="1:12" x14ac:dyDescent="0.3">
      <c r="A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x14ac:dyDescent="0.3">
      <c r="A20" s="111">
        <v>1</v>
      </c>
      <c r="B20" s="111" t="s">
        <v>44</v>
      </c>
      <c r="C20" s="111" t="s">
        <v>38</v>
      </c>
      <c r="D20" s="77">
        <f>+E33</f>
        <v>0</v>
      </c>
      <c r="E20" s="11">
        <f>Input!$H$23+ROUND((Input!$C$23*G1C!D20),2)</f>
        <v>70.34</v>
      </c>
      <c r="F20" s="11">
        <f>Input!$Y$23+ROUND((Input!$T$23*G1C!D20),2)</f>
        <v>70.34</v>
      </c>
      <c r="G20" s="11">
        <f>F20-E20</f>
        <v>0</v>
      </c>
      <c r="H20" s="12">
        <f>ROUND(G20/E20,3)</f>
        <v>0</v>
      </c>
      <c r="I20" s="11">
        <f>ROUND(D20*SUM(Input!$O$23:$R$23),2)</f>
        <v>0</v>
      </c>
      <c r="J20" s="11">
        <f>E20+I20</f>
        <v>70.34</v>
      </c>
      <c r="K20" s="11">
        <f>F20+I20</f>
        <v>70.34</v>
      </c>
      <c r="L20" s="12">
        <f>ROUND((K20-J20)/J20,3)</f>
        <v>0</v>
      </c>
    </row>
    <row r="21" spans="1:12" x14ac:dyDescent="0.3">
      <c r="A21" s="111">
        <v>2</v>
      </c>
      <c r="B21" s="111" t="s">
        <v>54</v>
      </c>
      <c r="C21" s="111" t="s">
        <v>39</v>
      </c>
      <c r="D21" s="77">
        <v>11</v>
      </c>
      <c r="E21" s="11">
        <f>Input!$H$23+ROUND((Input!$C$23*G1C!D21),2)</f>
        <v>106.24000000000001</v>
      </c>
      <c r="F21" s="11">
        <f>Input!$Y$23+ROUND((Input!$T$23*G1C!D21),2)</f>
        <v>106.24000000000001</v>
      </c>
      <c r="G21" s="11">
        <f t="shared" ref="G21:G31" si="0">F21-E21</f>
        <v>0</v>
      </c>
      <c r="H21" s="12">
        <f t="shared" ref="H21:H31" si="1">ROUND(G21/E21,3)</f>
        <v>0</v>
      </c>
      <c r="I21" s="11">
        <f>ROUND(D21*SUM(Input!$O$23:$R$23),2)</f>
        <v>54.39</v>
      </c>
      <c r="J21" s="11">
        <f t="shared" ref="J21:J31" si="2">E21+I21</f>
        <v>160.63</v>
      </c>
      <c r="K21" s="11">
        <f t="shared" ref="K21:K31" si="3">F21+I21</f>
        <v>160.63</v>
      </c>
      <c r="L21" s="12">
        <f t="shared" ref="L21:L31" si="4">ROUND((K21-J21)/J21,3)</f>
        <v>0</v>
      </c>
    </row>
    <row r="22" spans="1:12" x14ac:dyDescent="0.3">
      <c r="A22" s="111">
        <v>3</v>
      </c>
      <c r="B22" s="111" t="s">
        <v>55</v>
      </c>
      <c r="D22" s="77">
        <v>30</v>
      </c>
      <c r="E22" s="11">
        <f>Input!$H$23+ROUND((Input!$C$23*G1C!D22),2)</f>
        <v>168.25</v>
      </c>
      <c r="F22" s="11">
        <f>Input!$Y$23+ROUND((Input!$T$23*G1C!D22),2)</f>
        <v>168.25</v>
      </c>
      <c r="G22" s="11">
        <f t="shared" si="0"/>
        <v>0</v>
      </c>
      <c r="H22" s="12">
        <f t="shared" si="1"/>
        <v>0</v>
      </c>
      <c r="I22" s="11">
        <f>ROUND(D22*SUM(Input!$O$23:$R$23),2)</f>
        <v>148.33000000000001</v>
      </c>
      <c r="J22" s="11">
        <f t="shared" si="2"/>
        <v>316.58000000000004</v>
      </c>
      <c r="K22" s="11">
        <f t="shared" si="3"/>
        <v>316.58000000000004</v>
      </c>
      <c r="L22" s="12">
        <f t="shared" si="4"/>
        <v>0</v>
      </c>
    </row>
    <row r="23" spans="1:12" x14ac:dyDescent="0.3">
      <c r="A23" s="111">
        <v>4</v>
      </c>
      <c r="B23" s="111"/>
      <c r="D23" s="77">
        <v>50</v>
      </c>
      <c r="E23" s="11">
        <f>Input!$H$23+ROUND((Input!$C$23*G1C!D23),2)</f>
        <v>233.52</v>
      </c>
      <c r="F23" s="11">
        <f>Input!$Y$23+ROUND((Input!$T$23*G1C!D23),2)</f>
        <v>233.52</v>
      </c>
      <c r="G23" s="11">
        <f t="shared" si="0"/>
        <v>0</v>
      </c>
      <c r="H23" s="12">
        <f t="shared" si="1"/>
        <v>0</v>
      </c>
      <c r="I23" s="11">
        <f>ROUND(D23*SUM(Input!$O$23:$R$23),2)</f>
        <v>247.22</v>
      </c>
      <c r="J23" s="11">
        <f t="shared" si="2"/>
        <v>480.74</v>
      </c>
      <c r="K23" s="11">
        <f t="shared" si="3"/>
        <v>480.74</v>
      </c>
      <c r="L23" s="12">
        <f t="shared" si="4"/>
        <v>0</v>
      </c>
    </row>
    <row r="24" spans="1:12" x14ac:dyDescent="0.3">
      <c r="A24" s="111">
        <v>5</v>
      </c>
      <c r="B24" s="111"/>
      <c r="D24" s="77">
        <v>60</v>
      </c>
      <c r="E24" s="11">
        <f>Input!$H$23+ROUND((Input!$C$23*G1C!D24),2)</f>
        <v>266.15999999999997</v>
      </c>
      <c r="F24" s="11">
        <f>Input!$Y$23+ROUND((Input!$T$23*G1C!D24),2)</f>
        <v>266.15999999999997</v>
      </c>
      <c r="G24" s="11">
        <f t="shared" si="0"/>
        <v>0</v>
      </c>
      <c r="H24" s="12">
        <f>ROUND(G24/E24,3)</f>
        <v>0</v>
      </c>
      <c r="I24" s="11">
        <f>ROUND(D24*SUM(Input!$O$23:$R$23),2)</f>
        <v>296.66000000000003</v>
      </c>
      <c r="J24" s="11">
        <f t="shared" si="2"/>
        <v>562.81999999999994</v>
      </c>
      <c r="K24" s="11">
        <f t="shared" si="3"/>
        <v>562.81999999999994</v>
      </c>
      <c r="L24" s="12">
        <f t="shared" si="4"/>
        <v>0</v>
      </c>
    </row>
    <row r="25" spans="1:12" x14ac:dyDescent="0.3">
      <c r="A25" s="111">
        <v>6</v>
      </c>
      <c r="B25" s="112"/>
      <c r="D25" s="77">
        <v>80</v>
      </c>
      <c r="E25" s="11">
        <f>Input!$H$23+ROUND((Input!$C$23*G1C!D25),2)</f>
        <v>331.42999999999995</v>
      </c>
      <c r="F25" s="11">
        <f>Input!$Y$23+ROUND((Input!$T$23*G1C!D25),2)</f>
        <v>331.42999999999995</v>
      </c>
      <c r="G25" s="11">
        <f t="shared" si="0"/>
        <v>0</v>
      </c>
      <c r="H25" s="12">
        <f t="shared" si="1"/>
        <v>0</v>
      </c>
      <c r="I25" s="11">
        <f>ROUND(D25*SUM(Input!$O$23:$R$23),2)</f>
        <v>395.55</v>
      </c>
      <c r="J25" s="11">
        <f t="shared" si="2"/>
        <v>726.98</v>
      </c>
      <c r="K25" s="11">
        <f t="shared" si="3"/>
        <v>726.98</v>
      </c>
      <c r="L25" s="12">
        <f t="shared" si="4"/>
        <v>0</v>
      </c>
    </row>
    <row r="26" spans="1:12" x14ac:dyDescent="0.3">
      <c r="A26" s="111">
        <v>7</v>
      </c>
      <c r="D26" s="77">
        <v>90</v>
      </c>
      <c r="E26" s="11">
        <f>Input!$H$23+ROUND((Input!$C$23*G1C!D26),2)</f>
        <v>364.06000000000006</v>
      </c>
      <c r="F26" s="11">
        <f>Input!$Y$23+ROUND((Input!$T$23*G1C!D26),2)</f>
        <v>364.06000000000006</v>
      </c>
      <c r="G26" s="11">
        <f t="shared" si="0"/>
        <v>0</v>
      </c>
      <c r="H26" s="12">
        <f t="shared" si="1"/>
        <v>0</v>
      </c>
      <c r="I26" s="11">
        <f>ROUND(D26*SUM(Input!$O$23:$R$23),2)</f>
        <v>445</v>
      </c>
      <c r="J26" s="11">
        <f t="shared" si="2"/>
        <v>809.06000000000006</v>
      </c>
      <c r="K26" s="11">
        <f t="shared" si="3"/>
        <v>809.06000000000006</v>
      </c>
      <c r="L26" s="12">
        <f t="shared" si="4"/>
        <v>0</v>
      </c>
    </row>
    <row r="27" spans="1:12" x14ac:dyDescent="0.3">
      <c r="A27" s="111">
        <v>8</v>
      </c>
      <c r="D27" s="77">
        <v>100</v>
      </c>
      <c r="E27" s="11">
        <f>Input!$H$23+ROUND((Input!$C$23*G1C!D27),2)</f>
        <v>396.70000000000005</v>
      </c>
      <c r="F27" s="11">
        <f>Input!$Y$23+ROUND((Input!$T$23*G1C!D27),2)</f>
        <v>396.70000000000005</v>
      </c>
      <c r="G27" s="11">
        <f>F27-E27</f>
        <v>0</v>
      </c>
      <c r="H27" s="12">
        <f t="shared" si="1"/>
        <v>0</v>
      </c>
      <c r="I27" s="11">
        <f>ROUND(D27*SUM(Input!$O$23:$R$23),2)</f>
        <v>494.44</v>
      </c>
      <c r="J27" s="11">
        <f>E27+I27</f>
        <v>891.1400000000001</v>
      </c>
      <c r="K27" s="11">
        <f>F27+I27</f>
        <v>891.1400000000001</v>
      </c>
      <c r="L27" s="12">
        <f t="shared" si="4"/>
        <v>0</v>
      </c>
    </row>
    <row r="28" spans="1:12" x14ac:dyDescent="0.3">
      <c r="A28" s="111">
        <v>9</v>
      </c>
      <c r="D28" s="77">
        <v>120</v>
      </c>
      <c r="E28" s="11">
        <f>Input!$H$23+ROUND((Input!$C$23*G1C!D28),2)</f>
        <v>461.97</v>
      </c>
      <c r="F28" s="11">
        <f>Input!$Y$23+ROUND((Input!$T$23*G1C!D28),2)</f>
        <v>461.97</v>
      </c>
      <c r="G28" s="11">
        <f t="shared" si="0"/>
        <v>0</v>
      </c>
      <c r="H28" s="12">
        <f t="shared" si="1"/>
        <v>0</v>
      </c>
      <c r="I28" s="11">
        <f>ROUND(D28*SUM(Input!$O$23:$R$23),2)</f>
        <v>593.33000000000004</v>
      </c>
      <c r="J28" s="11">
        <f t="shared" si="2"/>
        <v>1055.3000000000002</v>
      </c>
      <c r="K28" s="11">
        <f t="shared" si="3"/>
        <v>1055.3000000000002</v>
      </c>
      <c r="L28" s="12">
        <f t="shared" si="4"/>
        <v>0</v>
      </c>
    </row>
    <row r="29" spans="1:12" x14ac:dyDescent="0.3">
      <c r="A29" s="111">
        <v>10</v>
      </c>
      <c r="D29" s="77">
        <v>140</v>
      </c>
      <c r="E29" s="11">
        <f>Input!$H$23+ROUND((Input!$C$23*G1C!D29),2)</f>
        <v>527.24</v>
      </c>
      <c r="F29" s="11">
        <f>Input!$Y$23+ROUND((Input!$T$23*G1C!D29),2)</f>
        <v>527.24</v>
      </c>
      <c r="G29" s="11">
        <f t="shared" si="0"/>
        <v>0</v>
      </c>
      <c r="H29" s="12">
        <f t="shared" si="1"/>
        <v>0</v>
      </c>
      <c r="I29" s="11">
        <f>ROUND(D29*SUM(Input!$O$23:$R$23),2)</f>
        <v>692.22</v>
      </c>
      <c r="J29" s="11">
        <f t="shared" si="2"/>
        <v>1219.46</v>
      </c>
      <c r="K29" s="11">
        <f t="shared" si="3"/>
        <v>1219.46</v>
      </c>
      <c r="L29" s="12">
        <f t="shared" si="4"/>
        <v>0</v>
      </c>
    </row>
    <row r="30" spans="1:12" x14ac:dyDescent="0.3">
      <c r="A30" s="111">
        <v>11</v>
      </c>
      <c r="D30" s="77">
        <v>160</v>
      </c>
      <c r="E30" s="11">
        <f>Input!$H$23+ROUND((Input!$C$23*G1C!D30),2)</f>
        <v>592.52</v>
      </c>
      <c r="F30" s="11">
        <f>Input!$Y$23+ROUND((Input!$T$23*G1C!D30),2)</f>
        <v>592.52</v>
      </c>
      <c r="G30" s="11">
        <f t="shared" si="0"/>
        <v>0</v>
      </c>
      <c r="H30" s="12">
        <f t="shared" si="1"/>
        <v>0</v>
      </c>
      <c r="I30" s="11">
        <f>ROUND(D30*SUM(Input!$O$23:$R$23),2)</f>
        <v>791.1</v>
      </c>
      <c r="J30" s="11">
        <f t="shared" si="2"/>
        <v>1383.62</v>
      </c>
      <c r="K30" s="11">
        <f t="shared" si="3"/>
        <v>1383.62</v>
      </c>
      <c r="L30" s="12">
        <f t="shared" si="4"/>
        <v>0</v>
      </c>
    </row>
    <row r="31" spans="1:12" x14ac:dyDescent="0.3">
      <c r="A31" s="111">
        <v>12</v>
      </c>
      <c r="D31" s="77">
        <v>180</v>
      </c>
      <c r="E31" s="11">
        <f>Input!$H$23+ROUND((Input!$C$23*G1C!D31),2)</f>
        <v>657.79000000000008</v>
      </c>
      <c r="F31" s="11">
        <f>Input!$Y$23+ROUND((Input!$T$23*G1C!D31),2)</f>
        <v>657.79000000000008</v>
      </c>
      <c r="G31" s="11">
        <f t="shared" si="0"/>
        <v>0</v>
      </c>
      <c r="H31" s="12">
        <f t="shared" si="1"/>
        <v>0</v>
      </c>
      <c r="I31" s="11">
        <f>ROUND(D31*SUM(Input!$O$23:$R$23),2)</f>
        <v>889.99</v>
      </c>
      <c r="J31" s="11">
        <f t="shared" si="2"/>
        <v>1547.7800000000002</v>
      </c>
      <c r="K31" s="11">
        <f t="shared" si="3"/>
        <v>1547.7800000000002</v>
      </c>
      <c r="L31" s="12">
        <f t="shared" si="4"/>
        <v>0</v>
      </c>
    </row>
    <row r="32" spans="1:12" x14ac:dyDescent="0.3">
      <c r="A32" s="111"/>
      <c r="D32" s="13"/>
      <c r="E32" s="13"/>
      <c r="F32" s="13"/>
      <c r="G32" s="13"/>
      <c r="H32" s="13"/>
      <c r="I32" s="13"/>
      <c r="J32" s="13"/>
      <c r="K32" s="13"/>
      <c r="L32" s="13"/>
    </row>
    <row r="33" spans="1:5" x14ac:dyDescent="0.3">
      <c r="A33" s="14"/>
      <c r="C33" s="3" t="s">
        <v>102</v>
      </c>
      <c r="E33" s="70">
        <f>Input!AE23</f>
        <v>0</v>
      </c>
    </row>
    <row r="34" spans="1:5" x14ac:dyDescent="0.3">
      <c r="C34" s="3" t="s">
        <v>154</v>
      </c>
    </row>
    <row r="36" spans="1:5" x14ac:dyDescent="0.3">
      <c r="D36" s="80"/>
    </row>
  </sheetData>
  <mergeCells count="5">
    <mergeCell ref="A1:L1"/>
    <mergeCell ref="A2:L2"/>
    <mergeCell ref="A4:L4"/>
    <mergeCell ref="A5:L5"/>
    <mergeCell ref="A3:L3"/>
  </mergeCells>
  <phoneticPr fontId="0" type="noConversion"/>
  <printOptions horizontalCentered="1"/>
  <pageMargins left="0.75" right="0.75" top="1" bottom="0.75" header="0.5" footer="0.5"/>
  <pageSetup scale="97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36"/>
  <sheetViews>
    <sheetView zoomScaleNormal="100" workbookViewId="0">
      <selection activeCell="A9" sqref="A9"/>
    </sheetView>
  </sheetViews>
  <sheetFormatPr defaultColWidth="9.08203125" defaultRowHeight="13" x14ac:dyDescent="0.3"/>
  <cols>
    <col min="1" max="1" width="9.08203125" style="3"/>
    <col min="2" max="2" width="10.33203125" style="3" customWidth="1"/>
    <col min="3" max="3" width="9.58203125" style="3" customWidth="1"/>
    <col min="4" max="10" width="9.08203125" style="3"/>
    <col min="11" max="12" width="10.33203125" style="3" customWidth="1"/>
    <col min="13" max="16384" width="9.08203125" style="3"/>
  </cols>
  <sheetData>
    <row r="1" spans="1:12" x14ac:dyDescent="0.3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x14ac:dyDescent="0.3">
      <c r="A2" s="118" t="str">
        <f>Input!$B$13</f>
        <v>CASE NO. 2021-00183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x14ac:dyDescent="0.3">
      <c r="A3" s="118" t="s">
        <v>40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x14ac:dyDescent="0.3">
      <c r="A4" s="118" t="s">
        <v>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x14ac:dyDescent="0.3">
      <c r="A5" s="118" t="str">
        <f>Input!B17</f>
        <v>TWELVE MONTHS ENDING DECEMBER 31, 2022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x14ac:dyDescent="0.3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x14ac:dyDescent="0.3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x14ac:dyDescent="0.3">
      <c r="A8" s="3" t="s">
        <v>113</v>
      </c>
      <c r="L8" s="13" t="s">
        <v>3</v>
      </c>
    </row>
    <row r="9" spans="1:12" x14ac:dyDescent="0.3">
      <c r="A9" s="1" t="s">
        <v>158</v>
      </c>
      <c r="L9" s="13" t="s">
        <v>126</v>
      </c>
    </row>
    <row r="10" spans="1:12" x14ac:dyDescent="0.3">
      <c r="A10" s="23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 t="str">
        <f>Input!B15</f>
        <v>Witness: JUDITH L. SIEGLER</v>
      </c>
    </row>
    <row r="13" spans="1:12" x14ac:dyDescent="0.3">
      <c r="D13" s="111"/>
      <c r="E13" s="111"/>
      <c r="F13" s="111"/>
      <c r="G13" s="111"/>
      <c r="H13" s="111"/>
      <c r="I13" s="111"/>
      <c r="J13" s="111" t="s">
        <v>29</v>
      </c>
      <c r="K13" s="111" t="s">
        <v>29</v>
      </c>
      <c r="L13" s="111"/>
    </row>
    <row r="14" spans="1:12" x14ac:dyDescent="0.3">
      <c r="A14" s="111" t="s">
        <v>4</v>
      </c>
      <c r="B14" s="111" t="s">
        <v>6</v>
      </c>
      <c r="C14" s="111" t="s">
        <v>8</v>
      </c>
      <c r="D14" s="111" t="s">
        <v>8</v>
      </c>
      <c r="E14" s="111" t="s">
        <v>14</v>
      </c>
      <c r="F14" s="111" t="s">
        <v>18</v>
      </c>
      <c r="G14" s="111" t="s">
        <v>20</v>
      </c>
      <c r="H14" s="111" t="s">
        <v>20</v>
      </c>
      <c r="I14" s="111" t="s">
        <v>26</v>
      </c>
      <c r="J14" s="111" t="s">
        <v>14</v>
      </c>
      <c r="K14" s="111" t="s">
        <v>18</v>
      </c>
      <c r="L14" s="111" t="s">
        <v>33</v>
      </c>
    </row>
    <row r="15" spans="1:12" x14ac:dyDescent="0.3">
      <c r="A15" s="72" t="s">
        <v>5</v>
      </c>
      <c r="B15" s="72" t="s">
        <v>7</v>
      </c>
      <c r="C15" s="72" t="s">
        <v>9</v>
      </c>
      <c r="D15" s="72" t="s">
        <v>10</v>
      </c>
      <c r="E15" s="72" t="s">
        <v>15</v>
      </c>
      <c r="F15" s="72" t="s">
        <v>15</v>
      </c>
      <c r="G15" s="73" t="s">
        <v>21</v>
      </c>
      <c r="H15" s="73" t="s">
        <v>23</v>
      </c>
      <c r="I15" s="72" t="s">
        <v>27</v>
      </c>
      <c r="J15" s="72" t="s">
        <v>15</v>
      </c>
      <c r="K15" s="72" t="s">
        <v>15</v>
      </c>
      <c r="L15" s="72" t="s">
        <v>20</v>
      </c>
    </row>
    <row r="16" spans="1:12" x14ac:dyDescent="0.3">
      <c r="D16" s="10" t="s">
        <v>12</v>
      </c>
      <c r="E16" s="10" t="s">
        <v>16</v>
      </c>
      <c r="F16" s="10" t="s">
        <v>16</v>
      </c>
      <c r="G16" s="10" t="s">
        <v>16</v>
      </c>
      <c r="H16" s="10" t="s">
        <v>24</v>
      </c>
      <c r="I16" s="10" t="s">
        <v>16</v>
      </c>
      <c r="J16" s="10" t="s">
        <v>16</v>
      </c>
      <c r="K16" s="10" t="s">
        <v>16</v>
      </c>
      <c r="L16" s="10" t="s">
        <v>24</v>
      </c>
    </row>
    <row r="17" spans="1:12" x14ac:dyDescent="0.3">
      <c r="C17" s="10" t="s">
        <v>11</v>
      </c>
      <c r="D17" s="10" t="s">
        <v>13</v>
      </c>
      <c r="E17" s="10" t="s">
        <v>17</v>
      </c>
      <c r="F17" s="10" t="s">
        <v>19</v>
      </c>
      <c r="G17" s="10" t="s">
        <v>22</v>
      </c>
      <c r="H17" s="10" t="s">
        <v>25</v>
      </c>
      <c r="I17" s="10" t="s">
        <v>28</v>
      </c>
      <c r="J17" s="10" t="s">
        <v>30</v>
      </c>
      <c r="K17" s="10" t="s">
        <v>31</v>
      </c>
      <c r="L17" s="10" t="s">
        <v>32</v>
      </c>
    </row>
    <row r="18" spans="1:12" x14ac:dyDescent="0.3">
      <c r="D18" s="111"/>
      <c r="E18" s="111"/>
      <c r="F18" s="111"/>
      <c r="G18" s="111"/>
      <c r="H18" s="111"/>
      <c r="I18" s="111"/>
      <c r="J18" s="10" t="s">
        <v>34</v>
      </c>
      <c r="K18" s="10" t="s">
        <v>35</v>
      </c>
      <c r="L18" s="10" t="s">
        <v>36</v>
      </c>
    </row>
    <row r="19" spans="1:12" x14ac:dyDescent="0.3">
      <c r="A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x14ac:dyDescent="0.3">
      <c r="A20" s="111">
        <v>1</v>
      </c>
      <c r="B20" s="111" t="s">
        <v>45</v>
      </c>
      <c r="C20" s="111" t="s">
        <v>38</v>
      </c>
      <c r="D20" s="77">
        <v>1</v>
      </c>
      <c r="E20" s="11">
        <f>Input!$H$24+ROUND((Input!$C$24*G1R!D20),2)</f>
        <v>26.22</v>
      </c>
      <c r="F20" s="11">
        <f>Input!$Y$24+ROUND((Input!$T$24*G1R!D20),2)</f>
        <v>26.22</v>
      </c>
      <c r="G20" s="11">
        <f>F20-E20</f>
        <v>0</v>
      </c>
      <c r="H20" s="12">
        <f>ROUND(G20/E20,3)</f>
        <v>0</v>
      </c>
      <c r="I20" s="11">
        <f>ROUND(D20*SUM(Input!$O$24:$R$24),2)</f>
        <v>4.9400000000000004</v>
      </c>
      <c r="J20" s="11">
        <f>E20+I20</f>
        <v>31.16</v>
      </c>
      <c r="K20" s="11">
        <f>F20+I20</f>
        <v>31.16</v>
      </c>
      <c r="L20" s="12">
        <f>ROUND((K20-J20)/J20,3)</f>
        <v>0</v>
      </c>
    </row>
    <row r="21" spans="1:12" x14ac:dyDescent="0.3">
      <c r="A21" s="111">
        <v>2</v>
      </c>
      <c r="B21" s="111" t="s">
        <v>54</v>
      </c>
      <c r="C21" s="111" t="s">
        <v>39</v>
      </c>
      <c r="D21" s="77">
        <v>3</v>
      </c>
      <c r="E21" s="11">
        <f>Input!$H$24+ROUND((Input!$C$24*G1R!D21),2)</f>
        <v>34.019999999999996</v>
      </c>
      <c r="F21" s="11">
        <f>Input!$Y$24+ROUND((Input!$T$24*G1R!D21),2)</f>
        <v>34.019999999999996</v>
      </c>
      <c r="G21" s="11">
        <f t="shared" ref="G21:G31" si="0">F21-E21</f>
        <v>0</v>
      </c>
      <c r="H21" s="12">
        <f t="shared" ref="H21:H31" si="1">ROUND(G21/E21,3)</f>
        <v>0</v>
      </c>
      <c r="I21" s="11">
        <f>ROUND(D21*SUM(Input!$O$24:$R$24),2)</f>
        <v>14.83</v>
      </c>
      <c r="J21" s="11">
        <f t="shared" ref="J21:J31" si="2">E21+I21</f>
        <v>48.849999999999994</v>
      </c>
      <c r="K21" s="11">
        <f t="shared" ref="K21:K31" si="3">F21+I21</f>
        <v>48.849999999999994</v>
      </c>
      <c r="L21" s="12">
        <f t="shared" ref="L21:L31" si="4">ROUND((K21-J21)/J21,3)</f>
        <v>0</v>
      </c>
    </row>
    <row r="22" spans="1:12" x14ac:dyDescent="0.3">
      <c r="A22" s="111">
        <v>3</v>
      </c>
      <c r="B22" s="111" t="s">
        <v>37</v>
      </c>
      <c r="D22" s="77">
        <v>6</v>
      </c>
      <c r="E22" s="11">
        <f>Input!$H$24+ROUND((Input!$C$24*G1R!D22),2)</f>
        <v>45.730000000000004</v>
      </c>
      <c r="F22" s="11">
        <f>Input!$Y$24+ROUND((Input!$T$24*G1R!D22),2)</f>
        <v>45.730000000000004</v>
      </c>
      <c r="G22" s="11">
        <f t="shared" si="0"/>
        <v>0</v>
      </c>
      <c r="H22" s="12">
        <f t="shared" si="1"/>
        <v>0</v>
      </c>
      <c r="I22" s="11">
        <f>ROUND(D22*SUM(Input!$O$24:$R$24),2)</f>
        <v>29.67</v>
      </c>
      <c r="J22" s="11">
        <f t="shared" si="2"/>
        <v>75.400000000000006</v>
      </c>
      <c r="K22" s="11">
        <f t="shared" si="3"/>
        <v>75.400000000000006</v>
      </c>
      <c r="L22" s="12">
        <f t="shared" si="4"/>
        <v>0</v>
      </c>
    </row>
    <row r="23" spans="1:12" x14ac:dyDescent="0.3">
      <c r="A23" s="111">
        <v>4</v>
      </c>
      <c r="B23" s="111"/>
      <c r="D23" s="77">
        <f>+E33</f>
        <v>9.4</v>
      </c>
      <c r="E23" s="11">
        <f>Input!$H$24+ROUND((Input!$C$24*G1R!D23),2)</f>
        <v>58.99</v>
      </c>
      <c r="F23" s="11">
        <f>Input!$Y$24+ROUND((Input!$T$24*G1R!D23),2)</f>
        <v>58.99</v>
      </c>
      <c r="G23" s="11">
        <f t="shared" si="0"/>
        <v>0</v>
      </c>
      <c r="H23" s="12">
        <f t="shared" si="1"/>
        <v>0</v>
      </c>
      <c r="I23" s="11">
        <f>ROUND(D23*SUM(Input!$O$24:$R$24),2)</f>
        <v>46.48</v>
      </c>
      <c r="J23" s="11">
        <f t="shared" si="2"/>
        <v>105.47</v>
      </c>
      <c r="K23" s="11">
        <f t="shared" si="3"/>
        <v>105.47</v>
      </c>
      <c r="L23" s="12">
        <f t="shared" si="4"/>
        <v>0</v>
      </c>
    </row>
    <row r="24" spans="1:12" x14ac:dyDescent="0.3">
      <c r="A24" s="111">
        <v>5</v>
      </c>
      <c r="B24" s="111"/>
      <c r="D24" s="77">
        <v>10</v>
      </c>
      <c r="E24" s="11">
        <f>Input!$H$24+ROUND((Input!$C$24*G1R!D24),2)</f>
        <v>61.33</v>
      </c>
      <c r="F24" s="11">
        <f>Input!$Y$24+ROUND((Input!$T$24*G1R!D24),2)</f>
        <v>61.33</v>
      </c>
      <c r="G24" s="11">
        <f t="shared" si="0"/>
        <v>0</v>
      </c>
      <c r="H24" s="12">
        <f t="shared" si="1"/>
        <v>0</v>
      </c>
      <c r="I24" s="11">
        <f>ROUND(D24*SUM(Input!$O$24:$R$24),2)</f>
        <v>49.44</v>
      </c>
      <c r="J24" s="11">
        <f t="shared" si="2"/>
        <v>110.77</v>
      </c>
      <c r="K24" s="11">
        <f t="shared" si="3"/>
        <v>110.77</v>
      </c>
      <c r="L24" s="12">
        <f t="shared" si="4"/>
        <v>0</v>
      </c>
    </row>
    <row r="25" spans="1:12" x14ac:dyDescent="0.3">
      <c r="A25" s="111">
        <v>6</v>
      </c>
      <c r="B25" s="112"/>
      <c r="D25" s="77">
        <v>12</v>
      </c>
      <c r="E25" s="11">
        <f>Input!$H$24+ROUND((Input!$C$24*G1R!D25),2)</f>
        <v>69.13</v>
      </c>
      <c r="F25" s="11">
        <f>Input!$Y$24+ROUND((Input!$T$24*G1R!D25),2)</f>
        <v>69.13</v>
      </c>
      <c r="G25" s="11">
        <f t="shared" si="0"/>
        <v>0</v>
      </c>
      <c r="H25" s="12">
        <f t="shared" si="1"/>
        <v>0</v>
      </c>
      <c r="I25" s="11">
        <f>ROUND(D25*SUM(Input!$O$24:$R$24),2)</f>
        <v>59.33</v>
      </c>
      <c r="J25" s="11">
        <f t="shared" si="2"/>
        <v>128.45999999999998</v>
      </c>
      <c r="K25" s="11">
        <f t="shared" si="3"/>
        <v>128.45999999999998</v>
      </c>
      <c r="L25" s="12">
        <f t="shared" si="4"/>
        <v>0</v>
      </c>
    </row>
    <row r="26" spans="1:12" x14ac:dyDescent="0.3">
      <c r="A26" s="111">
        <v>7</v>
      </c>
      <c r="B26" s="112"/>
      <c r="D26" s="77">
        <v>14</v>
      </c>
      <c r="E26" s="11">
        <f>Input!$H$24+ROUND((Input!$C$24*G1R!D26),2)</f>
        <v>76.930000000000007</v>
      </c>
      <c r="F26" s="11">
        <f>Input!$Y$24+ROUND((Input!$T$24*G1R!D26),2)</f>
        <v>76.930000000000007</v>
      </c>
      <c r="G26" s="11">
        <f>F26-E26</f>
        <v>0</v>
      </c>
      <c r="H26" s="12">
        <f t="shared" si="1"/>
        <v>0</v>
      </c>
      <c r="I26" s="11">
        <f>ROUND(D26*SUM(Input!$O$24:$R$24),2)</f>
        <v>69.22</v>
      </c>
      <c r="J26" s="11">
        <f>E26+I26</f>
        <v>146.15</v>
      </c>
      <c r="K26" s="11">
        <f>F26+I26</f>
        <v>146.15</v>
      </c>
      <c r="L26" s="12">
        <f t="shared" si="4"/>
        <v>0</v>
      </c>
    </row>
    <row r="27" spans="1:12" x14ac:dyDescent="0.3">
      <c r="A27" s="111">
        <v>8</v>
      </c>
      <c r="D27" s="77">
        <v>16</v>
      </c>
      <c r="E27" s="11">
        <f>Input!$H$24+ROUND((Input!$C$24*G1R!D27),2)</f>
        <v>84.740000000000009</v>
      </c>
      <c r="F27" s="11">
        <f>Input!$Y$24+ROUND((Input!$T$24*G1R!D27),2)</f>
        <v>84.740000000000009</v>
      </c>
      <c r="G27" s="11">
        <f t="shared" si="0"/>
        <v>0</v>
      </c>
      <c r="H27" s="12">
        <f t="shared" si="1"/>
        <v>0</v>
      </c>
      <c r="I27" s="11">
        <f>ROUND(D27*SUM(Input!$O$24:$R$24),2)</f>
        <v>79.11</v>
      </c>
      <c r="J27" s="11">
        <f t="shared" si="2"/>
        <v>163.85000000000002</v>
      </c>
      <c r="K27" s="11">
        <f t="shared" si="3"/>
        <v>163.85000000000002</v>
      </c>
      <c r="L27" s="12">
        <f t="shared" si="4"/>
        <v>0</v>
      </c>
    </row>
    <row r="28" spans="1:12" x14ac:dyDescent="0.3">
      <c r="A28" s="111">
        <v>9</v>
      </c>
      <c r="D28" s="77">
        <v>20</v>
      </c>
      <c r="E28" s="11">
        <f>Input!$H$24+ROUND((Input!$C$24*G1R!D28),2)</f>
        <v>100.34</v>
      </c>
      <c r="F28" s="11">
        <f>Input!$Y$24+ROUND((Input!$T$24*G1R!D28),2)</f>
        <v>100.34</v>
      </c>
      <c r="G28" s="11">
        <f t="shared" si="0"/>
        <v>0</v>
      </c>
      <c r="H28" s="12">
        <f t="shared" si="1"/>
        <v>0</v>
      </c>
      <c r="I28" s="11">
        <f>ROUND(D28*SUM(Input!$O$24:$R$24),2)</f>
        <v>98.89</v>
      </c>
      <c r="J28" s="11">
        <f t="shared" si="2"/>
        <v>199.23000000000002</v>
      </c>
      <c r="K28" s="11">
        <f t="shared" si="3"/>
        <v>199.23000000000002</v>
      </c>
      <c r="L28" s="12">
        <f t="shared" si="4"/>
        <v>0</v>
      </c>
    </row>
    <row r="29" spans="1:12" x14ac:dyDescent="0.3">
      <c r="A29" s="111">
        <v>10</v>
      </c>
      <c r="D29" s="77">
        <v>30</v>
      </c>
      <c r="E29" s="11">
        <f>Input!$H$24+ROUND((Input!$C$24*G1R!D29),2)</f>
        <v>139.35</v>
      </c>
      <c r="F29" s="11">
        <f>Input!$Y$24+ROUND((Input!$T$24*G1R!D29),2)</f>
        <v>139.35</v>
      </c>
      <c r="G29" s="11">
        <f t="shared" si="0"/>
        <v>0</v>
      </c>
      <c r="H29" s="12">
        <f t="shared" si="1"/>
        <v>0</v>
      </c>
      <c r="I29" s="11">
        <f>ROUND(D29*SUM(Input!$O$24:$R$24),2)</f>
        <v>148.33000000000001</v>
      </c>
      <c r="J29" s="11">
        <f t="shared" si="2"/>
        <v>287.68</v>
      </c>
      <c r="K29" s="11">
        <f t="shared" si="3"/>
        <v>287.68</v>
      </c>
      <c r="L29" s="12">
        <f t="shared" si="4"/>
        <v>0</v>
      </c>
    </row>
    <row r="30" spans="1:12" x14ac:dyDescent="0.3">
      <c r="A30" s="111">
        <v>11</v>
      </c>
      <c r="D30" s="77">
        <v>40</v>
      </c>
      <c r="E30" s="11">
        <f>Input!$H$24+ROUND((Input!$C$24*G1R!D30),2)</f>
        <v>178.35999999999999</v>
      </c>
      <c r="F30" s="11">
        <f>Input!$Y$24+ROUND((Input!$T$24*G1R!D30),2)</f>
        <v>178.35999999999999</v>
      </c>
      <c r="G30" s="11">
        <f t="shared" si="0"/>
        <v>0</v>
      </c>
      <c r="H30" s="12">
        <f t="shared" si="1"/>
        <v>0</v>
      </c>
      <c r="I30" s="11">
        <f>ROUND(D30*SUM(Input!$O$24:$R$24),2)</f>
        <v>197.78</v>
      </c>
      <c r="J30" s="11">
        <f t="shared" si="2"/>
        <v>376.14</v>
      </c>
      <c r="K30" s="11">
        <f t="shared" si="3"/>
        <v>376.14</v>
      </c>
      <c r="L30" s="12">
        <f t="shared" si="4"/>
        <v>0</v>
      </c>
    </row>
    <row r="31" spans="1:12" x14ac:dyDescent="0.3">
      <c r="A31" s="111">
        <v>12</v>
      </c>
      <c r="D31" s="77">
        <v>50</v>
      </c>
      <c r="E31" s="11">
        <f>Input!$H$24+ROUND((Input!$C$24*G1R!D31),2)</f>
        <v>217.37</v>
      </c>
      <c r="F31" s="11">
        <f>Input!$Y$24+ROUND((Input!$T$24*G1R!D31),2)</f>
        <v>217.37</v>
      </c>
      <c r="G31" s="11">
        <f t="shared" si="0"/>
        <v>0</v>
      </c>
      <c r="H31" s="12">
        <f t="shared" si="1"/>
        <v>0</v>
      </c>
      <c r="I31" s="11">
        <f>ROUND(D31*SUM(Input!$O$24:$R$24),2)</f>
        <v>247.22</v>
      </c>
      <c r="J31" s="11">
        <f t="shared" si="2"/>
        <v>464.59000000000003</v>
      </c>
      <c r="K31" s="11">
        <f t="shared" si="3"/>
        <v>464.59000000000003</v>
      </c>
      <c r="L31" s="12">
        <f t="shared" si="4"/>
        <v>0</v>
      </c>
    </row>
    <row r="32" spans="1:12" x14ac:dyDescent="0.3">
      <c r="A32" s="111"/>
      <c r="D32" s="111"/>
      <c r="E32" s="111"/>
      <c r="F32" s="111"/>
      <c r="G32" s="111"/>
      <c r="H32" s="111"/>
      <c r="I32" s="111"/>
      <c r="J32" s="19"/>
      <c r="K32" s="19"/>
      <c r="L32" s="111"/>
    </row>
    <row r="33" spans="1:5" x14ac:dyDescent="0.3">
      <c r="A33" s="14"/>
      <c r="C33" s="3" t="s">
        <v>102</v>
      </c>
      <c r="E33" s="70">
        <f>Input!AE24</f>
        <v>9.4</v>
      </c>
    </row>
    <row r="36" spans="1:5" x14ac:dyDescent="0.3">
      <c r="D36" s="80"/>
    </row>
  </sheetData>
  <mergeCells count="5">
    <mergeCell ref="A1:L1"/>
    <mergeCell ref="A2:L2"/>
    <mergeCell ref="A4:L4"/>
    <mergeCell ref="A5:L5"/>
    <mergeCell ref="A3:L3"/>
  </mergeCells>
  <phoneticPr fontId="0" type="noConversion"/>
  <printOptions horizontalCentered="1"/>
  <pageMargins left="0.75" right="0.75" top="1" bottom="0.75" header="0.5" footer="0.5"/>
  <pageSetup scale="96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37"/>
  <sheetViews>
    <sheetView zoomScaleNormal="100" workbookViewId="0">
      <selection activeCell="A9" sqref="A9"/>
    </sheetView>
  </sheetViews>
  <sheetFormatPr defaultColWidth="9.08203125" defaultRowHeight="13" x14ac:dyDescent="0.3"/>
  <cols>
    <col min="1" max="1" width="9.08203125" style="3"/>
    <col min="2" max="2" width="12" style="3" customWidth="1"/>
    <col min="3" max="3" width="9.58203125" style="3" customWidth="1"/>
    <col min="4" max="10" width="9.08203125" style="3"/>
    <col min="11" max="12" width="10.33203125" style="3" customWidth="1"/>
    <col min="13" max="16384" width="9.08203125" style="3"/>
  </cols>
  <sheetData>
    <row r="1" spans="1:12" x14ac:dyDescent="0.3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x14ac:dyDescent="0.3">
      <c r="A2" s="118" t="str">
        <f>Input!$B$13</f>
        <v>CASE NO. 2021-00183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x14ac:dyDescent="0.3">
      <c r="A3" s="118" t="s">
        <v>40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x14ac:dyDescent="0.3">
      <c r="A4" s="118" t="s">
        <v>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x14ac:dyDescent="0.3">
      <c r="A5" s="118" t="str">
        <f>Input!B17</f>
        <v>TWELVE MONTHS ENDING DECEMBER 31, 2022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x14ac:dyDescent="0.3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x14ac:dyDescent="0.3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x14ac:dyDescent="0.3">
      <c r="A8" s="3" t="s">
        <v>113</v>
      </c>
      <c r="L8" s="13" t="s">
        <v>3</v>
      </c>
    </row>
    <row r="9" spans="1:12" x14ac:dyDescent="0.3">
      <c r="A9" s="1" t="s">
        <v>158</v>
      </c>
      <c r="L9" s="13" t="s">
        <v>127</v>
      </c>
    </row>
    <row r="10" spans="1:12" x14ac:dyDescent="0.3">
      <c r="A10" s="23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 t="str">
        <f>Input!B15</f>
        <v>Witness: JUDITH L. SIEGLER</v>
      </c>
    </row>
    <row r="13" spans="1:12" x14ac:dyDescent="0.3">
      <c r="D13" s="111"/>
      <c r="E13" s="111"/>
      <c r="F13" s="111"/>
      <c r="G13" s="111"/>
      <c r="H13" s="111"/>
      <c r="I13" s="111"/>
      <c r="J13" s="111" t="s">
        <v>29</v>
      </c>
      <c r="K13" s="111" t="s">
        <v>29</v>
      </c>
      <c r="L13" s="111"/>
    </row>
    <row r="14" spans="1:12" x14ac:dyDescent="0.3">
      <c r="A14" s="111" t="s">
        <v>4</v>
      </c>
      <c r="B14" s="111" t="s">
        <v>6</v>
      </c>
      <c r="C14" s="111" t="s">
        <v>8</v>
      </c>
      <c r="D14" s="111" t="s">
        <v>8</v>
      </c>
      <c r="E14" s="111" t="s">
        <v>14</v>
      </c>
      <c r="F14" s="111" t="s">
        <v>18</v>
      </c>
      <c r="G14" s="111" t="s">
        <v>20</v>
      </c>
      <c r="H14" s="111" t="s">
        <v>20</v>
      </c>
      <c r="I14" s="111" t="s">
        <v>26</v>
      </c>
      <c r="J14" s="111" t="s">
        <v>14</v>
      </c>
      <c r="K14" s="111" t="s">
        <v>18</v>
      </c>
      <c r="L14" s="111" t="s">
        <v>33</v>
      </c>
    </row>
    <row r="15" spans="1:12" x14ac:dyDescent="0.3">
      <c r="A15" s="72" t="s">
        <v>5</v>
      </c>
      <c r="B15" s="72" t="s">
        <v>7</v>
      </c>
      <c r="C15" s="72" t="s">
        <v>9</v>
      </c>
      <c r="D15" s="72" t="s">
        <v>10</v>
      </c>
      <c r="E15" s="72" t="s">
        <v>15</v>
      </c>
      <c r="F15" s="72" t="s">
        <v>15</v>
      </c>
      <c r="G15" s="73" t="s">
        <v>21</v>
      </c>
      <c r="H15" s="73" t="s">
        <v>23</v>
      </c>
      <c r="I15" s="72" t="s">
        <v>27</v>
      </c>
      <c r="J15" s="72" t="s">
        <v>15</v>
      </c>
      <c r="K15" s="72" t="s">
        <v>15</v>
      </c>
      <c r="L15" s="72" t="s">
        <v>20</v>
      </c>
    </row>
    <row r="16" spans="1:12" x14ac:dyDescent="0.3">
      <c r="D16" s="10" t="s">
        <v>12</v>
      </c>
      <c r="E16" s="10" t="s">
        <v>16</v>
      </c>
      <c r="F16" s="10" t="s">
        <v>16</v>
      </c>
      <c r="G16" s="10" t="s">
        <v>16</v>
      </c>
      <c r="H16" s="10" t="s">
        <v>24</v>
      </c>
      <c r="I16" s="10" t="s">
        <v>16</v>
      </c>
      <c r="J16" s="10" t="s">
        <v>16</v>
      </c>
      <c r="K16" s="10" t="s">
        <v>16</v>
      </c>
      <c r="L16" s="10" t="s">
        <v>24</v>
      </c>
    </row>
    <row r="17" spans="1:12" x14ac:dyDescent="0.3">
      <c r="C17" s="10" t="s">
        <v>11</v>
      </c>
      <c r="D17" s="10" t="s">
        <v>13</v>
      </c>
      <c r="E17" s="10" t="s">
        <v>17</v>
      </c>
      <c r="F17" s="10" t="s">
        <v>19</v>
      </c>
      <c r="G17" s="10" t="s">
        <v>22</v>
      </c>
      <c r="H17" s="10" t="s">
        <v>25</v>
      </c>
      <c r="I17" s="10" t="s">
        <v>28</v>
      </c>
      <c r="J17" s="10" t="s">
        <v>30</v>
      </c>
      <c r="K17" s="10" t="s">
        <v>31</v>
      </c>
      <c r="L17" s="10" t="s">
        <v>32</v>
      </c>
    </row>
    <row r="18" spans="1:12" x14ac:dyDescent="0.3">
      <c r="D18" s="111"/>
      <c r="E18" s="111"/>
      <c r="F18" s="111"/>
      <c r="G18" s="111"/>
      <c r="H18" s="111"/>
      <c r="I18" s="111"/>
      <c r="J18" s="10" t="s">
        <v>34</v>
      </c>
      <c r="K18" s="10" t="s">
        <v>35</v>
      </c>
      <c r="L18" s="10" t="s">
        <v>36</v>
      </c>
    </row>
    <row r="19" spans="1:12" x14ac:dyDescent="0.3">
      <c r="A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x14ac:dyDescent="0.3">
      <c r="A20" s="111">
        <v>1</v>
      </c>
      <c r="B20" s="111" t="s">
        <v>46</v>
      </c>
      <c r="C20" s="111" t="s">
        <v>38</v>
      </c>
      <c r="D20" s="77">
        <v>3</v>
      </c>
      <c r="E20" s="11">
        <f>Input!$H$25+ROUND(Input!$C$25*IN3R!D20,2)+ROUND(D20*Input!$N$25,2)</f>
        <v>1.2</v>
      </c>
      <c r="F20" s="11">
        <f>Input!$Y$25+ROUND(Input!$T$25*IN3R!D20,2)+ROUND(Input!$N$25*IN3R!D20,2)</f>
        <v>1.2</v>
      </c>
      <c r="G20" s="11">
        <f>F20-E20</f>
        <v>0</v>
      </c>
      <c r="H20" s="12">
        <f>ROUND(G20/E20,3)</f>
        <v>0</v>
      </c>
      <c r="I20" s="11">
        <f>ROUND(D20*SUM(Input!$O$25:$R$25),2)</f>
        <v>0</v>
      </c>
      <c r="J20" s="11">
        <f>E20+I20</f>
        <v>1.2</v>
      </c>
      <c r="K20" s="11">
        <f>F20+I20</f>
        <v>1.2</v>
      </c>
      <c r="L20" s="12">
        <f>ROUND((K20-J20)/J20,3)</f>
        <v>0</v>
      </c>
    </row>
    <row r="21" spans="1:12" x14ac:dyDescent="0.3">
      <c r="A21" s="111">
        <v>2</v>
      </c>
      <c r="B21" s="111" t="s">
        <v>56</v>
      </c>
      <c r="C21" s="111" t="s">
        <v>39</v>
      </c>
      <c r="D21" s="77">
        <v>5</v>
      </c>
      <c r="E21" s="11">
        <f>Input!$H$25+ROUND(Input!$C$25*IN3R!D21,2)+ROUND(D21*Input!$N$25,2)</f>
        <v>2</v>
      </c>
      <c r="F21" s="11">
        <f>Input!$Y$25+ROUND(Input!$T$25*IN3R!D21,2)+ROUND(Input!$N$25*IN3R!D21,2)</f>
        <v>2</v>
      </c>
      <c r="G21" s="11">
        <f>F21-E21</f>
        <v>0</v>
      </c>
      <c r="H21" s="12">
        <f t="shared" ref="H21:H31" si="0">ROUND(G21/E21,3)</f>
        <v>0</v>
      </c>
      <c r="I21" s="11">
        <f>ROUND(D21*SUM(Input!$O$25:$R$25),2)</f>
        <v>0</v>
      </c>
      <c r="J21" s="11">
        <f t="shared" ref="J21:J31" si="1">E21+I21</f>
        <v>2</v>
      </c>
      <c r="K21" s="11">
        <f>F21+I21</f>
        <v>2</v>
      </c>
      <c r="L21" s="12">
        <f t="shared" ref="L21:L31" si="2">ROUND((K21-J21)/J21,3)</f>
        <v>0</v>
      </c>
    </row>
    <row r="22" spans="1:12" x14ac:dyDescent="0.3">
      <c r="A22" s="111">
        <v>3</v>
      </c>
      <c r="B22" s="111" t="s">
        <v>26</v>
      </c>
      <c r="D22" s="77">
        <v>7</v>
      </c>
      <c r="E22" s="11">
        <f>Input!$H$25+ROUND(Input!$C$25*IN3R!D22,2)+ROUND(D22*Input!$N$25,2)</f>
        <v>2.8</v>
      </c>
      <c r="F22" s="11">
        <f>Input!$Y$25+ROUND(Input!$T$25*IN3R!D22,2)+ROUND(Input!$N$25*IN3R!D22,2)</f>
        <v>2.8</v>
      </c>
      <c r="G22" s="11">
        <f t="shared" ref="G22:G31" si="3">F22-E22</f>
        <v>0</v>
      </c>
      <c r="H22" s="12">
        <f t="shared" si="0"/>
        <v>0</v>
      </c>
      <c r="I22" s="11">
        <f>ROUND(D22*SUM(Input!$O$25:$R$25),2)</f>
        <v>0</v>
      </c>
      <c r="J22" s="11">
        <f t="shared" si="1"/>
        <v>2.8</v>
      </c>
      <c r="K22" s="11">
        <f t="shared" ref="K22:K31" si="4">F22+I22</f>
        <v>2.8</v>
      </c>
      <c r="L22" s="12">
        <f t="shared" si="2"/>
        <v>0</v>
      </c>
    </row>
    <row r="23" spans="1:12" x14ac:dyDescent="0.3">
      <c r="A23" s="111">
        <v>4</v>
      </c>
      <c r="B23" s="111" t="s">
        <v>42</v>
      </c>
      <c r="D23" s="77">
        <v>10</v>
      </c>
      <c r="E23" s="11">
        <f>Input!$H$25+ROUND(Input!$C$25*IN3R!D23,2)+ROUND(D23*Input!$N$25,2)</f>
        <v>4</v>
      </c>
      <c r="F23" s="11">
        <f>Input!$Y$25+ROUND(Input!$T$25*IN3R!D23,2)+ROUND(Input!$N$25*IN3R!D23,2)</f>
        <v>4</v>
      </c>
      <c r="G23" s="11">
        <f t="shared" si="3"/>
        <v>0</v>
      </c>
      <c r="H23" s="12">
        <f t="shared" si="0"/>
        <v>0</v>
      </c>
      <c r="I23" s="11">
        <f>ROUND(D23*SUM(Input!$O$25:$R$25),2)</f>
        <v>0</v>
      </c>
      <c r="J23" s="11">
        <f t="shared" si="1"/>
        <v>4</v>
      </c>
      <c r="K23" s="11">
        <f t="shared" si="4"/>
        <v>4</v>
      </c>
      <c r="L23" s="12">
        <f t="shared" si="2"/>
        <v>0</v>
      </c>
    </row>
    <row r="24" spans="1:12" x14ac:dyDescent="0.3">
      <c r="A24" s="111">
        <v>5</v>
      </c>
      <c r="B24" s="111" t="s">
        <v>43</v>
      </c>
      <c r="D24" s="77">
        <v>11</v>
      </c>
      <c r="E24" s="11">
        <f>Input!$H$25+ROUND(Input!$C$25*IN3R!D24,2)+ROUND(D24*Input!$N$25,2)</f>
        <v>4.4000000000000004</v>
      </c>
      <c r="F24" s="11">
        <f>Input!$Y$25+ROUND(Input!$T$25*IN3R!D24,2)+ROUND(Input!$N$25*IN3R!D24,2)</f>
        <v>4.4000000000000004</v>
      </c>
      <c r="G24" s="11">
        <f t="shared" si="3"/>
        <v>0</v>
      </c>
      <c r="H24" s="12">
        <f t="shared" si="0"/>
        <v>0</v>
      </c>
      <c r="I24" s="11">
        <f>ROUND(D24*SUM(Input!$O$25:$R$25),2)</f>
        <v>0</v>
      </c>
      <c r="J24" s="11">
        <f t="shared" si="1"/>
        <v>4.4000000000000004</v>
      </c>
      <c r="K24" s="11">
        <f t="shared" si="4"/>
        <v>4.4000000000000004</v>
      </c>
      <c r="L24" s="12">
        <f t="shared" si="2"/>
        <v>0</v>
      </c>
    </row>
    <row r="25" spans="1:12" x14ac:dyDescent="0.3">
      <c r="A25" s="111">
        <v>6</v>
      </c>
      <c r="B25" s="111" t="s">
        <v>110</v>
      </c>
      <c r="D25" s="77">
        <f>+E33</f>
        <v>11.5</v>
      </c>
      <c r="E25" s="11">
        <f>Input!$H$25+ROUND(Input!$C$25*IN3R!D25,2)+ROUND(D25*Input!$N$25,2)</f>
        <v>4.5999999999999996</v>
      </c>
      <c r="F25" s="11">
        <f>Input!$Y$25+ROUND(Input!$T$25*IN3R!D25,2)+ROUND(Input!$N$25*IN3R!D25,2)</f>
        <v>4.5999999999999996</v>
      </c>
      <c r="G25" s="11">
        <f>F25-E25</f>
        <v>0</v>
      </c>
      <c r="H25" s="12">
        <f t="shared" si="0"/>
        <v>0</v>
      </c>
      <c r="I25" s="11">
        <f>ROUND(D25*SUM(Input!$O$25:$R$25),2)</f>
        <v>0</v>
      </c>
      <c r="J25" s="11">
        <f t="shared" si="1"/>
        <v>4.5999999999999996</v>
      </c>
      <c r="K25" s="11">
        <f>F25+I25</f>
        <v>4.5999999999999996</v>
      </c>
      <c r="L25" s="12">
        <f t="shared" si="2"/>
        <v>0</v>
      </c>
    </row>
    <row r="26" spans="1:12" x14ac:dyDescent="0.3">
      <c r="A26" s="111">
        <v>7</v>
      </c>
      <c r="D26" s="77">
        <v>16</v>
      </c>
      <c r="E26" s="11">
        <f>Input!$H$25+ROUND(Input!$C$25*IN3R!D26,2)+ROUND(D26*Input!$N$25,2)</f>
        <v>6.4</v>
      </c>
      <c r="F26" s="11">
        <f>Input!$Y$25+ROUND(Input!$T$25*IN3R!D26,2)+ROUND(Input!$N$25*IN3R!D26,2)</f>
        <v>6.4</v>
      </c>
      <c r="G26" s="11">
        <f t="shared" si="3"/>
        <v>0</v>
      </c>
      <c r="H26" s="12">
        <f t="shared" si="0"/>
        <v>0</v>
      </c>
      <c r="I26" s="11">
        <f>ROUND(D26*SUM(Input!$O$25:$R$25),2)</f>
        <v>0</v>
      </c>
      <c r="J26" s="11">
        <f t="shared" si="1"/>
        <v>6.4</v>
      </c>
      <c r="K26" s="11">
        <f t="shared" si="4"/>
        <v>6.4</v>
      </c>
      <c r="L26" s="12">
        <f t="shared" si="2"/>
        <v>0</v>
      </c>
    </row>
    <row r="27" spans="1:12" x14ac:dyDescent="0.3">
      <c r="A27" s="111">
        <v>8</v>
      </c>
      <c r="D27" s="77">
        <v>20</v>
      </c>
      <c r="E27" s="11">
        <f>Input!$H$25+ROUND(Input!$C$25*IN3R!D27,2)+ROUND(D27*Input!$N$25,2)</f>
        <v>8</v>
      </c>
      <c r="F27" s="11">
        <f>Input!$Y$25+ROUND(Input!$T$25*IN3R!D27,2)+ROUND(Input!$N$25*IN3R!D27,2)</f>
        <v>8</v>
      </c>
      <c r="G27" s="11">
        <f t="shared" si="3"/>
        <v>0</v>
      </c>
      <c r="H27" s="12">
        <f t="shared" si="0"/>
        <v>0</v>
      </c>
      <c r="I27" s="11">
        <f>ROUND(D27*SUM(Input!$O$25:$R$25),2)</f>
        <v>0</v>
      </c>
      <c r="J27" s="11">
        <f t="shared" si="1"/>
        <v>8</v>
      </c>
      <c r="K27" s="11">
        <f t="shared" si="4"/>
        <v>8</v>
      </c>
      <c r="L27" s="12">
        <f t="shared" si="2"/>
        <v>0</v>
      </c>
    </row>
    <row r="28" spans="1:12" x14ac:dyDescent="0.3">
      <c r="A28" s="111">
        <v>9</v>
      </c>
      <c r="D28" s="77">
        <v>30</v>
      </c>
      <c r="E28" s="11">
        <f>Input!$H$25+ROUND(Input!$C$25*IN3R!D28,2)+ROUND(D28*Input!$N$25,2)</f>
        <v>12</v>
      </c>
      <c r="F28" s="11">
        <f>Input!$Y$25+ROUND(Input!$T$25*IN3R!D28,2)+ROUND(Input!$N$25*IN3R!D28,2)</f>
        <v>12</v>
      </c>
      <c r="G28" s="11">
        <f t="shared" si="3"/>
        <v>0</v>
      </c>
      <c r="H28" s="12">
        <f t="shared" si="0"/>
        <v>0</v>
      </c>
      <c r="I28" s="11">
        <f>ROUND(D28*SUM(Input!$O$25:$R$25),2)</f>
        <v>0</v>
      </c>
      <c r="J28" s="11">
        <f t="shared" si="1"/>
        <v>12</v>
      </c>
      <c r="K28" s="11">
        <f t="shared" si="4"/>
        <v>12</v>
      </c>
      <c r="L28" s="12">
        <f t="shared" si="2"/>
        <v>0</v>
      </c>
    </row>
    <row r="29" spans="1:12" x14ac:dyDescent="0.3">
      <c r="A29" s="111">
        <v>10</v>
      </c>
      <c r="D29" s="77">
        <v>40</v>
      </c>
      <c r="E29" s="11">
        <f>Input!$H$25+ROUND(Input!$C$25*IN3R!D29,2)+ROUND(D29*Input!$N$25,2)</f>
        <v>16</v>
      </c>
      <c r="F29" s="11">
        <f>Input!$Y$25+ROUND(Input!$T$25*IN3R!D29,2)+ROUND(Input!$N$25*IN3R!D29,2)</f>
        <v>16</v>
      </c>
      <c r="G29" s="11">
        <f t="shared" si="3"/>
        <v>0</v>
      </c>
      <c r="H29" s="12">
        <f t="shared" si="0"/>
        <v>0</v>
      </c>
      <c r="I29" s="11">
        <f>ROUND(D29*SUM(Input!$O$25:$R$25),2)</f>
        <v>0</v>
      </c>
      <c r="J29" s="11">
        <f t="shared" si="1"/>
        <v>16</v>
      </c>
      <c r="K29" s="11">
        <f t="shared" si="4"/>
        <v>16</v>
      </c>
      <c r="L29" s="12">
        <f t="shared" si="2"/>
        <v>0</v>
      </c>
    </row>
    <row r="30" spans="1:12" x14ac:dyDescent="0.3">
      <c r="A30" s="111">
        <v>11</v>
      </c>
      <c r="D30" s="77">
        <v>50</v>
      </c>
      <c r="E30" s="11">
        <f>Input!$H$25+ROUND(Input!$C$25*IN3R!D30,2)+ROUND(D30*Input!$N$25,2)</f>
        <v>20</v>
      </c>
      <c r="F30" s="11">
        <f>Input!$Y$25+ROUND(Input!$T$25*IN3R!D30,2)+ROUND(Input!$N$25*IN3R!D30,2)</f>
        <v>20</v>
      </c>
      <c r="G30" s="11">
        <f t="shared" si="3"/>
        <v>0</v>
      </c>
      <c r="H30" s="12">
        <f t="shared" si="0"/>
        <v>0</v>
      </c>
      <c r="I30" s="11">
        <f>ROUND(D30*SUM(Input!$O$25:$R$25),2)</f>
        <v>0</v>
      </c>
      <c r="J30" s="11">
        <f t="shared" si="1"/>
        <v>20</v>
      </c>
      <c r="K30" s="11">
        <f t="shared" si="4"/>
        <v>20</v>
      </c>
      <c r="L30" s="12">
        <f t="shared" si="2"/>
        <v>0</v>
      </c>
    </row>
    <row r="31" spans="1:12" x14ac:dyDescent="0.3">
      <c r="A31" s="111">
        <v>12</v>
      </c>
      <c r="D31" s="77">
        <v>70</v>
      </c>
      <c r="E31" s="11">
        <f>Input!$H$25+ROUND(Input!$C$25*IN3R!D31,2)+ROUND(D31*Input!$N$25,2)</f>
        <v>28</v>
      </c>
      <c r="F31" s="11">
        <f>Input!$Y$25+ROUND(Input!$T$25*IN3R!D31,2)+ROUND(Input!$N$25*IN3R!D31,2)</f>
        <v>28</v>
      </c>
      <c r="G31" s="11">
        <f t="shared" si="3"/>
        <v>0</v>
      </c>
      <c r="H31" s="12">
        <f t="shared" si="0"/>
        <v>0</v>
      </c>
      <c r="I31" s="11">
        <f>ROUND(D31*SUM(Input!$O$25:$R$25),2)</f>
        <v>0</v>
      </c>
      <c r="J31" s="11">
        <f t="shared" si="1"/>
        <v>28</v>
      </c>
      <c r="K31" s="11">
        <f t="shared" si="4"/>
        <v>28</v>
      </c>
      <c r="L31" s="12">
        <f t="shared" si="2"/>
        <v>0</v>
      </c>
    </row>
    <row r="32" spans="1:12" x14ac:dyDescent="0.3">
      <c r="A32" s="111"/>
      <c r="D32" s="111"/>
      <c r="E32" s="111"/>
      <c r="F32" s="111"/>
      <c r="G32" s="111"/>
      <c r="H32" s="111"/>
      <c r="I32" s="111"/>
      <c r="J32" s="111"/>
      <c r="K32" s="111"/>
      <c r="L32" s="111"/>
    </row>
    <row r="33" spans="1:6" x14ac:dyDescent="0.3">
      <c r="A33" s="14"/>
      <c r="C33" s="3" t="s">
        <v>102</v>
      </c>
      <c r="E33" s="70">
        <f>Input!AE25</f>
        <v>11.5</v>
      </c>
    </row>
    <row r="34" spans="1:6" x14ac:dyDescent="0.3">
      <c r="A34" s="14"/>
      <c r="E34" s="111"/>
      <c r="F34" s="15"/>
    </row>
    <row r="36" spans="1:6" x14ac:dyDescent="0.3">
      <c r="D36" s="80"/>
    </row>
    <row r="37" spans="1:6" x14ac:dyDescent="0.3">
      <c r="B37" s="3" t="s">
        <v>111</v>
      </c>
    </row>
  </sheetData>
  <mergeCells count="5">
    <mergeCell ref="A1:L1"/>
    <mergeCell ref="A2:L2"/>
    <mergeCell ref="A4:L4"/>
    <mergeCell ref="A5:L5"/>
    <mergeCell ref="A3:L3"/>
  </mergeCells>
  <phoneticPr fontId="0" type="noConversion"/>
  <printOptions horizontalCentered="1"/>
  <pageMargins left="0.75" right="0.75" top="1" bottom="0.75" header="0.5" footer="0.5"/>
  <pageSetup scale="9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36"/>
  <sheetViews>
    <sheetView zoomScaleNormal="100" workbookViewId="0">
      <selection activeCell="A9" sqref="A9"/>
    </sheetView>
  </sheetViews>
  <sheetFormatPr defaultColWidth="9.08203125" defaultRowHeight="13" x14ac:dyDescent="0.3"/>
  <cols>
    <col min="1" max="16384" width="9.08203125" style="3"/>
  </cols>
  <sheetData>
    <row r="1" spans="1:12" x14ac:dyDescent="0.3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x14ac:dyDescent="0.3">
      <c r="A2" s="118" t="str">
        <f>Input!$B$13</f>
        <v>CASE NO. 2021-00183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x14ac:dyDescent="0.3">
      <c r="A3" s="118" t="s">
        <v>40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x14ac:dyDescent="0.3">
      <c r="A4" s="118" t="s">
        <v>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x14ac:dyDescent="0.3">
      <c r="A5" s="118" t="str">
        <f>Input!B17</f>
        <v>TWELVE MONTHS ENDING DECEMBER 31, 2022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x14ac:dyDescent="0.3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x14ac:dyDescent="0.3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x14ac:dyDescent="0.3">
      <c r="A8" s="3" t="s">
        <v>113</v>
      </c>
      <c r="L8" s="13" t="s">
        <v>3</v>
      </c>
    </row>
    <row r="9" spans="1:12" x14ac:dyDescent="0.3">
      <c r="A9" s="1" t="s">
        <v>158</v>
      </c>
      <c r="L9" s="13" t="s">
        <v>128</v>
      </c>
    </row>
    <row r="10" spans="1:12" x14ac:dyDescent="0.3">
      <c r="A10" s="23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 t="str">
        <f>Input!B15</f>
        <v>Witness: JUDITH L. SIEGLER</v>
      </c>
    </row>
    <row r="13" spans="1:12" x14ac:dyDescent="0.3">
      <c r="D13" s="111"/>
      <c r="E13" s="111"/>
      <c r="F13" s="111"/>
      <c r="G13" s="111"/>
      <c r="H13" s="111"/>
      <c r="I13" s="111"/>
      <c r="J13" s="111" t="s">
        <v>29</v>
      </c>
      <c r="K13" s="111" t="s">
        <v>29</v>
      </c>
      <c r="L13" s="111"/>
    </row>
    <row r="14" spans="1:12" x14ac:dyDescent="0.3">
      <c r="A14" s="111" t="s">
        <v>4</v>
      </c>
      <c r="B14" s="111" t="s">
        <v>6</v>
      </c>
      <c r="C14" s="111" t="s">
        <v>8</v>
      </c>
      <c r="D14" s="111" t="s">
        <v>8</v>
      </c>
      <c r="E14" s="111" t="s">
        <v>14</v>
      </c>
      <c r="F14" s="111" t="s">
        <v>18</v>
      </c>
      <c r="G14" s="111" t="s">
        <v>20</v>
      </c>
      <c r="H14" s="111" t="s">
        <v>20</v>
      </c>
      <c r="I14" s="111" t="s">
        <v>26</v>
      </c>
      <c r="J14" s="111" t="s">
        <v>14</v>
      </c>
      <c r="K14" s="111" t="s">
        <v>18</v>
      </c>
      <c r="L14" s="111" t="s">
        <v>33</v>
      </c>
    </row>
    <row r="15" spans="1:12" x14ac:dyDescent="0.3">
      <c r="A15" s="72" t="s">
        <v>5</v>
      </c>
      <c r="B15" s="72" t="s">
        <v>7</v>
      </c>
      <c r="C15" s="72" t="s">
        <v>9</v>
      </c>
      <c r="D15" s="72" t="s">
        <v>10</v>
      </c>
      <c r="E15" s="72" t="s">
        <v>15</v>
      </c>
      <c r="F15" s="72" t="s">
        <v>15</v>
      </c>
      <c r="G15" s="73" t="s">
        <v>21</v>
      </c>
      <c r="H15" s="73" t="s">
        <v>23</v>
      </c>
      <c r="I15" s="72" t="s">
        <v>27</v>
      </c>
      <c r="J15" s="72" t="s">
        <v>15</v>
      </c>
      <c r="K15" s="72" t="s">
        <v>15</v>
      </c>
      <c r="L15" s="72" t="s">
        <v>20</v>
      </c>
    </row>
    <row r="16" spans="1:12" x14ac:dyDescent="0.3">
      <c r="D16" s="10" t="s">
        <v>12</v>
      </c>
      <c r="E16" s="10" t="s">
        <v>16</v>
      </c>
      <c r="F16" s="10" t="s">
        <v>16</v>
      </c>
      <c r="G16" s="10" t="s">
        <v>16</v>
      </c>
      <c r="H16" s="10" t="s">
        <v>24</v>
      </c>
      <c r="I16" s="10" t="s">
        <v>16</v>
      </c>
      <c r="J16" s="10" t="s">
        <v>16</v>
      </c>
      <c r="K16" s="10" t="s">
        <v>16</v>
      </c>
      <c r="L16" s="10" t="s">
        <v>24</v>
      </c>
    </row>
    <row r="17" spans="1:12" x14ac:dyDescent="0.3">
      <c r="C17" s="10" t="s">
        <v>11</v>
      </c>
      <c r="D17" s="10" t="s">
        <v>13</v>
      </c>
      <c r="E17" s="10" t="s">
        <v>17</v>
      </c>
      <c r="F17" s="10" t="s">
        <v>19</v>
      </c>
      <c r="G17" s="10" t="s">
        <v>22</v>
      </c>
      <c r="H17" s="10" t="s">
        <v>25</v>
      </c>
      <c r="I17" s="10" t="s">
        <v>28</v>
      </c>
      <c r="J17" s="10" t="s">
        <v>30</v>
      </c>
      <c r="K17" s="10" t="s">
        <v>31</v>
      </c>
      <c r="L17" s="10" t="s">
        <v>32</v>
      </c>
    </row>
    <row r="18" spans="1:12" x14ac:dyDescent="0.3">
      <c r="D18" s="111"/>
      <c r="E18" s="111"/>
      <c r="F18" s="111"/>
      <c r="G18" s="111"/>
      <c r="H18" s="111"/>
      <c r="I18" s="111"/>
      <c r="J18" s="10" t="s">
        <v>34</v>
      </c>
      <c r="K18" s="10" t="s">
        <v>35</v>
      </c>
      <c r="L18" s="10" t="s">
        <v>36</v>
      </c>
    </row>
    <row r="19" spans="1:12" x14ac:dyDescent="0.3">
      <c r="A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x14ac:dyDescent="0.3">
      <c r="A20" s="111">
        <v>1</v>
      </c>
      <c r="B20" s="111" t="s">
        <v>46</v>
      </c>
      <c r="C20" s="111" t="s">
        <v>38</v>
      </c>
      <c r="D20" s="71">
        <f>E33</f>
        <v>0</v>
      </c>
      <c r="E20" s="11">
        <f>Input!$H$26+ROUND(Input!$C$26*IN3C!D20,2)+ROUND(D20*Input!$N$26,2)</f>
        <v>0</v>
      </c>
      <c r="F20" s="11">
        <f>Input!$Y$26+ROUND(Input!$T$26*D20,2)+ROUND(Input!$N$26*IN3C!D20,2)</f>
        <v>0</v>
      </c>
      <c r="G20" s="11">
        <f>F20-E20</f>
        <v>0</v>
      </c>
      <c r="H20" s="12">
        <f>IF(D20=0,0,ROUND(G20/E20,3))</f>
        <v>0</v>
      </c>
      <c r="I20" s="11">
        <f>ROUND(D20*SUM(Input!$O$26:$R$26),2)</f>
        <v>0</v>
      </c>
      <c r="J20" s="11">
        <f>E20+I20</f>
        <v>0</v>
      </c>
      <c r="K20" s="11">
        <f>F20+I20</f>
        <v>0</v>
      </c>
      <c r="L20" s="12">
        <f>IF(J20=0,0,ROUND((K20-J20)/J20,3))</f>
        <v>0</v>
      </c>
    </row>
    <row r="21" spans="1:12" x14ac:dyDescent="0.3">
      <c r="A21" s="111">
        <v>2</v>
      </c>
      <c r="B21" s="111" t="s">
        <v>56</v>
      </c>
      <c r="C21" s="111" t="s">
        <v>39</v>
      </c>
      <c r="D21" s="71">
        <v>3</v>
      </c>
      <c r="E21" s="11">
        <f>Input!$H$26+ROUND(Input!$C$26*IN3C!D21,2)+ROUND(D21*Input!$N$26,2)</f>
        <v>1.2</v>
      </c>
      <c r="F21" s="11">
        <f>Input!$Y$26+ROUND(Input!$T$26*D21,2)+ROUND(Input!$N$26*IN3C!D21,2)</f>
        <v>1.2</v>
      </c>
      <c r="G21" s="11">
        <f>F21-E21</f>
        <v>0</v>
      </c>
      <c r="H21" s="12">
        <f>ROUND(G21/E21,3)</f>
        <v>0</v>
      </c>
      <c r="I21" s="11">
        <f>ROUND(D21*SUM(Input!$O$26:$R$26),2)</f>
        <v>0</v>
      </c>
      <c r="J21" s="11">
        <f t="shared" ref="J21:J31" si="0">E21+I21</f>
        <v>1.2</v>
      </c>
      <c r="K21" s="11">
        <f>F21+I21</f>
        <v>1.2</v>
      </c>
      <c r="L21" s="12">
        <f t="shared" ref="L21:L31" si="1">ROUND((K21-J21)/J21,3)</f>
        <v>0</v>
      </c>
    </row>
    <row r="22" spans="1:12" x14ac:dyDescent="0.3">
      <c r="A22" s="111">
        <v>3</v>
      </c>
      <c r="B22" s="111" t="s">
        <v>26</v>
      </c>
      <c r="D22" s="71">
        <v>8</v>
      </c>
      <c r="E22" s="11">
        <f>Input!$H$26+ROUND(Input!$C$26*IN3C!D22,2)+ROUND(D22*Input!$N$26,2)</f>
        <v>3.2</v>
      </c>
      <c r="F22" s="11">
        <f>Input!$Y$26+ROUND(Input!$T$26*D22,2)+ROUND(Input!$N$26*IN3C!D22,2)</f>
        <v>3.2</v>
      </c>
      <c r="G22" s="11">
        <f t="shared" ref="G22:G31" si="2">F22-E22</f>
        <v>0</v>
      </c>
      <c r="H22" s="12">
        <f t="shared" ref="H22:H31" si="3">ROUND(G22/E22,3)</f>
        <v>0</v>
      </c>
      <c r="I22" s="11">
        <f>ROUND(D22*SUM(Input!$O$26:$R$26),2)</f>
        <v>0</v>
      </c>
      <c r="J22" s="11">
        <f t="shared" si="0"/>
        <v>3.2</v>
      </c>
      <c r="K22" s="11">
        <f t="shared" ref="K22:K31" si="4">F22+I22</f>
        <v>3.2</v>
      </c>
      <c r="L22" s="12">
        <f t="shared" si="1"/>
        <v>0</v>
      </c>
    </row>
    <row r="23" spans="1:12" x14ac:dyDescent="0.3">
      <c r="A23" s="111">
        <v>4</v>
      </c>
      <c r="B23" s="111" t="s">
        <v>42</v>
      </c>
      <c r="D23" s="71">
        <v>10</v>
      </c>
      <c r="E23" s="11">
        <f>Input!$H$26+ROUND(Input!$C$26*IN3C!D23,2)+ROUND(D23*Input!$N$26,2)</f>
        <v>4</v>
      </c>
      <c r="F23" s="11">
        <f>Input!$Y$26+ROUND(Input!$T$26*D23,2)+ROUND(Input!$N$26*IN3C!D23,2)</f>
        <v>4</v>
      </c>
      <c r="G23" s="11">
        <f t="shared" si="2"/>
        <v>0</v>
      </c>
      <c r="H23" s="12">
        <f t="shared" si="3"/>
        <v>0</v>
      </c>
      <c r="I23" s="11">
        <f>ROUND(D23*SUM(Input!$O$26:$R$26),2)</f>
        <v>0</v>
      </c>
      <c r="J23" s="11">
        <f t="shared" si="0"/>
        <v>4</v>
      </c>
      <c r="K23" s="11">
        <f t="shared" si="4"/>
        <v>4</v>
      </c>
      <c r="L23" s="12">
        <f t="shared" si="1"/>
        <v>0</v>
      </c>
    </row>
    <row r="24" spans="1:12" x14ac:dyDescent="0.3">
      <c r="A24" s="111">
        <v>5</v>
      </c>
      <c r="B24" s="111" t="s">
        <v>43</v>
      </c>
      <c r="D24" s="71">
        <v>11</v>
      </c>
      <c r="E24" s="11">
        <f>Input!$H$26+ROUND(Input!$C$26*IN3C!D24,2)+ROUND(D24*Input!$N$26,2)</f>
        <v>4.4000000000000004</v>
      </c>
      <c r="F24" s="11">
        <f>Input!$Y$26+ROUND(Input!$T$26*D24,2)+ROUND(Input!$N$26*IN3C!D24,2)</f>
        <v>4.4000000000000004</v>
      </c>
      <c r="G24" s="11">
        <f t="shared" si="2"/>
        <v>0</v>
      </c>
      <c r="H24" s="12">
        <f t="shared" si="3"/>
        <v>0</v>
      </c>
      <c r="I24" s="11">
        <f>ROUND(D24*SUM(Input!$O$26:$R$26),2)</f>
        <v>0</v>
      </c>
      <c r="J24" s="11">
        <f t="shared" si="0"/>
        <v>4.4000000000000004</v>
      </c>
      <c r="K24" s="11">
        <f t="shared" si="4"/>
        <v>4.4000000000000004</v>
      </c>
      <c r="L24" s="12">
        <f t="shared" si="1"/>
        <v>0</v>
      </c>
    </row>
    <row r="25" spans="1:12" x14ac:dyDescent="0.3">
      <c r="A25" s="111">
        <v>6</v>
      </c>
      <c r="B25" s="111" t="s">
        <v>55</v>
      </c>
      <c r="D25" s="71">
        <v>13</v>
      </c>
      <c r="E25" s="11">
        <f>Input!$H$26+ROUND(Input!$C$26*IN3C!D25,2)+ROUND(D25*Input!$N$26,2)</f>
        <v>5.2</v>
      </c>
      <c r="F25" s="11">
        <f>Input!$Y$26+ROUND(Input!$T$26*D25,2)+ROUND(Input!$N$26*IN3C!D25,2)</f>
        <v>5.2</v>
      </c>
      <c r="G25" s="11">
        <f>F25-E25</f>
        <v>0</v>
      </c>
      <c r="H25" s="12">
        <f t="shared" si="3"/>
        <v>0</v>
      </c>
      <c r="I25" s="11">
        <f>ROUND(D25*SUM(Input!$O$26:$R$26),2)</f>
        <v>0</v>
      </c>
      <c r="J25" s="11">
        <f t="shared" si="0"/>
        <v>5.2</v>
      </c>
      <c r="K25" s="11">
        <f>F25+I25</f>
        <v>5.2</v>
      </c>
      <c r="L25" s="12">
        <f t="shared" si="1"/>
        <v>0</v>
      </c>
    </row>
    <row r="26" spans="1:12" x14ac:dyDescent="0.3">
      <c r="A26" s="111">
        <v>7</v>
      </c>
      <c r="D26" s="71">
        <v>16</v>
      </c>
      <c r="E26" s="11">
        <f>Input!$H$26+ROUND(Input!$C$26*IN3C!D26,2)+ROUND(D26*Input!$N$26,2)</f>
        <v>6.4</v>
      </c>
      <c r="F26" s="11">
        <f>Input!$Y$26+ROUND(Input!$T$26*D26,2)+ROUND(Input!$N$26*IN3C!D26,2)</f>
        <v>6.4</v>
      </c>
      <c r="G26" s="11">
        <f t="shared" si="2"/>
        <v>0</v>
      </c>
      <c r="H26" s="12">
        <f t="shared" si="3"/>
        <v>0</v>
      </c>
      <c r="I26" s="11">
        <f>ROUND(D26*SUM(Input!$O$26:$R$26),2)</f>
        <v>0</v>
      </c>
      <c r="J26" s="11">
        <f t="shared" si="0"/>
        <v>6.4</v>
      </c>
      <c r="K26" s="11">
        <f t="shared" si="4"/>
        <v>6.4</v>
      </c>
      <c r="L26" s="12">
        <f t="shared" si="1"/>
        <v>0</v>
      </c>
    </row>
    <row r="27" spans="1:12" x14ac:dyDescent="0.3">
      <c r="A27" s="111">
        <v>8</v>
      </c>
      <c r="D27" s="71">
        <v>20</v>
      </c>
      <c r="E27" s="11">
        <f>Input!$H$26+ROUND(Input!$C$26*IN3C!D27,2)+ROUND(D27*Input!$N$26,2)</f>
        <v>8</v>
      </c>
      <c r="F27" s="11">
        <f>Input!$Y$26+ROUND(Input!$T$26*D27,2)+ROUND(Input!$N$26*IN3C!D27,2)</f>
        <v>8</v>
      </c>
      <c r="G27" s="11">
        <f t="shared" si="2"/>
        <v>0</v>
      </c>
      <c r="H27" s="12">
        <f t="shared" si="3"/>
        <v>0</v>
      </c>
      <c r="I27" s="11">
        <f>ROUND(D27*SUM(Input!$O$26:$R$26),2)</f>
        <v>0</v>
      </c>
      <c r="J27" s="11">
        <f t="shared" si="0"/>
        <v>8</v>
      </c>
      <c r="K27" s="11">
        <f t="shared" si="4"/>
        <v>8</v>
      </c>
      <c r="L27" s="12">
        <f t="shared" si="1"/>
        <v>0</v>
      </c>
    </row>
    <row r="28" spans="1:12" x14ac:dyDescent="0.3">
      <c r="A28" s="111">
        <v>9</v>
      </c>
      <c r="D28" s="71">
        <v>30</v>
      </c>
      <c r="E28" s="11">
        <f>Input!$H$26+ROUND(Input!$C$26*IN3C!D28,2)+ROUND(D28*Input!$N$26,2)</f>
        <v>12</v>
      </c>
      <c r="F28" s="11">
        <f>Input!$Y$26+ROUND(Input!$T$26*D28,2)+ROUND(Input!$N$26*IN3C!D28,2)</f>
        <v>12</v>
      </c>
      <c r="G28" s="11">
        <f t="shared" si="2"/>
        <v>0</v>
      </c>
      <c r="H28" s="12">
        <f t="shared" si="3"/>
        <v>0</v>
      </c>
      <c r="I28" s="11">
        <f>ROUND(D28*SUM(Input!$O$26:$R$26),2)</f>
        <v>0</v>
      </c>
      <c r="J28" s="11">
        <f t="shared" si="0"/>
        <v>12</v>
      </c>
      <c r="K28" s="11">
        <f t="shared" si="4"/>
        <v>12</v>
      </c>
      <c r="L28" s="12">
        <f t="shared" si="1"/>
        <v>0</v>
      </c>
    </row>
    <row r="29" spans="1:12" x14ac:dyDescent="0.3">
      <c r="A29" s="111">
        <v>10</v>
      </c>
      <c r="D29" s="71">
        <v>40</v>
      </c>
      <c r="E29" s="11">
        <f>Input!$H$26+ROUND(Input!$C$26*IN3C!D29,2)+ROUND(D29*Input!$N$26,2)</f>
        <v>16</v>
      </c>
      <c r="F29" s="11">
        <f>Input!$Y$26+ROUND(Input!$T$26*D29,2)+ROUND(Input!$N$26*IN3C!D29,2)</f>
        <v>16</v>
      </c>
      <c r="G29" s="11">
        <f t="shared" si="2"/>
        <v>0</v>
      </c>
      <c r="H29" s="12">
        <f t="shared" si="3"/>
        <v>0</v>
      </c>
      <c r="I29" s="11">
        <f>ROUND(D29*SUM(Input!$O$26:$R$26),2)</f>
        <v>0</v>
      </c>
      <c r="J29" s="11">
        <f t="shared" si="0"/>
        <v>16</v>
      </c>
      <c r="K29" s="11">
        <f t="shared" si="4"/>
        <v>16</v>
      </c>
      <c r="L29" s="12">
        <f t="shared" si="1"/>
        <v>0</v>
      </c>
    </row>
    <row r="30" spans="1:12" x14ac:dyDescent="0.3">
      <c r="A30" s="111">
        <v>11</v>
      </c>
      <c r="D30" s="71">
        <v>50</v>
      </c>
      <c r="E30" s="11">
        <f>Input!$H$26+ROUND(Input!$C$26*IN3C!D30,2)+ROUND(D30*Input!$N$26,2)</f>
        <v>20</v>
      </c>
      <c r="F30" s="11">
        <f>Input!$Y$26+ROUND(Input!$T$26*D30,2)+ROUND(Input!$N$26*IN3C!D30,2)</f>
        <v>20</v>
      </c>
      <c r="G30" s="11">
        <f t="shared" si="2"/>
        <v>0</v>
      </c>
      <c r="H30" s="12">
        <f t="shared" si="3"/>
        <v>0</v>
      </c>
      <c r="I30" s="11">
        <f>ROUND(D30*SUM(Input!$O$26:$R$26),2)</f>
        <v>0</v>
      </c>
      <c r="J30" s="11">
        <f t="shared" si="0"/>
        <v>20</v>
      </c>
      <c r="K30" s="11">
        <f t="shared" si="4"/>
        <v>20</v>
      </c>
      <c r="L30" s="12">
        <f t="shared" si="1"/>
        <v>0</v>
      </c>
    </row>
    <row r="31" spans="1:12" x14ac:dyDescent="0.3">
      <c r="A31" s="111">
        <v>12</v>
      </c>
      <c r="D31" s="71">
        <v>70</v>
      </c>
      <c r="E31" s="11">
        <f>Input!$H$26+ROUND(Input!$C$26*IN3C!D31,2)+ROUND(D31*Input!$N$26,2)</f>
        <v>28</v>
      </c>
      <c r="F31" s="11">
        <f>Input!$Y$26+ROUND(Input!$T$26*D31,2)+ROUND(Input!$N$26*IN3C!D31,2)</f>
        <v>28</v>
      </c>
      <c r="G31" s="11">
        <f t="shared" si="2"/>
        <v>0</v>
      </c>
      <c r="H31" s="12">
        <f t="shared" si="3"/>
        <v>0</v>
      </c>
      <c r="I31" s="11">
        <f>ROUND(D31*SUM(Input!$O$26:$R$26),2)</f>
        <v>0</v>
      </c>
      <c r="J31" s="11">
        <f t="shared" si="0"/>
        <v>28</v>
      </c>
      <c r="K31" s="11">
        <f t="shared" si="4"/>
        <v>28</v>
      </c>
      <c r="L31" s="12">
        <f t="shared" si="1"/>
        <v>0</v>
      </c>
    </row>
    <row r="32" spans="1:12" x14ac:dyDescent="0.3">
      <c r="A32" s="111"/>
      <c r="D32" s="111"/>
      <c r="E32" s="111"/>
      <c r="F32" s="111"/>
      <c r="G32" s="111"/>
      <c r="H32" s="111"/>
      <c r="I32" s="111"/>
      <c r="J32" s="111"/>
      <c r="K32" s="111"/>
      <c r="L32" s="111"/>
    </row>
    <row r="33" spans="1:6" x14ac:dyDescent="0.3">
      <c r="A33" s="14"/>
      <c r="C33" s="3" t="s">
        <v>102</v>
      </c>
      <c r="E33" s="70">
        <f>IF(Input!AE26=0,0,Input!AE26)</f>
        <v>0</v>
      </c>
    </row>
    <row r="34" spans="1:6" x14ac:dyDescent="0.3">
      <c r="A34" s="14"/>
      <c r="C34" s="3" t="s">
        <v>154</v>
      </c>
      <c r="E34" s="111"/>
      <c r="F34" s="15"/>
    </row>
    <row r="36" spans="1:6" x14ac:dyDescent="0.3">
      <c r="B36" s="3" t="s">
        <v>111</v>
      </c>
      <c r="D36" s="80"/>
    </row>
  </sheetData>
  <mergeCells count="5">
    <mergeCell ref="A5:L5"/>
    <mergeCell ref="A1:L1"/>
    <mergeCell ref="A2:L2"/>
    <mergeCell ref="A3:L3"/>
    <mergeCell ref="A4:L4"/>
  </mergeCells>
  <phoneticPr fontId="7" type="noConversion"/>
  <pageMargins left="0.75" right="0.75" top="1" bottom="0.75" header="0.5" footer="0.5"/>
  <pageSetup scale="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37"/>
  <sheetViews>
    <sheetView zoomScaleNormal="100" workbookViewId="0">
      <selection activeCell="A9" sqref="A9"/>
    </sheetView>
  </sheetViews>
  <sheetFormatPr defaultColWidth="9.08203125" defaultRowHeight="13" x14ac:dyDescent="0.3"/>
  <cols>
    <col min="1" max="1" width="9.08203125" style="3"/>
    <col min="2" max="2" width="10.33203125" style="3" customWidth="1"/>
    <col min="3" max="3" width="9.58203125" style="3" customWidth="1"/>
    <col min="4" max="10" width="9.08203125" style="3"/>
    <col min="11" max="12" width="10.33203125" style="3" customWidth="1"/>
    <col min="13" max="16384" width="9.08203125" style="3"/>
  </cols>
  <sheetData>
    <row r="1" spans="1:12" x14ac:dyDescent="0.3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x14ac:dyDescent="0.3">
      <c r="A2" s="118" t="str">
        <f>Input!$B$13</f>
        <v>CASE NO. 2021-00183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x14ac:dyDescent="0.3">
      <c r="A3" s="118" t="s">
        <v>40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x14ac:dyDescent="0.3">
      <c r="A4" s="118" t="s">
        <v>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x14ac:dyDescent="0.3">
      <c r="A5" s="120" t="str">
        <f>Input!B17</f>
        <v>TWELVE MONTHS ENDING DECEMBER 31, 2022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x14ac:dyDescent="0.3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x14ac:dyDescent="0.3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x14ac:dyDescent="0.3">
      <c r="A8" s="3" t="s">
        <v>113</v>
      </c>
      <c r="L8" s="13" t="s">
        <v>3</v>
      </c>
    </row>
    <row r="9" spans="1:12" x14ac:dyDescent="0.3">
      <c r="A9" s="1" t="s">
        <v>158</v>
      </c>
      <c r="L9" s="13" t="s">
        <v>129</v>
      </c>
    </row>
    <row r="10" spans="1:12" x14ac:dyDescent="0.3">
      <c r="A10" s="23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 t="str">
        <f>Input!B15</f>
        <v>Witness: JUDITH L. SIEGLER</v>
      </c>
    </row>
    <row r="13" spans="1:12" x14ac:dyDescent="0.3">
      <c r="D13" s="111"/>
      <c r="E13" s="111"/>
      <c r="F13" s="111"/>
      <c r="G13" s="111"/>
      <c r="H13" s="111"/>
      <c r="I13" s="111"/>
      <c r="J13" s="111" t="s">
        <v>29</v>
      </c>
      <c r="K13" s="111" t="s">
        <v>29</v>
      </c>
      <c r="L13" s="111"/>
    </row>
    <row r="14" spans="1:12" x14ac:dyDescent="0.3">
      <c r="A14" s="111" t="s">
        <v>4</v>
      </c>
      <c r="B14" s="111" t="s">
        <v>6</v>
      </c>
      <c r="C14" s="111" t="s">
        <v>8</v>
      </c>
      <c r="D14" s="111" t="s">
        <v>8</v>
      </c>
      <c r="E14" s="111" t="s">
        <v>14</v>
      </c>
      <c r="F14" s="111" t="s">
        <v>18</v>
      </c>
      <c r="G14" s="111" t="s">
        <v>20</v>
      </c>
      <c r="H14" s="111" t="s">
        <v>20</v>
      </c>
      <c r="I14" s="111" t="s">
        <v>26</v>
      </c>
      <c r="J14" s="111" t="s">
        <v>14</v>
      </c>
      <c r="K14" s="111" t="s">
        <v>18</v>
      </c>
      <c r="L14" s="111" t="s">
        <v>33</v>
      </c>
    </row>
    <row r="15" spans="1:12" x14ac:dyDescent="0.3">
      <c r="A15" s="72" t="s">
        <v>5</v>
      </c>
      <c r="B15" s="72" t="s">
        <v>7</v>
      </c>
      <c r="C15" s="72" t="s">
        <v>9</v>
      </c>
      <c r="D15" s="72" t="s">
        <v>10</v>
      </c>
      <c r="E15" s="72" t="s">
        <v>15</v>
      </c>
      <c r="F15" s="72" t="s">
        <v>15</v>
      </c>
      <c r="G15" s="73" t="s">
        <v>21</v>
      </c>
      <c r="H15" s="73" t="s">
        <v>23</v>
      </c>
      <c r="I15" s="72" t="s">
        <v>27</v>
      </c>
      <c r="J15" s="72" t="s">
        <v>15</v>
      </c>
      <c r="K15" s="72" t="s">
        <v>15</v>
      </c>
      <c r="L15" s="72" t="s">
        <v>20</v>
      </c>
    </row>
    <row r="16" spans="1:12" x14ac:dyDescent="0.3">
      <c r="D16" s="10" t="s">
        <v>12</v>
      </c>
      <c r="E16" s="10" t="s">
        <v>16</v>
      </c>
      <c r="F16" s="10" t="s">
        <v>16</v>
      </c>
      <c r="G16" s="10" t="s">
        <v>16</v>
      </c>
      <c r="H16" s="10" t="s">
        <v>24</v>
      </c>
      <c r="I16" s="10" t="s">
        <v>16</v>
      </c>
      <c r="J16" s="10" t="s">
        <v>16</v>
      </c>
      <c r="K16" s="10" t="s">
        <v>16</v>
      </c>
      <c r="L16" s="10" t="s">
        <v>24</v>
      </c>
    </row>
    <row r="17" spans="1:12" x14ac:dyDescent="0.3">
      <c r="C17" s="10" t="s">
        <v>11</v>
      </c>
      <c r="D17" s="10" t="s">
        <v>13</v>
      </c>
      <c r="E17" s="10" t="s">
        <v>17</v>
      </c>
      <c r="F17" s="10" t="s">
        <v>19</v>
      </c>
      <c r="G17" s="10" t="s">
        <v>22</v>
      </c>
      <c r="H17" s="10" t="s">
        <v>25</v>
      </c>
      <c r="I17" s="10" t="s">
        <v>28</v>
      </c>
      <c r="J17" s="10" t="s">
        <v>30</v>
      </c>
      <c r="K17" s="10" t="s">
        <v>31</v>
      </c>
      <c r="L17" s="10" t="s">
        <v>32</v>
      </c>
    </row>
    <row r="18" spans="1:12" x14ac:dyDescent="0.3">
      <c r="D18" s="111"/>
      <c r="E18" s="111"/>
      <c r="F18" s="111"/>
      <c r="G18" s="111"/>
      <c r="H18" s="111"/>
      <c r="I18" s="111"/>
      <c r="J18" s="10" t="s">
        <v>34</v>
      </c>
      <c r="K18" s="10" t="s">
        <v>35</v>
      </c>
      <c r="L18" s="10" t="s">
        <v>36</v>
      </c>
    </row>
    <row r="19" spans="1:12" x14ac:dyDescent="0.3">
      <c r="A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x14ac:dyDescent="0.3">
      <c r="A20" s="111">
        <v>1</v>
      </c>
      <c r="B20" s="111" t="s">
        <v>47</v>
      </c>
      <c r="C20" s="111" t="s">
        <v>38</v>
      </c>
      <c r="D20" s="77">
        <f>E33</f>
        <v>0</v>
      </c>
      <c r="E20" s="11">
        <f>Input!$H$27+ROUND((Input!$C$27*'IN4'!D20),2)+ROUND(D20*Input!$N$27,2)</f>
        <v>0</v>
      </c>
      <c r="F20" s="11">
        <f>Input!$Y$27+ROUND((Input!$T$27*'IN4'!D20),2)+ROUND(Input!$N$27*'IN4'!D20,2)</f>
        <v>0</v>
      </c>
      <c r="G20" s="11">
        <f>F20-E20</f>
        <v>0</v>
      </c>
      <c r="H20" s="12">
        <f>IF(E20=0,0,ROUND(G20/E20,3))</f>
        <v>0</v>
      </c>
      <c r="I20" s="11">
        <f>ROUND(D20*SUM(Input!$O$27:$R$27),2)</f>
        <v>0</v>
      </c>
      <c r="J20" s="11">
        <f>E20+I20</f>
        <v>0</v>
      </c>
      <c r="K20" s="11">
        <f>F20+I20</f>
        <v>0</v>
      </c>
      <c r="L20" s="12">
        <f>IF(J20=0,0,(K20-J20)/J20)</f>
        <v>0</v>
      </c>
    </row>
    <row r="21" spans="1:12" x14ac:dyDescent="0.3">
      <c r="A21" s="111">
        <v>2</v>
      </c>
      <c r="B21" s="111" t="s">
        <v>56</v>
      </c>
      <c r="C21" s="111" t="s">
        <v>39</v>
      </c>
      <c r="D21" s="77">
        <v>3</v>
      </c>
      <c r="E21" s="11">
        <f>Input!$H$27+ROUND((Input!$C$27*'IN4'!D21),2)+ROUND(D21*Input!$N$27,2)</f>
        <v>0</v>
      </c>
      <c r="F21" s="11">
        <f>Input!$Y$27+ROUND((Input!$T$27*'IN4'!D21),2)+ROUND(Input!$N$27*'IN4'!D21,2)</f>
        <v>0</v>
      </c>
      <c r="G21" s="11">
        <f t="shared" ref="G21:G31" si="0">F21-E21</f>
        <v>0</v>
      </c>
      <c r="H21" s="12">
        <f t="shared" ref="H21:H31" si="1">IF(E21=0,0,ROUND(G21/E21,3))</f>
        <v>0</v>
      </c>
      <c r="I21" s="11">
        <f>ROUND(D21*SUM(Input!$O$27:$R$27),2)</f>
        <v>0</v>
      </c>
      <c r="J21" s="11">
        <f t="shared" ref="J21:J31" si="2">E21+I21</f>
        <v>0</v>
      </c>
      <c r="K21" s="11">
        <f t="shared" ref="K21:K31" si="3">F21+I21</f>
        <v>0</v>
      </c>
      <c r="L21" s="12">
        <f t="shared" ref="L21:L31" si="4">IF(J21=0,0,(K21-J21)/J21)</f>
        <v>0</v>
      </c>
    </row>
    <row r="22" spans="1:12" x14ac:dyDescent="0.3">
      <c r="A22" s="111">
        <v>3</v>
      </c>
      <c r="B22" s="111" t="s">
        <v>26</v>
      </c>
      <c r="D22" s="77">
        <v>6</v>
      </c>
      <c r="E22" s="11">
        <f>Input!$H$27+ROUND((Input!$C$27*'IN4'!D22),2)+ROUND(D22*Input!$N$27,2)</f>
        <v>0</v>
      </c>
      <c r="F22" s="11">
        <f>Input!$Y$27+ROUND((Input!$T$27*'IN4'!D22),2)+ROUND(Input!$N$27*'IN4'!D22,2)</f>
        <v>0</v>
      </c>
      <c r="G22" s="11">
        <f t="shared" si="0"/>
        <v>0</v>
      </c>
      <c r="H22" s="12">
        <f t="shared" si="1"/>
        <v>0</v>
      </c>
      <c r="I22" s="11">
        <f>ROUND(D22*SUM(Input!$O$27:$R$27),2)</f>
        <v>0</v>
      </c>
      <c r="J22" s="11">
        <f t="shared" si="2"/>
        <v>0</v>
      </c>
      <c r="K22" s="11">
        <f t="shared" si="3"/>
        <v>0</v>
      </c>
      <c r="L22" s="12">
        <f t="shared" si="4"/>
        <v>0</v>
      </c>
    </row>
    <row r="23" spans="1:12" x14ac:dyDescent="0.3">
      <c r="A23" s="111">
        <v>4</v>
      </c>
      <c r="B23" s="111" t="s">
        <v>42</v>
      </c>
      <c r="D23" s="77">
        <v>7</v>
      </c>
      <c r="E23" s="11">
        <f>Input!$H$27+ROUND((Input!$C$27*'IN4'!D23),2)+ROUND(D23*Input!$N$27,2)</f>
        <v>0</v>
      </c>
      <c r="F23" s="11">
        <f>Input!$Y$27+ROUND((Input!$T$27*'IN4'!D23),2)+ROUND(Input!$N$27*'IN4'!D23,2)</f>
        <v>0</v>
      </c>
      <c r="G23" s="11">
        <f t="shared" si="0"/>
        <v>0</v>
      </c>
      <c r="H23" s="12">
        <f t="shared" si="1"/>
        <v>0</v>
      </c>
      <c r="I23" s="11">
        <f>ROUND(D23*SUM(Input!$O$27:$R$27),2)</f>
        <v>0</v>
      </c>
      <c r="J23" s="11">
        <f t="shared" si="2"/>
        <v>0</v>
      </c>
      <c r="K23" s="11">
        <f t="shared" si="3"/>
        <v>0</v>
      </c>
      <c r="L23" s="12">
        <f t="shared" si="4"/>
        <v>0</v>
      </c>
    </row>
    <row r="24" spans="1:12" x14ac:dyDescent="0.3">
      <c r="A24" s="111">
        <v>5</v>
      </c>
      <c r="B24" s="111" t="s">
        <v>43</v>
      </c>
      <c r="D24" s="77">
        <v>10</v>
      </c>
      <c r="E24" s="11">
        <f>Input!$H$27+ROUND((Input!$C$27*'IN4'!D24),2)+ROUND(D24*Input!$N$27,2)</f>
        <v>0</v>
      </c>
      <c r="F24" s="11">
        <f>Input!$Y$27+ROUND((Input!$T$27*'IN4'!D24),2)+ROUND(Input!$N$27*'IN4'!D24,2)</f>
        <v>0</v>
      </c>
      <c r="G24" s="11">
        <f>F24-E24</f>
        <v>0</v>
      </c>
      <c r="H24" s="12">
        <f t="shared" si="1"/>
        <v>0</v>
      </c>
      <c r="I24" s="11">
        <f>ROUND(D24*SUM(Input!$O$27:$R$27),2)</f>
        <v>0</v>
      </c>
      <c r="J24" s="11">
        <f t="shared" si="2"/>
        <v>0</v>
      </c>
      <c r="K24" s="11">
        <f>F24+I24</f>
        <v>0</v>
      </c>
      <c r="L24" s="12">
        <f t="shared" si="4"/>
        <v>0</v>
      </c>
    </row>
    <row r="25" spans="1:12" x14ac:dyDescent="0.3">
      <c r="A25" s="111">
        <v>6</v>
      </c>
      <c r="B25" s="112" t="s">
        <v>37</v>
      </c>
      <c r="D25" s="77">
        <v>12</v>
      </c>
      <c r="E25" s="11">
        <f>Input!$H$27+ROUND((Input!$C$27*'IN4'!D25),2)+ROUND(D25*Input!$N$27,2)</f>
        <v>0</v>
      </c>
      <c r="F25" s="11">
        <f>Input!$Y$27+ROUND((Input!$T$27*'IN4'!D25),2)+ROUND(Input!$N$27*'IN4'!D25,2)</f>
        <v>0</v>
      </c>
      <c r="G25" s="11">
        <f t="shared" si="0"/>
        <v>0</v>
      </c>
      <c r="H25" s="12">
        <f t="shared" si="1"/>
        <v>0</v>
      </c>
      <c r="I25" s="11">
        <f>ROUND(D25*SUM(Input!$O$27:$R$27),2)</f>
        <v>0</v>
      </c>
      <c r="J25" s="11">
        <f t="shared" si="2"/>
        <v>0</v>
      </c>
      <c r="K25" s="11">
        <f t="shared" si="3"/>
        <v>0</v>
      </c>
      <c r="L25" s="12">
        <f t="shared" si="4"/>
        <v>0</v>
      </c>
    </row>
    <row r="26" spans="1:12" x14ac:dyDescent="0.3">
      <c r="A26" s="111">
        <v>7</v>
      </c>
      <c r="D26" s="77">
        <v>14</v>
      </c>
      <c r="E26" s="11">
        <f>Input!$H$27+ROUND((Input!$C$27*'IN4'!D26),2)+ROUND(D26*Input!$N$27,2)</f>
        <v>0</v>
      </c>
      <c r="F26" s="11">
        <f>Input!$Y$27+ROUND((Input!$T$27*'IN4'!D26),2)+ROUND(Input!$N$27*'IN4'!D26,2)</f>
        <v>0</v>
      </c>
      <c r="G26" s="11">
        <f t="shared" si="0"/>
        <v>0</v>
      </c>
      <c r="H26" s="12">
        <f t="shared" si="1"/>
        <v>0</v>
      </c>
      <c r="I26" s="11">
        <f>ROUND(D26*SUM(Input!$O$27:$R$27),2)</f>
        <v>0</v>
      </c>
      <c r="J26" s="11">
        <f t="shared" si="2"/>
        <v>0</v>
      </c>
      <c r="K26" s="11">
        <f t="shared" si="3"/>
        <v>0</v>
      </c>
      <c r="L26" s="12">
        <f t="shared" si="4"/>
        <v>0</v>
      </c>
    </row>
    <row r="27" spans="1:12" x14ac:dyDescent="0.3">
      <c r="A27" s="111">
        <v>8</v>
      </c>
      <c r="D27" s="77">
        <v>16</v>
      </c>
      <c r="E27" s="11">
        <f>Input!$H$27+ROUND((Input!$C$27*'IN4'!D27),2)+ROUND(D27*Input!$N$27,2)</f>
        <v>0</v>
      </c>
      <c r="F27" s="11">
        <f>Input!$Y$27+ROUND((Input!$T$27*'IN4'!D27),2)+ROUND(Input!$N$27*'IN4'!D27,2)</f>
        <v>0</v>
      </c>
      <c r="G27" s="11">
        <f t="shared" si="0"/>
        <v>0</v>
      </c>
      <c r="H27" s="12">
        <f t="shared" si="1"/>
        <v>0</v>
      </c>
      <c r="I27" s="11">
        <f>ROUND(D27*SUM(Input!$O$27:$R$27),2)</f>
        <v>0</v>
      </c>
      <c r="J27" s="11">
        <f t="shared" si="2"/>
        <v>0</v>
      </c>
      <c r="K27" s="11">
        <f t="shared" si="3"/>
        <v>0</v>
      </c>
      <c r="L27" s="12">
        <f t="shared" si="4"/>
        <v>0</v>
      </c>
    </row>
    <row r="28" spans="1:12" x14ac:dyDescent="0.3">
      <c r="A28" s="111">
        <v>9</v>
      </c>
      <c r="D28" s="77">
        <v>20</v>
      </c>
      <c r="E28" s="11">
        <f>Input!$H$27+ROUND((Input!$C$27*'IN4'!D28),2)+ROUND(D28*Input!$N$27,2)</f>
        <v>0</v>
      </c>
      <c r="F28" s="11">
        <f>Input!$Y$27+ROUND((Input!$T$27*'IN4'!D28),2)+ROUND(Input!$N$27*'IN4'!D28,2)</f>
        <v>0</v>
      </c>
      <c r="G28" s="11">
        <f t="shared" si="0"/>
        <v>0</v>
      </c>
      <c r="H28" s="12">
        <f t="shared" si="1"/>
        <v>0</v>
      </c>
      <c r="I28" s="11">
        <f>ROUND(D28*SUM(Input!$O$27:$R$27),2)</f>
        <v>0</v>
      </c>
      <c r="J28" s="11">
        <f t="shared" si="2"/>
        <v>0</v>
      </c>
      <c r="K28" s="11">
        <f t="shared" si="3"/>
        <v>0</v>
      </c>
      <c r="L28" s="12">
        <f t="shared" si="4"/>
        <v>0</v>
      </c>
    </row>
    <row r="29" spans="1:12" x14ac:dyDescent="0.3">
      <c r="A29" s="111">
        <v>10</v>
      </c>
      <c r="D29" s="77">
        <v>30</v>
      </c>
      <c r="E29" s="11">
        <f>Input!$H$27+ROUND((Input!$C$27*'IN4'!D29),2)+ROUND(D29*Input!$N$27,2)</f>
        <v>0</v>
      </c>
      <c r="F29" s="11">
        <f>Input!$Y$27+ROUND((Input!$T$27*'IN4'!D29),2)+ROUND(Input!$N$27*'IN4'!D29,2)</f>
        <v>0</v>
      </c>
      <c r="G29" s="11">
        <f t="shared" si="0"/>
        <v>0</v>
      </c>
      <c r="H29" s="12">
        <f t="shared" si="1"/>
        <v>0</v>
      </c>
      <c r="I29" s="11">
        <f>ROUND(D29*SUM(Input!$O$27:$R$27),2)</f>
        <v>0</v>
      </c>
      <c r="J29" s="11">
        <f t="shared" si="2"/>
        <v>0</v>
      </c>
      <c r="K29" s="11">
        <f t="shared" si="3"/>
        <v>0</v>
      </c>
      <c r="L29" s="12">
        <f t="shared" si="4"/>
        <v>0</v>
      </c>
    </row>
    <row r="30" spans="1:12" x14ac:dyDescent="0.3">
      <c r="A30" s="111">
        <v>11</v>
      </c>
      <c r="D30" s="77">
        <v>40</v>
      </c>
      <c r="E30" s="11">
        <f>Input!$H$27+ROUND((Input!$C$27*'IN4'!D30),2)+ROUND(D30*Input!$N$27,2)</f>
        <v>0</v>
      </c>
      <c r="F30" s="11">
        <f>Input!$Y$27+ROUND((Input!$T$27*'IN4'!D30),2)+ROUND(Input!$N$27*'IN4'!D30,2)</f>
        <v>0</v>
      </c>
      <c r="G30" s="11">
        <f t="shared" si="0"/>
        <v>0</v>
      </c>
      <c r="H30" s="12">
        <f t="shared" si="1"/>
        <v>0</v>
      </c>
      <c r="I30" s="11">
        <f>ROUND(D30*SUM(Input!$O$27:$R$27),2)</f>
        <v>0</v>
      </c>
      <c r="J30" s="11">
        <f t="shared" si="2"/>
        <v>0</v>
      </c>
      <c r="K30" s="11">
        <f t="shared" si="3"/>
        <v>0</v>
      </c>
      <c r="L30" s="12">
        <f t="shared" si="4"/>
        <v>0</v>
      </c>
    </row>
    <row r="31" spans="1:12" x14ac:dyDescent="0.3">
      <c r="A31" s="111">
        <v>12</v>
      </c>
      <c r="D31" s="77">
        <v>50</v>
      </c>
      <c r="E31" s="11">
        <f>Input!$H$27+ROUND((Input!$C$27*'IN4'!D31),2)+ROUND(D31*Input!$N$27,2)</f>
        <v>0</v>
      </c>
      <c r="F31" s="11">
        <f>Input!$Y$27+ROUND((Input!$T$27*'IN4'!D31),2)+ROUND(Input!$N$27*'IN4'!D31,2)</f>
        <v>0</v>
      </c>
      <c r="G31" s="11">
        <f t="shared" si="0"/>
        <v>0</v>
      </c>
      <c r="H31" s="12">
        <f t="shared" si="1"/>
        <v>0</v>
      </c>
      <c r="I31" s="11">
        <f>ROUND(D31*SUM(Input!$O$27:$R$27),2)</f>
        <v>0</v>
      </c>
      <c r="J31" s="11">
        <f t="shared" si="2"/>
        <v>0</v>
      </c>
      <c r="K31" s="11">
        <f t="shared" si="3"/>
        <v>0</v>
      </c>
      <c r="L31" s="12">
        <f t="shared" si="4"/>
        <v>0</v>
      </c>
    </row>
    <row r="32" spans="1:12" x14ac:dyDescent="0.3">
      <c r="A32" s="111"/>
      <c r="D32" s="111"/>
      <c r="E32" s="111"/>
      <c r="F32" s="111"/>
      <c r="G32" s="111"/>
      <c r="H32" s="111"/>
      <c r="I32" s="111"/>
      <c r="J32" s="111"/>
      <c r="K32" s="111"/>
      <c r="L32" s="111"/>
    </row>
    <row r="33" spans="1:5" x14ac:dyDescent="0.3">
      <c r="A33" s="14"/>
      <c r="C33" s="3" t="s">
        <v>102</v>
      </c>
      <c r="E33" s="70">
        <f>Input!AE27</f>
        <v>0</v>
      </c>
    </row>
    <row r="34" spans="1:5" x14ac:dyDescent="0.3">
      <c r="C34" s="3" t="s">
        <v>154</v>
      </c>
    </row>
    <row r="36" spans="1:5" x14ac:dyDescent="0.3">
      <c r="D36" s="80"/>
    </row>
    <row r="37" spans="1:5" x14ac:dyDescent="0.3">
      <c r="B37" s="3" t="s">
        <v>111</v>
      </c>
    </row>
  </sheetData>
  <mergeCells count="5">
    <mergeCell ref="A1:L1"/>
    <mergeCell ref="A2:L2"/>
    <mergeCell ref="A4:L4"/>
    <mergeCell ref="A5:L5"/>
    <mergeCell ref="A3:L3"/>
  </mergeCells>
  <phoneticPr fontId="0" type="noConversion"/>
  <printOptions horizontalCentered="1"/>
  <pageMargins left="0.75" right="0.75" top="1" bottom="0.75" header="0.5" footer="0.5"/>
  <pageSetup scale="98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36"/>
  <sheetViews>
    <sheetView topLeftCell="A7" zoomScaleNormal="100" workbookViewId="0">
      <selection activeCell="A9" sqref="A9"/>
    </sheetView>
  </sheetViews>
  <sheetFormatPr defaultColWidth="9.08203125" defaultRowHeight="13" x14ac:dyDescent="0.3"/>
  <cols>
    <col min="1" max="1" width="9.08203125" style="3"/>
    <col min="2" max="2" width="10.33203125" style="3" customWidth="1"/>
    <col min="3" max="3" width="9.58203125" style="3" customWidth="1"/>
    <col min="4" max="10" width="9.08203125" style="3"/>
    <col min="11" max="12" width="10.33203125" style="3" customWidth="1"/>
    <col min="13" max="16384" width="9.08203125" style="3"/>
  </cols>
  <sheetData>
    <row r="1" spans="1:12" x14ac:dyDescent="0.3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x14ac:dyDescent="0.3">
      <c r="A2" s="118" t="str">
        <f>Input!$B$13</f>
        <v>CASE NO. 2021-00183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x14ac:dyDescent="0.3">
      <c r="A3" s="118" t="s">
        <v>40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x14ac:dyDescent="0.3">
      <c r="A4" s="118" t="s">
        <v>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x14ac:dyDescent="0.3">
      <c r="A5" s="118" t="str">
        <f>Input!B17</f>
        <v>TWELVE MONTHS ENDING DECEMBER 31, 2022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x14ac:dyDescent="0.3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x14ac:dyDescent="0.3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x14ac:dyDescent="0.3">
      <c r="A8" s="3" t="s">
        <v>113</v>
      </c>
      <c r="L8" s="13" t="s">
        <v>3</v>
      </c>
    </row>
    <row r="9" spans="1:12" x14ac:dyDescent="0.3">
      <c r="A9" s="1" t="s">
        <v>158</v>
      </c>
      <c r="L9" s="13" t="s">
        <v>130</v>
      </c>
    </row>
    <row r="10" spans="1:12" x14ac:dyDescent="0.3">
      <c r="A10" s="23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 t="str">
        <f>Input!B15</f>
        <v>Witness: JUDITH L. SIEGLER</v>
      </c>
    </row>
    <row r="13" spans="1:12" x14ac:dyDescent="0.3">
      <c r="D13" s="111"/>
      <c r="E13" s="111"/>
      <c r="F13" s="111"/>
      <c r="G13" s="111"/>
      <c r="H13" s="111"/>
      <c r="I13" s="111"/>
      <c r="J13" s="111" t="s">
        <v>29</v>
      </c>
      <c r="K13" s="111" t="s">
        <v>29</v>
      </c>
      <c r="L13" s="111"/>
    </row>
    <row r="14" spans="1:12" x14ac:dyDescent="0.3">
      <c r="A14" s="111" t="s">
        <v>4</v>
      </c>
      <c r="B14" s="111" t="s">
        <v>6</v>
      </c>
      <c r="C14" s="111" t="s">
        <v>8</v>
      </c>
      <c r="D14" s="111" t="s">
        <v>8</v>
      </c>
      <c r="E14" s="111" t="s">
        <v>14</v>
      </c>
      <c r="F14" s="111" t="s">
        <v>18</v>
      </c>
      <c r="G14" s="111" t="s">
        <v>20</v>
      </c>
      <c r="H14" s="111" t="s">
        <v>20</v>
      </c>
      <c r="I14" s="111" t="s">
        <v>26</v>
      </c>
      <c r="J14" s="111" t="s">
        <v>14</v>
      </c>
      <c r="K14" s="111" t="s">
        <v>18</v>
      </c>
      <c r="L14" s="111" t="s">
        <v>33</v>
      </c>
    </row>
    <row r="15" spans="1:12" x14ac:dyDescent="0.3">
      <c r="A15" s="72" t="s">
        <v>5</v>
      </c>
      <c r="B15" s="72" t="s">
        <v>7</v>
      </c>
      <c r="C15" s="72" t="s">
        <v>9</v>
      </c>
      <c r="D15" s="72" t="s">
        <v>10</v>
      </c>
      <c r="E15" s="72" t="s">
        <v>15</v>
      </c>
      <c r="F15" s="72" t="s">
        <v>15</v>
      </c>
      <c r="G15" s="73" t="s">
        <v>21</v>
      </c>
      <c r="H15" s="73" t="s">
        <v>23</v>
      </c>
      <c r="I15" s="72" t="s">
        <v>27</v>
      </c>
      <c r="J15" s="72" t="s">
        <v>15</v>
      </c>
      <c r="K15" s="72" t="s">
        <v>15</v>
      </c>
      <c r="L15" s="72" t="s">
        <v>20</v>
      </c>
    </row>
    <row r="16" spans="1:12" x14ac:dyDescent="0.3">
      <c r="D16" s="10" t="s">
        <v>12</v>
      </c>
      <c r="E16" s="10" t="s">
        <v>16</v>
      </c>
      <c r="F16" s="10" t="s">
        <v>16</v>
      </c>
      <c r="G16" s="10" t="s">
        <v>16</v>
      </c>
      <c r="H16" s="10" t="s">
        <v>24</v>
      </c>
      <c r="I16" s="10" t="s">
        <v>16</v>
      </c>
      <c r="J16" s="10" t="s">
        <v>16</v>
      </c>
      <c r="K16" s="10" t="s">
        <v>16</v>
      </c>
      <c r="L16" s="10" t="s">
        <v>24</v>
      </c>
    </row>
    <row r="17" spans="1:12" x14ac:dyDescent="0.3">
      <c r="C17" s="10" t="s">
        <v>11</v>
      </c>
      <c r="D17" s="10" t="s">
        <v>13</v>
      </c>
      <c r="E17" s="10" t="s">
        <v>17</v>
      </c>
      <c r="F17" s="10" t="s">
        <v>19</v>
      </c>
      <c r="G17" s="10" t="s">
        <v>22</v>
      </c>
      <c r="H17" s="10" t="s">
        <v>25</v>
      </c>
      <c r="I17" s="10" t="s">
        <v>28</v>
      </c>
      <c r="J17" s="10" t="s">
        <v>30</v>
      </c>
      <c r="K17" s="10" t="s">
        <v>31</v>
      </c>
      <c r="L17" s="10" t="s">
        <v>32</v>
      </c>
    </row>
    <row r="18" spans="1:12" x14ac:dyDescent="0.3">
      <c r="D18" s="111"/>
      <c r="E18" s="111"/>
      <c r="F18" s="111"/>
      <c r="G18" s="111"/>
      <c r="H18" s="111"/>
      <c r="I18" s="111"/>
      <c r="J18" s="10" t="s">
        <v>34</v>
      </c>
      <c r="K18" s="10" t="s">
        <v>35</v>
      </c>
      <c r="L18" s="10" t="s">
        <v>36</v>
      </c>
    </row>
    <row r="19" spans="1:12" x14ac:dyDescent="0.3">
      <c r="A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x14ac:dyDescent="0.3">
      <c r="A20" s="111">
        <v>1</v>
      </c>
      <c r="B20" s="111" t="s">
        <v>48</v>
      </c>
      <c r="C20" s="111" t="s">
        <v>38</v>
      </c>
      <c r="D20" s="71">
        <v>1</v>
      </c>
      <c r="E20" s="11">
        <f>Input!$H$28+ROUND((Input!$C$28*'IN5'!D20),2)+(ROUND(D20*(Input!$N$28),2))</f>
        <v>0.6</v>
      </c>
      <c r="F20" s="11">
        <f>Input!$Y$28+ROUND(Input!$T$28*'IN5'!D20,2)+ROUND(Input!$N$28*'IN5'!D20,2)</f>
        <v>0.6</v>
      </c>
      <c r="G20" s="11">
        <f>F20-E20</f>
        <v>0</v>
      </c>
      <c r="H20" s="12">
        <f>ROUND(G20/E20,3)</f>
        <v>0</v>
      </c>
      <c r="I20" s="11">
        <f>ROUND(D20*SUM(Input!$O$28:$R$28),2)</f>
        <v>0</v>
      </c>
      <c r="J20" s="11">
        <f>E20+I20</f>
        <v>0.6</v>
      </c>
      <c r="K20" s="11">
        <f>F20+I20</f>
        <v>0.6</v>
      </c>
      <c r="L20" s="12">
        <f>ROUND((K20-J20)/J20,3)</f>
        <v>0</v>
      </c>
    </row>
    <row r="21" spans="1:12" x14ac:dyDescent="0.3">
      <c r="A21" s="111">
        <v>2</v>
      </c>
      <c r="B21" s="111" t="s">
        <v>56</v>
      </c>
      <c r="C21" s="111" t="s">
        <v>39</v>
      </c>
      <c r="D21" s="71">
        <v>3</v>
      </c>
      <c r="E21" s="11">
        <f>Input!$H$28+ROUND((Input!$C$28*'IN5'!D21),2)+(ROUND(D21*(Input!$N$28),2))</f>
        <v>1.8</v>
      </c>
      <c r="F21" s="11">
        <f>Input!$Y$28+ROUND(Input!$T$28*'IN5'!D21,2)+ROUND(Input!$N$28*'IN5'!D21,2)</f>
        <v>1.8</v>
      </c>
      <c r="G21" s="11">
        <f t="shared" ref="G21:G31" si="0">F21-E21</f>
        <v>0</v>
      </c>
      <c r="H21" s="12">
        <f t="shared" ref="H21:H31" si="1">ROUND(G21/E21,3)</f>
        <v>0</v>
      </c>
      <c r="I21" s="11">
        <f>ROUND(D21*SUM(Input!$O$28:$R$28),2)</f>
        <v>0</v>
      </c>
      <c r="J21" s="11">
        <f t="shared" ref="J21:J31" si="2">E21+I21</f>
        <v>1.8</v>
      </c>
      <c r="K21" s="11">
        <f t="shared" ref="K21:K31" si="3">F21+I21</f>
        <v>1.8</v>
      </c>
      <c r="L21" s="12">
        <f t="shared" ref="L21:L31" si="4">ROUND((K21-J21)/J21,3)</f>
        <v>0</v>
      </c>
    </row>
    <row r="22" spans="1:12" x14ac:dyDescent="0.3">
      <c r="A22" s="111">
        <v>3</v>
      </c>
      <c r="B22" s="111" t="s">
        <v>26</v>
      </c>
      <c r="D22" s="71">
        <v>6</v>
      </c>
      <c r="E22" s="11">
        <f>Input!$H$28+ROUND((Input!$C$28*'IN5'!D22),2)+(ROUND(D22*(Input!$N$28),2))</f>
        <v>3.6</v>
      </c>
      <c r="F22" s="11">
        <f>Input!$Y$28+ROUND(Input!$T$28*'IN5'!D22,2)+ROUND(Input!$N$28*'IN5'!D22,2)</f>
        <v>3.6</v>
      </c>
      <c r="G22" s="11">
        <f t="shared" si="0"/>
        <v>0</v>
      </c>
      <c r="H22" s="12">
        <f t="shared" si="1"/>
        <v>0</v>
      </c>
      <c r="I22" s="11">
        <f>ROUND(D22*SUM(Input!$O$28:$R$28),2)</f>
        <v>0</v>
      </c>
      <c r="J22" s="11">
        <f t="shared" si="2"/>
        <v>3.6</v>
      </c>
      <c r="K22" s="11">
        <f t="shared" si="3"/>
        <v>3.6</v>
      </c>
      <c r="L22" s="12">
        <f t="shared" si="4"/>
        <v>0</v>
      </c>
    </row>
    <row r="23" spans="1:12" x14ac:dyDescent="0.3">
      <c r="A23" s="111">
        <v>4</v>
      </c>
      <c r="B23" s="111" t="s">
        <v>42</v>
      </c>
      <c r="D23" s="71">
        <v>7</v>
      </c>
      <c r="E23" s="11">
        <f>Input!$H$28+ROUND((Input!$C$28*'IN5'!D23),2)+(ROUND(D23*(Input!$N$28),2))</f>
        <v>4.2</v>
      </c>
      <c r="F23" s="11">
        <f>Input!$Y$28+ROUND(Input!$T$28*'IN5'!D23,2)+ROUND(Input!$N$28*'IN5'!D23,2)</f>
        <v>4.2</v>
      </c>
      <c r="G23" s="11">
        <f t="shared" si="0"/>
        <v>0</v>
      </c>
      <c r="H23" s="12">
        <f t="shared" si="1"/>
        <v>0</v>
      </c>
      <c r="I23" s="11">
        <f>ROUND(D23*SUM(Input!$O$28:$R$28),2)</f>
        <v>0</v>
      </c>
      <c r="J23" s="11">
        <f t="shared" si="2"/>
        <v>4.2</v>
      </c>
      <c r="K23" s="11">
        <f t="shared" si="3"/>
        <v>4.2</v>
      </c>
      <c r="L23" s="12">
        <f t="shared" si="4"/>
        <v>0</v>
      </c>
    </row>
    <row r="24" spans="1:12" x14ac:dyDescent="0.3">
      <c r="A24" s="111">
        <v>5</v>
      </c>
      <c r="B24" s="111" t="s">
        <v>43</v>
      </c>
      <c r="D24" s="71">
        <f>E33</f>
        <v>7.3</v>
      </c>
      <c r="E24" s="11">
        <f>Input!$H$28+ROUND((Input!$C$28*'IN5'!D24),2)+(ROUND(D24*(Input!$N$28),2))</f>
        <v>4.38</v>
      </c>
      <c r="F24" s="11">
        <f>Input!$Y$28+ROUND(Input!$T$28*'IN5'!D24,2)+ROUND(Input!$N$28*'IN5'!D24,2)</f>
        <v>4.38</v>
      </c>
      <c r="G24" s="11">
        <f>F24-E24</f>
        <v>0</v>
      </c>
      <c r="H24" s="12">
        <f t="shared" si="1"/>
        <v>0</v>
      </c>
      <c r="I24" s="11">
        <f>ROUND(D24*SUM(Input!$O$28:$R$28),2)</f>
        <v>0</v>
      </c>
      <c r="J24" s="11">
        <f t="shared" si="2"/>
        <v>4.38</v>
      </c>
      <c r="K24" s="11">
        <f>F24+I24</f>
        <v>4.38</v>
      </c>
      <c r="L24" s="12">
        <f t="shared" si="4"/>
        <v>0</v>
      </c>
    </row>
    <row r="25" spans="1:12" x14ac:dyDescent="0.3">
      <c r="A25" s="111">
        <v>6</v>
      </c>
      <c r="B25" s="112" t="s">
        <v>37</v>
      </c>
      <c r="D25" s="71">
        <v>10</v>
      </c>
      <c r="E25" s="11">
        <f>Input!$H$28+ROUND((Input!$C$28*'IN5'!D25),2)+(ROUND(D25*(Input!$N$28),2))</f>
        <v>6</v>
      </c>
      <c r="F25" s="11">
        <f>Input!$Y$28+ROUND(Input!$T$28*'IN5'!D25,2)+ROUND(Input!$N$28*'IN5'!D25,2)</f>
        <v>6</v>
      </c>
      <c r="G25" s="11">
        <f t="shared" si="0"/>
        <v>0</v>
      </c>
      <c r="H25" s="12">
        <f t="shared" si="1"/>
        <v>0</v>
      </c>
      <c r="I25" s="11">
        <f>ROUND(D25*SUM(Input!$O$28:$R$28),2)</f>
        <v>0</v>
      </c>
      <c r="J25" s="11">
        <f t="shared" si="2"/>
        <v>6</v>
      </c>
      <c r="K25" s="11">
        <f t="shared" si="3"/>
        <v>6</v>
      </c>
      <c r="L25" s="12">
        <f t="shared" si="4"/>
        <v>0</v>
      </c>
    </row>
    <row r="26" spans="1:12" x14ac:dyDescent="0.3">
      <c r="A26" s="111">
        <v>7</v>
      </c>
      <c r="D26" s="71">
        <v>15</v>
      </c>
      <c r="E26" s="11">
        <f>Input!$H$28+ROUND((Input!$C$28*'IN5'!D26),2)+(ROUND(D26*(Input!$N$28),2))</f>
        <v>9</v>
      </c>
      <c r="F26" s="11">
        <f>Input!$Y$28+ROUND(Input!$T$28*'IN5'!D26,2)+ROUND(Input!$N$28*'IN5'!D26,2)</f>
        <v>9</v>
      </c>
      <c r="G26" s="11">
        <f t="shared" si="0"/>
        <v>0</v>
      </c>
      <c r="H26" s="12">
        <f t="shared" si="1"/>
        <v>0</v>
      </c>
      <c r="I26" s="11">
        <f>ROUND(D26*SUM(Input!$O$28:$R$28),2)</f>
        <v>0</v>
      </c>
      <c r="J26" s="11">
        <f t="shared" si="2"/>
        <v>9</v>
      </c>
      <c r="K26" s="11">
        <f t="shared" si="3"/>
        <v>9</v>
      </c>
      <c r="L26" s="12">
        <f t="shared" si="4"/>
        <v>0</v>
      </c>
    </row>
    <row r="27" spans="1:12" x14ac:dyDescent="0.3">
      <c r="A27" s="111">
        <v>8</v>
      </c>
      <c r="D27" s="71">
        <v>16</v>
      </c>
      <c r="E27" s="11">
        <f>Input!$H$28+ROUND((Input!$C$28*'IN5'!D27),2)+(ROUND(D27*(Input!$N$28),2))</f>
        <v>9.6</v>
      </c>
      <c r="F27" s="11">
        <f>Input!$Y$28+ROUND(Input!$T$28*'IN5'!D27,2)+ROUND(Input!$N$28*'IN5'!D27,2)</f>
        <v>9.6</v>
      </c>
      <c r="G27" s="11">
        <f t="shared" si="0"/>
        <v>0</v>
      </c>
      <c r="H27" s="12">
        <f t="shared" si="1"/>
        <v>0</v>
      </c>
      <c r="I27" s="11">
        <f>ROUND(D27*SUM(Input!$O$28:$R$28),2)</f>
        <v>0</v>
      </c>
      <c r="J27" s="11">
        <f t="shared" si="2"/>
        <v>9.6</v>
      </c>
      <c r="K27" s="11">
        <f t="shared" si="3"/>
        <v>9.6</v>
      </c>
      <c r="L27" s="12">
        <f t="shared" si="4"/>
        <v>0</v>
      </c>
    </row>
    <row r="28" spans="1:12" x14ac:dyDescent="0.3">
      <c r="A28" s="111">
        <v>9</v>
      </c>
      <c r="D28" s="71">
        <v>20</v>
      </c>
      <c r="E28" s="11">
        <f>Input!$H$28+ROUND((Input!$C$28*'IN5'!D28),2)+(ROUND(D28*(Input!$N$28),2))</f>
        <v>12</v>
      </c>
      <c r="F28" s="11">
        <f>Input!$Y$28+ROUND(Input!$T$28*'IN5'!D28,2)+ROUND(Input!$N$28*'IN5'!D28,2)</f>
        <v>12</v>
      </c>
      <c r="G28" s="11">
        <f t="shared" si="0"/>
        <v>0</v>
      </c>
      <c r="H28" s="12">
        <f t="shared" si="1"/>
        <v>0</v>
      </c>
      <c r="I28" s="11">
        <f>ROUND(D28*SUM(Input!$O$28:$R$28),2)</f>
        <v>0</v>
      </c>
      <c r="J28" s="11">
        <f t="shared" si="2"/>
        <v>12</v>
      </c>
      <c r="K28" s="11">
        <f t="shared" si="3"/>
        <v>12</v>
      </c>
      <c r="L28" s="12">
        <f t="shared" si="4"/>
        <v>0</v>
      </c>
    </row>
    <row r="29" spans="1:12" x14ac:dyDescent="0.3">
      <c r="A29" s="111">
        <v>10</v>
      </c>
      <c r="D29" s="71">
        <v>30</v>
      </c>
      <c r="E29" s="11">
        <f>Input!$H$28+ROUND((Input!$C$28*'IN5'!D29),2)+(ROUND(D29*(Input!$N$28),2))</f>
        <v>18</v>
      </c>
      <c r="F29" s="11">
        <f>Input!$Y$28+ROUND(Input!$T$28*'IN5'!D29,2)+ROUND(Input!$N$28*'IN5'!D29,2)</f>
        <v>18</v>
      </c>
      <c r="G29" s="11">
        <f t="shared" si="0"/>
        <v>0</v>
      </c>
      <c r="H29" s="12">
        <f t="shared" si="1"/>
        <v>0</v>
      </c>
      <c r="I29" s="11">
        <f>ROUND(D29*SUM(Input!$O$28:$R$28),2)</f>
        <v>0</v>
      </c>
      <c r="J29" s="11">
        <f t="shared" si="2"/>
        <v>18</v>
      </c>
      <c r="K29" s="11">
        <f t="shared" si="3"/>
        <v>18</v>
      </c>
      <c r="L29" s="12">
        <f t="shared" si="4"/>
        <v>0</v>
      </c>
    </row>
    <row r="30" spans="1:12" x14ac:dyDescent="0.3">
      <c r="A30" s="111">
        <v>11</v>
      </c>
      <c r="D30" s="71">
        <v>40</v>
      </c>
      <c r="E30" s="11">
        <f>Input!$H$28+ROUND((Input!$C$28*'IN5'!D30),2)+(ROUND(D30*(Input!$N$28),2))</f>
        <v>24</v>
      </c>
      <c r="F30" s="11">
        <f>Input!$Y$28+ROUND(Input!$T$28*'IN5'!D30,2)+ROUND(Input!$N$28*'IN5'!D30,2)</f>
        <v>24</v>
      </c>
      <c r="G30" s="11">
        <f t="shared" si="0"/>
        <v>0</v>
      </c>
      <c r="H30" s="12">
        <f t="shared" si="1"/>
        <v>0</v>
      </c>
      <c r="I30" s="11">
        <f>ROUND(D30*SUM(Input!$O$28:$R$28),2)</f>
        <v>0</v>
      </c>
      <c r="J30" s="11">
        <f t="shared" si="2"/>
        <v>24</v>
      </c>
      <c r="K30" s="11">
        <f t="shared" si="3"/>
        <v>24</v>
      </c>
      <c r="L30" s="12">
        <f t="shared" si="4"/>
        <v>0</v>
      </c>
    </row>
    <row r="31" spans="1:12" x14ac:dyDescent="0.3">
      <c r="A31" s="111">
        <v>12</v>
      </c>
      <c r="D31" s="71">
        <v>50</v>
      </c>
      <c r="E31" s="11">
        <f>Input!$H$28+ROUND((Input!$C$28*'IN5'!D31),2)+(ROUND(D31*(Input!$N$28),2))</f>
        <v>30</v>
      </c>
      <c r="F31" s="11">
        <f>Input!$Y$28+ROUND(Input!$T$28*'IN5'!D31,2)+ROUND(Input!$N$28*'IN5'!D31,2)</f>
        <v>30</v>
      </c>
      <c r="G31" s="11">
        <f t="shared" si="0"/>
        <v>0</v>
      </c>
      <c r="H31" s="12">
        <f t="shared" si="1"/>
        <v>0</v>
      </c>
      <c r="I31" s="11">
        <f>ROUND(D31*SUM(Input!$O$28:$R$28),2)</f>
        <v>0</v>
      </c>
      <c r="J31" s="11">
        <f t="shared" si="2"/>
        <v>30</v>
      </c>
      <c r="K31" s="11">
        <f t="shared" si="3"/>
        <v>30</v>
      </c>
      <c r="L31" s="12">
        <f t="shared" si="4"/>
        <v>0</v>
      </c>
    </row>
    <row r="32" spans="1:12" x14ac:dyDescent="0.3">
      <c r="A32" s="111"/>
      <c r="D32" s="111"/>
      <c r="E32" s="111"/>
      <c r="F32" s="111"/>
      <c r="G32" s="111"/>
      <c r="H32" s="111"/>
      <c r="I32" s="111"/>
      <c r="J32" s="111"/>
      <c r="K32" s="111"/>
      <c r="L32" s="111"/>
    </row>
    <row r="33" spans="1:5" x14ac:dyDescent="0.3">
      <c r="A33" s="14"/>
      <c r="C33" s="3" t="s">
        <v>102</v>
      </c>
      <c r="E33" s="70">
        <f>Input!AE28</f>
        <v>7.3</v>
      </c>
    </row>
    <row r="36" spans="1:5" x14ac:dyDescent="0.3">
      <c r="B36" s="3" t="s">
        <v>111</v>
      </c>
      <c r="D36" s="80"/>
    </row>
  </sheetData>
  <mergeCells count="5">
    <mergeCell ref="A1:L1"/>
    <mergeCell ref="A2:L2"/>
    <mergeCell ref="A4:L4"/>
    <mergeCell ref="A5:L5"/>
    <mergeCell ref="A3:L3"/>
  </mergeCells>
  <phoneticPr fontId="0" type="noConversion"/>
  <printOptions horizontalCentered="1"/>
  <pageMargins left="0.75" right="0.75" top="1" bottom="0.75" header="0.5" footer="0.5"/>
  <pageSetup scale="9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</vt:i4>
      </vt:variant>
    </vt:vector>
  </HeadingPairs>
  <TitlesOfParts>
    <vt:vector size="22" baseType="lpstr">
      <vt:lpstr>Input</vt:lpstr>
      <vt:lpstr>INDEX N</vt:lpstr>
      <vt:lpstr>GSR</vt:lpstr>
      <vt:lpstr>G1C</vt:lpstr>
      <vt:lpstr>G1R</vt:lpstr>
      <vt:lpstr>IN3R</vt:lpstr>
      <vt:lpstr>IN3C</vt:lpstr>
      <vt:lpstr>IN4</vt:lpstr>
      <vt:lpstr>IN5</vt:lpstr>
      <vt:lpstr>LG2R</vt:lpstr>
      <vt:lpstr>LG2C</vt:lpstr>
      <vt:lpstr>LG3</vt:lpstr>
      <vt:lpstr>LG4</vt:lpstr>
      <vt:lpstr>GSO</vt:lpstr>
      <vt:lpstr>IS</vt:lpstr>
      <vt:lpstr>IUS</vt:lpstr>
      <vt:lpstr>IN3C!Print_Area</vt:lpstr>
      <vt:lpstr>'IN4'!Print_Area</vt:lpstr>
      <vt:lpstr>'INDEX N'!Print_Area</vt:lpstr>
      <vt:lpstr>Input!Print_Area</vt:lpstr>
      <vt:lpstr>LG2C!Print_Area</vt:lpstr>
      <vt:lpstr>Print_Area_MI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Ann Strauss</dc:creator>
  <cp:lastModifiedBy>Balmert \ Mark \ P</cp:lastModifiedBy>
  <cp:lastPrinted>2021-10-14T14:02:41Z</cp:lastPrinted>
  <dcterms:created xsi:type="dcterms:W3CDTF">2002-02-26T16:35:47Z</dcterms:created>
  <dcterms:modified xsi:type="dcterms:W3CDTF">2021-10-25T14:26:22Z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</Properties>
</file>