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 codeName="ThisWorkbook" defaultThemeVersion="124226"/>
  <xr:revisionPtr revIDLastSave="0" documentId="8_{CFC1926D-0487-4480-956F-E35B8379352D}" xr6:coauthVersionLast="45" xr6:coauthVersionMax="45" xr10:uidLastSave="{00000000-0000-0000-0000-000000000000}"/>
  <bookViews>
    <workbookView xWindow="-120" yWindow="-120" windowWidth="27180" windowHeight="16440" tabRatio="908" xr2:uid="{00000000-000D-0000-FFFF-FFFF00000000}"/>
  </bookViews>
  <sheets>
    <sheet name="SMRP Rider Calc Form 1.0" sheetId="192" r:id="rId1"/>
    <sheet name="Rev Req 2021 Form 1.1" sheetId="189" r:id="rId2"/>
    <sheet name="ROR Form 1.2" sheetId="8" r:id="rId3"/>
    <sheet name="Cap Ex 2021 Form 2.13" sheetId="170" r:id="rId4"/>
    <sheet name="Plant &amp; Book Depr Form 2.0" sheetId="194" r:id="rId5"/>
    <sheet name="202201 Bk Depr Form 2.1" sheetId="171" r:id="rId6"/>
    <sheet name="202202 Bk Depr Form 2.2" sheetId="172" r:id="rId7"/>
    <sheet name="202203 Bk Depr Form 2.3" sheetId="173" r:id="rId8"/>
    <sheet name="202204 Bk Depr Form 2.4" sheetId="174" r:id="rId9"/>
    <sheet name="202205 Bk Depr Form 2.5" sheetId="175" r:id="rId10"/>
    <sheet name="202206 Bk Depr Form 2.6" sheetId="176" r:id="rId11"/>
    <sheet name="202207 Bk Depr Form 2.7" sheetId="177" r:id="rId12"/>
    <sheet name="202208 Bk Depr Form 2.8" sheetId="178" r:id="rId13"/>
    <sheet name="202209 Bk Depr Form 2.9" sheetId="179" r:id="rId14"/>
    <sheet name="202210 Bk Depr Form 2.10" sheetId="180" r:id="rId15"/>
    <sheet name="202211 Bk Depr Form 2.11" sheetId="181" r:id="rId16"/>
    <sheet name="202212 Bk Depr Form 2.12" sheetId="182" r:id="rId17"/>
    <sheet name="Tax Depr Form 2.14 p.1" sheetId="195" r:id="rId18"/>
    <sheet name="Tax Depr Form 2.14 p.2" sheetId="196" r:id="rId19"/>
    <sheet name="Tax Depr Form 2.14 p.3" sheetId="197" r:id="rId20"/>
    <sheet name="Tax Depr Form 2.14 p.4" sheetId="199" r:id="rId21"/>
  </sheets>
  <externalReferences>
    <externalReference r:id="rId22"/>
    <externalReference r:id="rId23"/>
    <externalReference r:id="rId24"/>
    <externalReference r:id="rId25"/>
  </externalReferences>
  <definedNames>
    <definedName name="_Order1" hidden="1">0</definedName>
    <definedName name="_Order2" hidden="1">0</definedName>
    <definedName name="case" localSheetId="0">'[1]Sch 14a pg 1 Rev Req'!#REF!</definedName>
    <definedName name="case" localSheetId="20">'[1]Sch 14a pg 1 Rev Req'!#REF!</definedName>
    <definedName name="case">'[1]Sch 14a pg 1 Rev Req'!#REF!</definedName>
    <definedName name="CheckDataCol_49">#REF!</definedName>
    <definedName name="ClrInptfrEst">[2]Input!$K$60,[2]Input!$K$61,[2]Input!$K$63,[2]Input!$K$67,[2]Input!#REF!,[2]Input!#REF!,[2]Input!#REF!,[2]Input!$K$64,[2]Input!$K$38,[2]Input!$K$39,[2]Input!$K$40</definedName>
    <definedName name="co" localSheetId="0">'[1]Sch 14b Acct 376 Rate Base'!#REF!</definedName>
    <definedName name="co" localSheetId="20">'[1]Sch 14b Acct 376 Rate Base'!#REF!</definedName>
    <definedName name="co">'[1]Sch 14b Acct 376 Rate Base'!#REF!</definedName>
    <definedName name="CurBillMonth">#REF!</definedName>
    <definedName name="DataCol_01">#REF!</definedName>
    <definedName name="DataCol_01_02">#REF!</definedName>
    <definedName name="DataCol_02">#REF!</definedName>
    <definedName name="DataCol_02_02">#REF!</definedName>
    <definedName name="DataCol_03">#REF!</definedName>
    <definedName name="DataCol_03_02">#REF!</definedName>
    <definedName name="DataCol_04">#REF!</definedName>
    <definedName name="DataCol_05">#REF!</definedName>
    <definedName name="DataCol_06">#REF!</definedName>
    <definedName name="DataCol_07">#REF!</definedName>
    <definedName name="DataCol_08">#REF!</definedName>
    <definedName name="DataCol_09">#REF!</definedName>
    <definedName name="DataCol_10">#REF!</definedName>
    <definedName name="DataCol_11">#REF!</definedName>
    <definedName name="DataCol_12">#REF!</definedName>
    <definedName name="DataCol_13">#REF!</definedName>
    <definedName name="DataCol_14">#REF!</definedName>
    <definedName name="DataCol_15">#REF!</definedName>
    <definedName name="DataCol_16">#REF!</definedName>
    <definedName name="DataCol_17">#REF!</definedName>
    <definedName name="DataCol_18">#REF!</definedName>
    <definedName name="DataCol_19">#REF!</definedName>
    <definedName name="DataCol_20">#REF!</definedName>
    <definedName name="DataCol_21">#REF!</definedName>
    <definedName name="DataCol_22">#REF!</definedName>
    <definedName name="DataCol_23">#REF!</definedName>
    <definedName name="DataCol_24">#REF!</definedName>
    <definedName name="DataCol_25">#REF!</definedName>
    <definedName name="DataCol_26">#REF!</definedName>
    <definedName name="DataCol_27">#REF!</definedName>
    <definedName name="DataCol_28">#REF!</definedName>
    <definedName name="DataCol_29">#REF!</definedName>
    <definedName name="DataCol_30">#REF!</definedName>
    <definedName name="DataCol_31">#REF!</definedName>
    <definedName name="DataCol_32">#REF!</definedName>
    <definedName name="DataCol_33">#REF!</definedName>
    <definedName name="DataCol_34">#REF!</definedName>
    <definedName name="DataCol_35">#REF!</definedName>
    <definedName name="DataCol_36">#REF!</definedName>
    <definedName name="DataCol_37">#REF!</definedName>
    <definedName name="DataCol_38">#REF!</definedName>
    <definedName name="DataCol_39">#REF!</definedName>
    <definedName name="DataCol_40">#REF!</definedName>
    <definedName name="DataCol_41">#REF!</definedName>
    <definedName name="DataCol_42">#REF!</definedName>
    <definedName name="DataCol_43">#REF!</definedName>
    <definedName name="DataCol_44">#REF!</definedName>
    <definedName name="DataCol_45">#REF!</definedName>
    <definedName name="DataCol_46">#REF!</definedName>
    <definedName name="DataCol_47">#REF!</definedName>
    <definedName name="DataCol_48">#REF!</definedName>
    <definedName name="DataCol_49">#REF!</definedName>
    <definedName name="f" localSheetId="0">'[1]Sch 14a pg 1 Rev Req'!#REF!</definedName>
    <definedName name="f" localSheetId="20">'[1]Sch 14a pg 1 Rev Req'!#REF!</definedName>
    <definedName name="f">'[1]Sch 14a pg 1 Rev Req'!#REF!</definedName>
    <definedName name="InputItemsTable">#REF!</definedName>
    <definedName name="InputSec_01">#REF!</definedName>
    <definedName name="InputSec_02A">#REF!</definedName>
    <definedName name="InputSec_02B">#REF!</definedName>
    <definedName name="InputSec_02C">#REF!</definedName>
    <definedName name="NextBillMonth">#REF!</definedName>
    <definedName name="_xlnm.Print_Area" localSheetId="5">'202201 Bk Depr Form 2.1'!$A$1:$R$55</definedName>
    <definedName name="_xlnm.Print_Area" localSheetId="9">'202205 Bk Depr Form 2.5'!$A$1:$R$55</definedName>
    <definedName name="_xlnm.Print_Area" localSheetId="10">'202206 Bk Depr Form 2.6'!$A$1:$R$55</definedName>
    <definedName name="_xlnm.Print_Area" localSheetId="11">'202207 Bk Depr Form 2.7'!$A$1:$R$54</definedName>
    <definedName name="_xlnm.Print_Area" localSheetId="12">'202208 Bk Depr Form 2.8'!$A$1:$R$54</definedName>
    <definedName name="_xlnm.Print_Area" localSheetId="14">'202210 Bk Depr Form 2.10'!$A$1:$R$54</definedName>
    <definedName name="_xlnm.Print_Area" localSheetId="3">'Cap Ex 2021 Form 2.13'!$A$1:$P$48</definedName>
    <definedName name="_xlnm.Print_Area" localSheetId="4">'Plant &amp; Book Depr Form 2.0'!$A$1:$J$52</definedName>
    <definedName name="_xlnm.Print_Area" localSheetId="1">'Rev Req 2021 Form 1.1'!$A$1:$S$58</definedName>
    <definedName name="_xlnm.Print_Area" localSheetId="2">'ROR Form 1.2'!$A$1:$G$21</definedName>
    <definedName name="_xlnm.Print_Area" localSheetId="0">'SMRP Rider Calc Form 1.0'!$A$1:$F$32</definedName>
    <definedName name="_xlnm.Print_Area" localSheetId="17">'Tax Depr Form 2.14 p.1'!$A$1:$AM$52</definedName>
    <definedName name="_xlnm.Print_Area" localSheetId="18">'Tax Depr Form 2.14 p.2'!$A$1:$AM$80</definedName>
    <definedName name="_xlnm.Print_Area" localSheetId="19">'Tax Depr Form 2.14 p.3'!$A$1:$AM$80</definedName>
    <definedName name="_xlnm.Print_Titles" localSheetId="17">'Tax Depr Form 2.14 p.1'!$A:$B</definedName>
    <definedName name="_xlnm.Print_Titles" localSheetId="18">'Tax Depr Form 2.14 p.2'!$A:$B</definedName>
    <definedName name="_xlnm.Print_Titles" localSheetId="19">'Tax Depr Form 2.14 p.3'!$A:$B</definedName>
    <definedName name="ReptItemsTableAll">[3]Data!$O$85:$BK$134</definedName>
    <definedName name="RevCas1AllInp">#REF!,#REF!,#REF!,#REF!,#REF!,#REF!,#REF!,#REF!,#REF!,#REF!,#REF!</definedName>
    <definedName name="RevCas1AmortAmt1">[2]Input!$K$110</definedName>
    <definedName name="RevCas1AmortAmt2">[2]Input!$K$112</definedName>
    <definedName name="RevCas1AmortAmt3">[2]Input!$K$114</definedName>
    <definedName name="RevCas1AmortPer1">[2]Input!$Q$110</definedName>
    <definedName name="RevCas1AmortPer2">[2]Input!$Q$112</definedName>
    <definedName name="RevCas1AmortPer3">[2]Input!$Q$114</definedName>
    <definedName name="RevCas1Bal">[2]Input!$G$110</definedName>
    <definedName name="RevCas2AllInp">#REF!,#REF!,#REF!,#REF!,#REF!,#REF!,#REF!,#REF!,#REF!,#REF!,#REF!</definedName>
    <definedName name="RevCas2AmortAmt1">[2]Input!$K$124</definedName>
    <definedName name="RevCas2AmortAmt2">#REF!</definedName>
    <definedName name="RevCas2AmortAmt3">[2]Input!$K$128</definedName>
    <definedName name="RevCas2AmortPer1">[2]Input!$Q$124</definedName>
    <definedName name="RevCas2AmortPer2">#REF!</definedName>
    <definedName name="RevCas2AmortPer3">[2]Input!$Q$128</definedName>
    <definedName name="RevCas2Bal">[2]Input!$G$124</definedName>
    <definedName name="RevCas3AllInp">#REF!,#REF!,#REF!,#REF!,#REF!,#REF!,#REF!,#REF!,#REF!,#REF!,#REF!</definedName>
    <definedName name="RevCas3AmortAmt1">#REF!</definedName>
    <definedName name="RevCas3AmortAmt2">#REF!</definedName>
    <definedName name="RevCas3AmortPer1">#REF!</definedName>
    <definedName name="RevCas3AmortPer2">#REF!</definedName>
    <definedName name="RevCas3Bal">#REF!</definedName>
    <definedName name="RevCas4AllInp">#REF!,#REF!,#REF!,#REF!,#REF!,#REF!,#REF!,#REF!,#REF!,#REF!,#REF!</definedName>
    <definedName name="RevCas4AmortAmt1">[2]Input!$K$152</definedName>
    <definedName name="RevCas4AmortPer1">[2]Input!$Q$152</definedName>
    <definedName name="RevCas5AllInp">#REF!,#REF!,#REF!,#REF!,#REF!,#REF!,#REF!,#REF!,#REF!,#REF!,#REF!</definedName>
    <definedName name="RevCas5AmortPer2">[2]Input!$Q$168</definedName>
    <definedName name="StartBalance">#REF!</definedName>
    <definedName name="StartBalanceG1">[4]Startup!$N$10</definedName>
    <definedName name="StartBillMonth">#REF!</definedName>
    <definedName name="TableName">"Dummy"</definedName>
    <definedName name="Tickmark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6" i="171" l="1"/>
  <c r="H37" i="171" s="1"/>
  <c r="H25" i="171"/>
  <c r="H36" i="171" s="1"/>
  <c r="H24" i="171"/>
  <c r="H35" i="171" s="1"/>
  <c r="H23" i="171"/>
  <c r="H34" i="171" s="1"/>
  <c r="H21" i="171"/>
  <c r="H32" i="171" s="1"/>
  <c r="H20" i="171"/>
  <c r="H19" i="171"/>
  <c r="H30" i="171" s="1"/>
  <c r="H31" i="171" s="1"/>
  <c r="H22" i="171" l="1"/>
  <c r="H33" i="171" s="1"/>
  <c r="H37" i="175"/>
  <c r="H37" i="176" s="1"/>
  <c r="H37" i="177" s="1"/>
  <c r="H37" i="178" s="1"/>
  <c r="H37" i="179" s="1"/>
  <c r="H37" i="180" s="1"/>
  <c r="H37" i="181" s="1"/>
  <c r="H37" i="182" s="1"/>
  <c r="H36" i="175"/>
  <c r="H36" i="176" s="1"/>
  <c r="H36" i="177" s="1"/>
  <c r="H36" i="178" s="1"/>
  <c r="H36" i="179" s="1"/>
  <c r="H36" i="180" s="1"/>
  <c r="H36" i="181" s="1"/>
  <c r="H36" i="182" s="1"/>
  <c r="H35" i="175"/>
  <c r="H35" i="176" s="1"/>
  <c r="H35" i="177" s="1"/>
  <c r="H35" i="178" s="1"/>
  <c r="H35" i="179" s="1"/>
  <c r="H35" i="180" s="1"/>
  <c r="H35" i="181" s="1"/>
  <c r="H35" i="182" s="1"/>
  <c r="H34" i="175"/>
  <c r="H34" i="176" s="1"/>
  <c r="H34" i="177" s="1"/>
  <c r="H34" i="178" s="1"/>
  <c r="H34" i="179" s="1"/>
  <c r="H34" i="180" s="1"/>
  <c r="H34" i="181" s="1"/>
  <c r="H34" i="182" s="1"/>
  <c r="H33" i="175"/>
  <c r="H33" i="176" s="1"/>
  <c r="H33" i="177" s="1"/>
  <c r="H33" i="178" s="1"/>
  <c r="H33" i="179" s="1"/>
  <c r="H33" i="180" s="1"/>
  <c r="H33" i="181" s="1"/>
  <c r="H33" i="182" s="1"/>
  <c r="H32" i="175"/>
  <c r="H32" i="176" s="1"/>
  <c r="H32" i="177" s="1"/>
  <c r="H32" i="178" s="1"/>
  <c r="H32" i="179" s="1"/>
  <c r="H32" i="180" s="1"/>
  <c r="H32" i="181" s="1"/>
  <c r="H32" i="182" s="1"/>
  <c r="H31" i="175"/>
  <c r="H31" i="176" s="1"/>
  <c r="H31" i="177" s="1"/>
  <c r="H31" i="178" s="1"/>
  <c r="H31" i="179" s="1"/>
  <c r="H31" i="180" s="1"/>
  <c r="H31" i="181" s="1"/>
  <c r="H31" i="182" s="1"/>
  <c r="H30" i="175"/>
  <c r="H30" i="176" s="1"/>
  <c r="H30" i="177" s="1"/>
  <c r="H30" i="178" s="1"/>
  <c r="H30" i="179" s="1"/>
  <c r="H30" i="180" s="1"/>
  <c r="H30" i="181" s="1"/>
  <c r="H30" i="182" s="1"/>
  <c r="H20" i="175"/>
  <c r="H20" i="176" s="1"/>
  <c r="H20" i="177" s="1"/>
  <c r="H20" i="178" s="1"/>
  <c r="H20" i="179" s="1"/>
  <c r="H20" i="180" s="1"/>
  <c r="H20" i="181" s="1"/>
  <c r="H20" i="182" s="1"/>
  <c r="H21" i="175"/>
  <c r="H21" i="176" s="1"/>
  <c r="H21" i="177" s="1"/>
  <c r="H21" i="178" s="1"/>
  <c r="H21" i="179" s="1"/>
  <c r="H21" i="180" s="1"/>
  <c r="H21" i="181" s="1"/>
  <c r="H21" i="182" s="1"/>
  <c r="H22" i="175"/>
  <c r="H22" i="176" s="1"/>
  <c r="H22" i="177" s="1"/>
  <c r="H22" i="178" s="1"/>
  <c r="H22" i="179" s="1"/>
  <c r="H22" i="180" s="1"/>
  <c r="H22" i="181" s="1"/>
  <c r="H22" i="182" s="1"/>
  <c r="H23" i="175"/>
  <c r="H23" i="176" s="1"/>
  <c r="H23" i="177" s="1"/>
  <c r="H23" i="178" s="1"/>
  <c r="H23" i="179" s="1"/>
  <c r="H23" i="180" s="1"/>
  <c r="H23" i="181" s="1"/>
  <c r="H23" i="182" s="1"/>
  <c r="H24" i="175"/>
  <c r="H24" i="176" s="1"/>
  <c r="H24" i="177" s="1"/>
  <c r="H24" i="178" s="1"/>
  <c r="H24" i="179" s="1"/>
  <c r="H24" i="180" s="1"/>
  <c r="H24" i="181" s="1"/>
  <c r="H24" i="182" s="1"/>
  <c r="H25" i="175"/>
  <c r="H25" i="176" s="1"/>
  <c r="H25" i="177" s="1"/>
  <c r="H25" i="178" s="1"/>
  <c r="H25" i="179" s="1"/>
  <c r="H25" i="180" s="1"/>
  <c r="H25" i="181" s="1"/>
  <c r="H25" i="182" s="1"/>
  <c r="H26" i="175"/>
  <c r="H26" i="176" s="1"/>
  <c r="H26" i="177" s="1"/>
  <c r="H26" i="178" s="1"/>
  <c r="H26" i="179" s="1"/>
  <c r="H26" i="180" s="1"/>
  <c r="H26" i="181" s="1"/>
  <c r="H26" i="182" s="1"/>
  <c r="H19" i="175"/>
  <c r="H19" i="176" s="1"/>
  <c r="H19" i="177" s="1"/>
  <c r="H19" i="178" s="1"/>
  <c r="H19" i="179" s="1"/>
  <c r="H19" i="180" s="1"/>
  <c r="H19" i="181" s="1"/>
  <c r="H19" i="182" s="1"/>
  <c r="H37" i="174"/>
  <c r="H36" i="174"/>
  <c r="H35" i="174"/>
  <c r="H34" i="174"/>
  <c r="H33" i="174"/>
  <c r="H32" i="174"/>
  <c r="H31" i="174"/>
  <c r="H30" i="174"/>
  <c r="H20" i="174"/>
  <c r="H21" i="174"/>
  <c r="H22" i="174"/>
  <c r="H23" i="174"/>
  <c r="H24" i="174"/>
  <c r="H25" i="174"/>
  <c r="H26" i="174"/>
  <c r="H19" i="174"/>
  <c r="H37" i="173"/>
  <c r="H36" i="173"/>
  <c r="H35" i="173"/>
  <c r="H34" i="173"/>
  <c r="H33" i="173"/>
  <c r="H32" i="173"/>
  <c r="H31" i="173"/>
  <c r="H30" i="173"/>
  <c r="H20" i="173"/>
  <c r="H21" i="173"/>
  <c r="H22" i="173"/>
  <c r="H23" i="173"/>
  <c r="H24" i="173"/>
  <c r="H25" i="173"/>
  <c r="H26" i="173"/>
  <c r="H19" i="173"/>
  <c r="H37" i="172"/>
  <c r="H36" i="172"/>
  <c r="H35" i="172"/>
  <c r="H34" i="172"/>
  <c r="H33" i="172"/>
  <c r="H32" i="172"/>
  <c r="H31" i="172"/>
  <c r="H30" i="172"/>
  <c r="H20" i="172"/>
  <c r="H21" i="172"/>
  <c r="H22" i="172"/>
  <c r="H23" i="172"/>
  <c r="H24" i="172"/>
  <c r="H25" i="172"/>
  <c r="H26" i="172"/>
  <c r="H19" i="172"/>
  <c r="F44" i="171" l="1"/>
  <c r="F45" i="171"/>
  <c r="F46" i="171"/>
  <c r="F47" i="171"/>
  <c r="F48" i="171"/>
  <c r="F49" i="171"/>
  <c r="F43" i="171"/>
  <c r="F32" i="171"/>
  <c r="F33" i="171"/>
  <c r="F34" i="171"/>
  <c r="F35" i="171"/>
  <c r="F36" i="171"/>
  <c r="F37" i="171"/>
  <c r="F30" i="171"/>
  <c r="AL46" i="195" l="1"/>
  <c r="AK46" i="195"/>
  <c r="F26" i="171"/>
  <c r="F25" i="171"/>
  <c r="F24" i="171"/>
  <c r="F23" i="171"/>
  <c r="F22" i="171"/>
  <c r="F21" i="171"/>
  <c r="F20" i="171"/>
  <c r="F19" i="171"/>
  <c r="AG26" i="197" l="1"/>
  <c r="J17" i="197"/>
  <c r="J56" i="197"/>
  <c r="J58" i="197" s="1"/>
  <c r="AG26" i="196"/>
  <c r="J17" i="196"/>
  <c r="J56" i="196"/>
  <c r="J57" i="196" s="1"/>
  <c r="I17" i="196"/>
  <c r="J57" i="197" l="1"/>
  <c r="J19" i="197" s="1"/>
  <c r="AG27" i="195"/>
  <c r="J58" i="196"/>
  <c r="J19" i="196" s="1"/>
  <c r="J26" i="196" s="1"/>
  <c r="J32" i="196" l="1"/>
  <c r="J34" i="196"/>
  <c r="J35" i="196"/>
  <c r="J27" i="196"/>
  <c r="J29" i="196"/>
  <c r="J36" i="196"/>
  <c r="J33" i="197"/>
  <c r="J31" i="197"/>
  <c r="J28" i="197"/>
  <c r="J35" i="197"/>
  <c r="J46" i="197"/>
  <c r="AF46" i="197" s="1"/>
  <c r="J26" i="197"/>
  <c r="J27" i="195" s="1"/>
  <c r="J38" i="197"/>
  <c r="J29" i="197"/>
  <c r="J30" i="195" s="1"/>
  <c r="J40" i="197"/>
  <c r="J27" i="197"/>
  <c r="J28" i="195" s="1"/>
  <c r="J37" i="197"/>
  <c r="J30" i="197"/>
  <c r="J44" i="197"/>
  <c r="J39" i="197"/>
  <c r="J45" i="197"/>
  <c r="J34" i="197"/>
  <c r="J35" i="195" s="1"/>
  <c r="J32" i="197"/>
  <c r="J33" i="195" s="1"/>
  <c r="J36" i="197"/>
  <c r="J37" i="195" s="1"/>
  <c r="J43" i="197"/>
  <c r="J42" i="197"/>
  <c r="J41" i="197"/>
  <c r="J33" i="196"/>
  <c r="J38" i="196"/>
  <c r="J39" i="195" s="1"/>
  <c r="J28" i="196"/>
  <c r="J45" i="196"/>
  <c r="J31" i="196"/>
  <c r="J40" i="196"/>
  <c r="J37" i="196"/>
  <c r="J38" i="195" s="1"/>
  <c r="J44" i="196"/>
  <c r="J45" i="195" s="1"/>
  <c r="J42" i="196"/>
  <c r="J39" i="196"/>
  <c r="J36" i="195"/>
  <c r="J41" i="196"/>
  <c r="J30" i="196"/>
  <c r="J46" i="196"/>
  <c r="AF46" i="196" s="1"/>
  <c r="J43" i="196"/>
  <c r="P44" i="170"/>
  <c r="P45" i="170"/>
  <c r="P46" i="170"/>
  <c r="J47" i="194"/>
  <c r="J38" i="194"/>
  <c r="J33" i="194"/>
  <c r="J22" i="194"/>
  <c r="H52" i="194"/>
  <c r="J50" i="194"/>
  <c r="J49" i="194"/>
  <c r="J48" i="194"/>
  <c r="J46" i="194"/>
  <c r="J45" i="194"/>
  <c r="J44" i="194"/>
  <c r="H39" i="194"/>
  <c r="F38" i="194"/>
  <c r="F37" i="194"/>
  <c r="J37" i="194"/>
  <c r="J36" i="194"/>
  <c r="F36" i="194"/>
  <c r="J35" i="194"/>
  <c r="F35" i="194"/>
  <c r="F34" i="194"/>
  <c r="J34" i="194"/>
  <c r="F33" i="194"/>
  <c r="F32" i="194"/>
  <c r="F31" i="194"/>
  <c r="H28" i="194"/>
  <c r="J26" i="194"/>
  <c r="J25" i="194"/>
  <c r="J23" i="194"/>
  <c r="J20" i="194"/>
  <c r="A20" i="194"/>
  <c r="A21" i="194" s="1"/>
  <c r="A22" i="194" s="1"/>
  <c r="A23" i="194" s="1"/>
  <c r="A24" i="194" s="1"/>
  <c r="A25" i="194" s="1"/>
  <c r="A26" i="194" s="1"/>
  <c r="A28" i="194" s="1"/>
  <c r="A31" i="194" s="1"/>
  <c r="A32" i="194" s="1"/>
  <c r="A33" i="194" s="1"/>
  <c r="A34" i="194" s="1"/>
  <c r="A35" i="194" s="1"/>
  <c r="A36" i="194" s="1"/>
  <c r="A37" i="194" s="1"/>
  <c r="A38" i="194" s="1"/>
  <c r="A39" i="194" s="1"/>
  <c r="A41" i="194" s="1"/>
  <c r="A44" i="194" s="1"/>
  <c r="A45" i="194" s="1"/>
  <c r="A46" i="194" s="1"/>
  <c r="A47" i="194" s="1"/>
  <c r="A48" i="194" s="1"/>
  <c r="A49" i="194" s="1"/>
  <c r="A50" i="194" s="1"/>
  <c r="A51" i="194" s="1"/>
  <c r="A52" i="194" s="1"/>
  <c r="D16" i="194"/>
  <c r="E16" i="194" s="1"/>
  <c r="F16" i="194" s="1"/>
  <c r="H16" i="194" s="1"/>
  <c r="J46" i="195" l="1"/>
  <c r="J44" i="195"/>
  <c r="J29" i="195"/>
  <c r="J34" i="195"/>
  <c r="J32" i="195"/>
  <c r="J41" i="195"/>
  <c r="J40" i="195"/>
  <c r="J47" i="197"/>
  <c r="J42" i="195"/>
  <c r="J43" i="195"/>
  <c r="J47" i="196"/>
  <c r="J31" i="195"/>
  <c r="I28" i="194"/>
  <c r="H41" i="194"/>
  <c r="J31" i="194"/>
  <c r="J21" i="194"/>
  <c r="I39" i="194"/>
  <c r="J24" i="194"/>
  <c r="G28" i="194"/>
  <c r="J19" i="194"/>
  <c r="E28" i="194"/>
  <c r="I41" i="194" l="1"/>
  <c r="J28" i="194"/>
  <c r="A15" i="199"/>
  <c r="A16" i="199" s="1"/>
  <c r="A17" i="199" s="1"/>
  <c r="A18" i="199" s="1"/>
  <c r="A19" i="199" s="1"/>
  <c r="A20" i="199" s="1"/>
  <c r="A21" i="199" s="1"/>
  <c r="A22" i="199" s="1"/>
  <c r="A23" i="199" s="1"/>
  <c r="A24" i="199" s="1"/>
  <c r="A25" i="199" s="1"/>
  <c r="A26" i="199" s="1"/>
  <c r="A27" i="199" s="1"/>
  <c r="A28" i="199" s="1"/>
  <c r="A29" i="199" s="1"/>
  <c r="A30" i="199" s="1"/>
  <c r="A31" i="199" s="1"/>
  <c r="A32" i="199" s="1"/>
  <c r="A33" i="199" s="1"/>
  <c r="A34" i="199" s="1"/>
  <c r="A35" i="199" s="1"/>
  <c r="C13" i="199"/>
  <c r="D13" i="199" s="1"/>
  <c r="E13" i="199" s="1"/>
  <c r="F13" i="199" s="1"/>
  <c r="G13" i="199" s="1"/>
  <c r="H13" i="199" s="1"/>
  <c r="E17" i="197" l="1"/>
  <c r="D17" i="197"/>
  <c r="E17" i="196"/>
  <c r="E18" i="195" s="1"/>
  <c r="D17" i="196"/>
  <c r="AH75" i="196" s="1"/>
  <c r="AE56" i="197"/>
  <c r="AD56" i="197"/>
  <c r="AC56" i="197"/>
  <c r="AB56" i="197"/>
  <c r="AA56" i="197"/>
  <c r="Z56" i="197"/>
  <c r="Y56" i="197"/>
  <c r="X56" i="197"/>
  <c r="W56" i="197"/>
  <c r="V56" i="197"/>
  <c r="U56" i="197"/>
  <c r="T56" i="197"/>
  <c r="S56" i="197"/>
  <c r="R56" i="197"/>
  <c r="Q56" i="197"/>
  <c r="P56" i="197"/>
  <c r="O56" i="197"/>
  <c r="N56" i="197"/>
  <c r="M56" i="197"/>
  <c r="L56" i="197"/>
  <c r="K56" i="197"/>
  <c r="I56" i="197"/>
  <c r="I57" i="197" s="1"/>
  <c r="H56" i="197"/>
  <c r="H58" i="197" s="1"/>
  <c r="G56" i="197"/>
  <c r="G58" i="197" s="1"/>
  <c r="F56" i="197"/>
  <c r="E56" i="197"/>
  <c r="E57" i="197" s="1"/>
  <c r="D56" i="197"/>
  <c r="D58" i="197" s="1"/>
  <c r="AE47" i="197"/>
  <c r="AD47" i="197"/>
  <c r="AC47" i="197"/>
  <c r="AB47" i="197"/>
  <c r="AA47" i="197"/>
  <c r="Z47" i="197"/>
  <c r="Y47" i="197"/>
  <c r="X47" i="197"/>
  <c r="W47" i="197"/>
  <c r="V47" i="197"/>
  <c r="U47" i="197"/>
  <c r="T47" i="197"/>
  <c r="S47" i="197"/>
  <c r="R47" i="197"/>
  <c r="Q47" i="197"/>
  <c r="P47" i="197"/>
  <c r="O47" i="197"/>
  <c r="N47" i="197"/>
  <c r="M47" i="197"/>
  <c r="L47" i="197"/>
  <c r="K47" i="197"/>
  <c r="J47" i="195"/>
  <c r="AG47" i="197"/>
  <c r="C22" i="197"/>
  <c r="C23" i="197" s="1"/>
  <c r="C24" i="197" s="1"/>
  <c r="C25" i="197" s="1"/>
  <c r="C26" i="197" s="1"/>
  <c r="C27" i="197" s="1"/>
  <c r="C28" i="197" s="1"/>
  <c r="C29" i="197" s="1"/>
  <c r="C30" i="197" s="1"/>
  <c r="C31" i="197" s="1"/>
  <c r="C32" i="197" s="1"/>
  <c r="C33" i="197" s="1"/>
  <c r="C34" i="197" s="1"/>
  <c r="C35" i="197" s="1"/>
  <c r="C36" i="197" s="1"/>
  <c r="C37" i="197" s="1"/>
  <c r="C38" i="197" s="1"/>
  <c r="C39" i="197" s="1"/>
  <c r="C40" i="197" s="1"/>
  <c r="C41" i="197" s="1"/>
  <c r="C42" i="197" s="1"/>
  <c r="A19" i="197"/>
  <c r="A21" i="197" s="1"/>
  <c r="A22" i="197" s="1"/>
  <c r="A23" i="197" s="1"/>
  <c r="A24" i="197" s="1"/>
  <c r="A25" i="197" s="1"/>
  <c r="A26" i="197" s="1"/>
  <c r="A27" i="197" s="1"/>
  <c r="A28" i="197" s="1"/>
  <c r="A29" i="197" s="1"/>
  <c r="A30" i="197" s="1"/>
  <c r="A31" i="197" s="1"/>
  <c r="A32" i="197" s="1"/>
  <c r="A33" i="197" s="1"/>
  <c r="A34" i="197" s="1"/>
  <c r="A35" i="197" s="1"/>
  <c r="A36" i="197" s="1"/>
  <c r="A37" i="197" s="1"/>
  <c r="A38" i="197" s="1"/>
  <c r="A39" i="197" s="1"/>
  <c r="A40" i="197" s="1"/>
  <c r="A41" i="197" s="1"/>
  <c r="A42" i="197" s="1"/>
  <c r="A43" i="197" s="1"/>
  <c r="A44" i="197" s="1"/>
  <c r="A45" i="197" s="1"/>
  <c r="AE17" i="197"/>
  <c r="AD17" i="197"/>
  <c r="AC17" i="197"/>
  <c r="AB17" i="197"/>
  <c r="AA17" i="197"/>
  <c r="Z17" i="197"/>
  <c r="Y17" i="197"/>
  <c r="X17" i="197"/>
  <c r="W17" i="197"/>
  <c r="V17" i="197"/>
  <c r="U17" i="197"/>
  <c r="T17" i="197"/>
  <c r="S17" i="197"/>
  <c r="R17" i="197"/>
  <c r="Q17" i="197"/>
  <c r="P17" i="197"/>
  <c r="O17" i="197"/>
  <c r="N17" i="197"/>
  <c r="M17" i="197"/>
  <c r="L17" i="197"/>
  <c r="K17" i="197"/>
  <c r="I17" i="197"/>
  <c r="H17" i="197"/>
  <c r="G17" i="197"/>
  <c r="F17" i="197"/>
  <c r="AH69" i="197"/>
  <c r="C14" i="197"/>
  <c r="D14" i="197" s="1"/>
  <c r="G12" i="197"/>
  <c r="H12" i="197" s="1"/>
  <c r="I12" i="197" s="1"/>
  <c r="K11" i="197"/>
  <c r="L11" i="197" s="1"/>
  <c r="M11" i="197" s="1"/>
  <c r="N11" i="197" s="1"/>
  <c r="O11" i="197" s="1"/>
  <c r="P11" i="197" s="1"/>
  <c r="Q11" i="197" s="1"/>
  <c r="R11" i="197" s="1"/>
  <c r="S11" i="197" s="1"/>
  <c r="T11" i="197" s="1"/>
  <c r="U11" i="197" s="1"/>
  <c r="V11" i="197" s="1"/>
  <c r="W11" i="197" s="1"/>
  <c r="X11" i="197" s="1"/>
  <c r="Y11" i="197" s="1"/>
  <c r="Z11" i="197" s="1"/>
  <c r="AA11" i="197" s="1"/>
  <c r="AB11" i="197" s="1"/>
  <c r="AC11" i="197" s="1"/>
  <c r="AD11" i="197" s="1"/>
  <c r="AE11" i="197" s="1"/>
  <c r="AE56" i="196"/>
  <c r="AD56" i="196"/>
  <c r="AC56" i="196"/>
  <c r="AB56" i="196"/>
  <c r="AA56" i="196"/>
  <c r="Z56" i="196"/>
  <c r="Y56" i="196"/>
  <c r="X56" i="196"/>
  <c r="W56" i="196"/>
  <c r="V56" i="196"/>
  <c r="U56" i="196"/>
  <c r="T56" i="196"/>
  <c r="S56" i="196"/>
  <c r="R56" i="196"/>
  <c r="Q56" i="196"/>
  <c r="P56" i="196"/>
  <c r="O56" i="196"/>
  <c r="N56" i="196"/>
  <c r="M56" i="196"/>
  <c r="L56" i="196"/>
  <c r="K56" i="196"/>
  <c r="I56" i="196"/>
  <c r="I57" i="196" s="1"/>
  <c r="H56" i="196"/>
  <c r="H57" i="196" s="1"/>
  <c r="G56" i="196"/>
  <c r="G58" i="196" s="1"/>
  <c r="F56" i="196"/>
  <c r="E56" i="196"/>
  <c r="E57" i="196" s="1"/>
  <c r="D56" i="196"/>
  <c r="D58" i="196" s="1"/>
  <c r="AE47" i="196"/>
  <c r="AD47" i="196"/>
  <c r="AC47" i="196"/>
  <c r="AB47" i="196"/>
  <c r="AA47" i="196"/>
  <c r="Z47" i="196"/>
  <c r="Y47" i="196"/>
  <c r="X47" i="196"/>
  <c r="W47" i="196"/>
  <c r="V47" i="196"/>
  <c r="U47" i="196"/>
  <c r="T47" i="196"/>
  <c r="S47" i="196"/>
  <c r="R47" i="196"/>
  <c r="Q47" i="196"/>
  <c r="P47" i="196"/>
  <c r="O47" i="196"/>
  <c r="N47" i="196"/>
  <c r="M47" i="196"/>
  <c r="L47" i="196"/>
  <c r="K47" i="196"/>
  <c r="C22" i="196"/>
  <c r="C23" i="196" s="1"/>
  <c r="C24" i="196" s="1"/>
  <c r="C25" i="196" s="1"/>
  <c r="C26" i="196" s="1"/>
  <c r="C27" i="196" s="1"/>
  <c r="C28" i="196" s="1"/>
  <c r="C29" i="196" s="1"/>
  <c r="C30" i="196" s="1"/>
  <c r="C31" i="196" s="1"/>
  <c r="C32" i="196" s="1"/>
  <c r="C33" i="196" s="1"/>
  <c r="C34" i="196" s="1"/>
  <c r="C35" i="196" s="1"/>
  <c r="C36" i="196" s="1"/>
  <c r="C37" i="196" s="1"/>
  <c r="C38" i="196" s="1"/>
  <c r="C39" i="196" s="1"/>
  <c r="C40" i="196" s="1"/>
  <c r="C41" i="196" s="1"/>
  <c r="C42" i="196" s="1"/>
  <c r="A19" i="196"/>
  <c r="A21" i="196" s="1"/>
  <c r="A22" i="196" s="1"/>
  <c r="A23" i="196" s="1"/>
  <c r="A24" i="196" s="1"/>
  <c r="A25" i="196" s="1"/>
  <c r="A26" i="196" s="1"/>
  <c r="A27" i="196" s="1"/>
  <c r="A28" i="196" s="1"/>
  <c r="A29" i="196" s="1"/>
  <c r="A30" i="196" s="1"/>
  <c r="A31" i="196" s="1"/>
  <c r="A32" i="196" s="1"/>
  <c r="A33" i="196" s="1"/>
  <c r="A34" i="196" s="1"/>
  <c r="A35" i="196" s="1"/>
  <c r="A36" i="196" s="1"/>
  <c r="A37" i="196" s="1"/>
  <c r="A38" i="196" s="1"/>
  <c r="A39" i="196" s="1"/>
  <c r="A40" i="196" s="1"/>
  <c r="A41" i="196" s="1"/>
  <c r="A42" i="196" s="1"/>
  <c r="A43" i="196" s="1"/>
  <c r="A44" i="196" s="1"/>
  <c r="A45" i="196" s="1"/>
  <c r="AE17" i="196"/>
  <c r="AE18" i="195" s="1"/>
  <c r="AD17" i="196"/>
  <c r="AD18" i="195" s="1"/>
  <c r="AC17" i="196"/>
  <c r="AB17" i="196"/>
  <c r="AA17" i="196"/>
  <c r="AA18" i="195" s="1"/>
  <c r="Z17" i="196"/>
  <c r="Y17" i="196"/>
  <c r="Y18" i="195" s="1"/>
  <c r="X17" i="196"/>
  <c r="W17" i="196"/>
  <c r="V17" i="196"/>
  <c r="V18" i="195" s="1"/>
  <c r="U17" i="196"/>
  <c r="T17" i="196"/>
  <c r="S17" i="196"/>
  <c r="S18" i="195" s="1"/>
  <c r="R17" i="196"/>
  <c r="Q17" i="196"/>
  <c r="P17" i="196"/>
  <c r="O17" i="196"/>
  <c r="O18" i="195" s="1"/>
  <c r="N17" i="196"/>
  <c r="N18" i="195" s="1"/>
  <c r="M17" i="196"/>
  <c r="L17" i="196"/>
  <c r="K17" i="196"/>
  <c r="K18" i="195" s="1"/>
  <c r="H17" i="196"/>
  <c r="G17" i="196"/>
  <c r="F17" i="196"/>
  <c r="C14" i="196"/>
  <c r="D14" i="196" s="1"/>
  <c r="E14" i="196" s="1"/>
  <c r="G12" i="196"/>
  <c r="H12" i="196" s="1"/>
  <c r="I12" i="196" s="1"/>
  <c r="K11" i="196"/>
  <c r="L11" i="196" s="1"/>
  <c r="M11" i="196" s="1"/>
  <c r="N11" i="196" s="1"/>
  <c r="O11" i="196" s="1"/>
  <c r="P11" i="196" s="1"/>
  <c r="Q11" i="196" s="1"/>
  <c r="R11" i="196" s="1"/>
  <c r="S11" i="196" s="1"/>
  <c r="T11" i="196" s="1"/>
  <c r="U11" i="196" s="1"/>
  <c r="V11" i="196" s="1"/>
  <c r="W11" i="196" s="1"/>
  <c r="X11" i="196" s="1"/>
  <c r="Y11" i="196" s="1"/>
  <c r="Z11" i="196" s="1"/>
  <c r="AA11" i="196" s="1"/>
  <c r="AB11" i="196" s="1"/>
  <c r="AC11" i="196" s="1"/>
  <c r="AD11" i="196" s="1"/>
  <c r="AE11" i="196" s="1"/>
  <c r="AE48" i="195"/>
  <c r="AD48" i="195"/>
  <c r="AC48" i="195"/>
  <c r="AB48" i="195"/>
  <c r="AA48" i="195"/>
  <c r="Z48" i="195"/>
  <c r="Y48" i="195"/>
  <c r="X48" i="195"/>
  <c r="W48" i="195"/>
  <c r="V48" i="195"/>
  <c r="U48" i="195"/>
  <c r="T48" i="195"/>
  <c r="S48" i="195"/>
  <c r="R48" i="195"/>
  <c r="Q48" i="195"/>
  <c r="P48" i="195"/>
  <c r="O48" i="195"/>
  <c r="N48" i="195"/>
  <c r="M48" i="195"/>
  <c r="L48" i="195"/>
  <c r="K48" i="195"/>
  <c r="J48" i="195"/>
  <c r="AL45" i="195"/>
  <c r="AK45" i="195"/>
  <c r="AL44" i="195"/>
  <c r="AK44" i="195"/>
  <c r="AL43" i="195"/>
  <c r="AK43" i="195"/>
  <c r="E43" i="195"/>
  <c r="AL42" i="195"/>
  <c r="AK42" i="195"/>
  <c r="AL41" i="195"/>
  <c r="AK41" i="195"/>
  <c r="AL40" i="195"/>
  <c r="AK40" i="195"/>
  <c r="AL39" i="195"/>
  <c r="AK39" i="195"/>
  <c r="AL38" i="195"/>
  <c r="AK38" i="195"/>
  <c r="AL37" i="195"/>
  <c r="AK37" i="195"/>
  <c r="AL36" i="195"/>
  <c r="AK36" i="195"/>
  <c r="AL35" i="195"/>
  <c r="AK35" i="195"/>
  <c r="AL34" i="195"/>
  <c r="AK34" i="195"/>
  <c r="AL33" i="195"/>
  <c r="AK33" i="195"/>
  <c r="AL32" i="195"/>
  <c r="AK32" i="195"/>
  <c r="AL31" i="195"/>
  <c r="AK31" i="195"/>
  <c r="AL30" i="195"/>
  <c r="AK30" i="195"/>
  <c r="AL29" i="195"/>
  <c r="AK29" i="195"/>
  <c r="AL28" i="195"/>
  <c r="AK28" i="195"/>
  <c r="C28" i="195"/>
  <c r="C29" i="195" s="1"/>
  <c r="C30" i="195" s="1"/>
  <c r="C31" i="195" s="1"/>
  <c r="C32" i="195" s="1"/>
  <c r="C33" i="195" s="1"/>
  <c r="C34" i="195" s="1"/>
  <c r="C35" i="195" s="1"/>
  <c r="C36" i="195" s="1"/>
  <c r="C37" i="195" s="1"/>
  <c r="C38" i="195" s="1"/>
  <c r="C39" i="195" s="1"/>
  <c r="C40" i="195" s="1"/>
  <c r="C41" i="195" s="1"/>
  <c r="C42" i="195" s="1"/>
  <c r="C43" i="195" s="1"/>
  <c r="AL27" i="195"/>
  <c r="AK27" i="195"/>
  <c r="AK26" i="195"/>
  <c r="AL25" i="195"/>
  <c r="AK25" i="195"/>
  <c r="AL24" i="195"/>
  <c r="C23" i="195"/>
  <c r="C24" i="195" s="1"/>
  <c r="C25" i="195" s="1"/>
  <c r="C26" i="195" s="1"/>
  <c r="C27" i="195" s="1"/>
  <c r="AL22" i="195"/>
  <c r="A20" i="195"/>
  <c r="A22" i="195" s="1"/>
  <c r="A23" i="195" s="1"/>
  <c r="A24" i="195" s="1"/>
  <c r="A25" i="195" s="1"/>
  <c r="A26" i="195" s="1"/>
  <c r="A27" i="195" s="1"/>
  <c r="A28" i="195" s="1"/>
  <c r="A29" i="195" s="1"/>
  <c r="A30" i="195" s="1"/>
  <c r="A31" i="195" s="1"/>
  <c r="A32" i="195" s="1"/>
  <c r="A33" i="195" s="1"/>
  <c r="A34" i="195" s="1"/>
  <c r="A35" i="195" s="1"/>
  <c r="A36" i="195" s="1"/>
  <c r="A37" i="195" s="1"/>
  <c r="A38" i="195" s="1"/>
  <c r="A39" i="195" s="1"/>
  <c r="A40" i="195" s="1"/>
  <c r="A41" i="195" s="1"/>
  <c r="A42" i="195" s="1"/>
  <c r="A43" i="195" s="1"/>
  <c r="A44" i="195" s="1"/>
  <c r="A45" i="195" s="1"/>
  <c r="A46" i="195" s="1"/>
  <c r="A47" i="195" s="1"/>
  <c r="A48" i="195" s="1"/>
  <c r="M18" i="195"/>
  <c r="J18" i="195"/>
  <c r="D15" i="195"/>
  <c r="F15" i="195" s="1"/>
  <c r="G15" i="195" s="1"/>
  <c r="H15" i="195" s="1"/>
  <c r="C15" i="195"/>
  <c r="AJ14" i="195"/>
  <c r="G13" i="195"/>
  <c r="H13" i="195" s="1"/>
  <c r="I13" i="195" s="1"/>
  <c r="K12" i="195"/>
  <c r="L12" i="195" s="1"/>
  <c r="M12" i="195" s="1"/>
  <c r="N12" i="195" s="1"/>
  <c r="O12" i="195" s="1"/>
  <c r="P12" i="195" s="1"/>
  <c r="Q12" i="195" s="1"/>
  <c r="R12" i="195" s="1"/>
  <c r="S12" i="195" s="1"/>
  <c r="T12" i="195" s="1"/>
  <c r="U12" i="195" s="1"/>
  <c r="V12" i="195" s="1"/>
  <c r="W12" i="195" s="1"/>
  <c r="X12" i="195" s="1"/>
  <c r="Y12" i="195" s="1"/>
  <c r="Z12" i="195" s="1"/>
  <c r="AA12" i="195" s="1"/>
  <c r="AB12" i="195" s="1"/>
  <c r="AC12" i="195" s="1"/>
  <c r="AD12" i="195" s="1"/>
  <c r="AE12" i="195" s="1"/>
  <c r="Z18" i="195" l="1"/>
  <c r="AC18" i="195"/>
  <c r="Q18" i="195"/>
  <c r="W18" i="195"/>
  <c r="R18" i="195"/>
  <c r="U18" i="195"/>
  <c r="H57" i="197"/>
  <c r="H19" i="197" s="1"/>
  <c r="E58" i="197"/>
  <c r="E19" i="197" s="1"/>
  <c r="G57" i="197"/>
  <c r="G19" i="197" s="1"/>
  <c r="I58" i="197"/>
  <c r="I19" i="197" s="1"/>
  <c r="H58" i="196"/>
  <c r="H19" i="196" s="1"/>
  <c r="E58" i="196"/>
  <c r="E19" i="196" s="1"/>
  <c r="G57" i="196"/>
  <c r="G19" i="196" s="1"/>
  <c r="P18" i="195"/>
  <c r="AB18" i="195"/>
  <c r="F14" i="196"/>
  <c r="G14" i="196" s="1"/>
  <c r="H14" i="196" s="1"/>
  <c r="AF14" i="196" s="1"/>
  <c r="AG14" i="196" s="1"/>
  <c r="AH14" i="196" s="1"/>
  <c r="AI14" i="196" s="1"/>
  <c r="AJ14" i="196" s="1"/>
  <c r="AK14" i="196" s="1"/>
  <c r="AL14" i="196" s="1"/>
  <c r="AM14" i="196" s="1"/>
  <c r="I58" i="196"/>
  <c r="I19" i="196" s="1"/>
  <c r="L18" i="195"/>
  <c r="T18" i="195"/>
  <c r="X18" i="195"/>
  <c r="AH68" i="196"/>
  <c r="AH69" i="196"/>
  <c r="AH77" i="196"/>
  <c r="AH59" i="196"/>
  <c r="AH78" i="196"/>
  <c r="I15" i="195"/>
  <c r="J15" i="195" s="1"/>
  <c r="K15" i="195" s="1"/>
  <c r="L15" i="195" s="1"/>
  <c r="M15" i="195" s="1"/>
  <c r="N15" i="195" s="1"/>
  <c r="O15" i="195" s="1"/>
  <c r="P15" i="195" s="1"/>
  <c r="Q15" i="195" s="1"/>
  <c r="R15" i="195" s="1"/>
  <c r="S15" i="195" s="1"/>
  <c r="T15" i="195" s="1"/>
  <c r="U15" i="195" s="1"/>
  <c r="V15" i="195" s="1"/>
  <c r="W15" i="195" s="1"/>
  <c r="X15" i="195" s="1"/>
  <c r="Y15" i="195" s="1"/>
  <c r="Z15" i="195" s="1"/>
  <c r="AA15" i="195" s="1"/>
  <c r="AB15" i="195" s="1"/>
  <c r="AC15" i="195" s="1"/>
  <c r="AD15" i="195" s="1"/>
  <c r="AE15" i="195" s="1"/>
  <c r="AF15" i="195"/>
  <c r="AG15" i="195" s="1"/>
  <c r="AH15" i="195" s="1"/>
  <c r="AI15" i="195" s="1"/>
  <c r="AJ15" i="195" s="1"/>
  <c r="AK15" i="195" s="1"/>
  <c r="AL15" i="195" s="1"/>
  <c r="AM15" i="195" s="1"/>
  <c r="E15" i="195"/>
  <c r="G18" i="195"/>
  <c r="F18" i="195"/>
  <c r="J32" i="194"/>
  <c r="J39" i="194" s="1"/>
  <c r="J41" i="194" s="1"/>
  <c r="F31" i="171"/>
  <c r="E39" i="194"/>
  <c r="E41" i="194" s="1"/>
  <c r="A46" i="197"/>
  <c r="A47" i="197" s="1"/>
  <c r="AK23" i="195"/>
  <c r="A46" i="196"/>
  <c r="A47" i="196" s="1"/>
  <c r="AH61" i="196"/>
  <c r="AH62" i="196"/>
  <c r="AH70" i="196"/>
  <c r="AG47" i="196"/>
  <c r="I18" i="195"/>
  <c r="F14" i="197"/>
  <c r="G14" i="197" s="1"/>
  <c r="H14" i="197" s="1"/>
  <c r="E14" i="197"/>
  <c r="AG48" i="195"/>
  <c r="F58" i="196"/>
  <c r="F57" i="196"/>
  <c r="D18" i="195"/>
  <c r="H18" i="195"/>
  <c r="AH62" i="197"/>
  <c r="AH74" i="197"/>
  <c r="AH73" i="197"/>
  <c r="AH66" i="197"/>
  <c r="AH65" i="197"/>
  <c r="AH79" i="197"/>
  <c r="AH72" i="197"/>
  <c r="AH71" i="197"/>
  <c r="AH64" i="197"/>
  <c r="AH63" i="197"/>
  <c r="AH77" i="197"/>
  <c r="AH70" i="197"/>
  <c r="AH61" i="197"/>
  <c r="AH75" i="197"/>
  <c r="AH68" i="197"/>
  <c r="AH59" i="197"/>
  <c r="AH78" i="197"/>
  <c r="AH67" i="197"/>
  <c r="AH60" i="197"/>
  <c r="AH76" i="197"/>
  <c r="AH74" i="196"/>
  <c r="AH73" i="196"/>
  <c r="AH66" i="196"/>
  <c r="AH65" i="196"/>
  <c r="AH79" i="196"/>
  <c r="AH72" i="196"/>
  <c r="AH71" i="196"/>
  <c r="AH64" i="196"/>
  <c r="AH63" i="196"/>
  <c r="AH60" i="196"/>
  <c r="AH67" i="196"/>
  <c r="AH76" i="196"/>
  <c r="D57" i="196"/>
  <c r="D19" i="196" s="1"/>
  <c r="F58" i="197"/>
  <c r="F57" i="197"/>
  <c r="E25" i="195"/>
  <c r="AK24" i="195"/>
  <c r="D57" i="197"/>
  <c r="D19" i="197" s="1"/>
  <c r="G33" i="195" l="1"/>
  <c r="AF45" i="197"/>
  <c r="I32" i="195"/>
  <c r="I39" i="195"/>
  <c r="AF43" i="197"/>
  <c r="H29" i="195"/>
  <c r="H36" i="195"/>
  <c r="H28" i="195"/>
  <c r="H39" i="195"/>
  <c r="H25" i="195"/>
  <c r="G34" i="195"/>
  <c r="H32" i="195"/>
  <c r="H30" i="195"/>
  <c r="H35" i="195"/>
  <c r="H27" i="195"/>
  <c r="AF43" i="196"/>
  <c r="H40" i="195"/>
  <c r="I36" i="195"/>
  <c r="I47" i="196"/>
  <c r="I29" i="195"/>
  <c r="AF44" i="196"/>
  <c r="I42" i="195"/>
  <c r="I40" i="195"/>
  <c r="I46" i="195"/>
  <c r="I44" i="195"/>
  <c r="G43" i="195"/>
  <c r="G42" i="195"/>
  <c r="G32" i="195"/>
  <c r="G37" i="195"/>
  <c r="G36" i="195"/>
  <c r="G41" i="195"/>
  <c r="G31" i="195"/>
  <c r="G27" i="195"/>
  <c r="G29" i="195"/>
  <c r="G40" i="195"/>
  <c r="I14" i="196"/>
  <c r="J14" i="196" s="1"/>
  <c r="K14" i="196" s="1"/>
  <c r="L14" i="196" s="1"/>
  <c r="M14" i="196" s="1"/>
  <c r="N14" i="196" s="1"/>
  <c r="O14" i="196" s="1"/>
  <c r="P14" i="196" s="1"/>
  <c r="Q14" i="196" s="1"/>
  <c r="R14" i="196" s="1"/>
  <c r="S14" i="196" s="1"/>
  <c r="T14" i="196" s="1"/>
  <c r="U14" i="196" s="1"/>
  <c r="V14" i="196" s="1"/>
  <c r="W14" i="196" s="1"/>
  <c r="X14" i="196" s="1"/>
  <c r="Y14" i="196" s="1"/>
  <c r="Z14" i="196" s="1"/>
  <c r="AA14" i="196" s="1"/>
  <c r="AB14" i="196" s="1"/>
  <c r="AC14" i="196" s="1"/>
  <c r="AD14" i="196" s="1"/>
  <c r="AE14" i="196" s="1"/>
  <c r="F50" i="171"/>
  <c r="J51" i="194"/>
  <c r="J52" i="194" s="1"/>
  <c r="E52" i="194"/>
  <c r="AF45" i="196"/>
  <c r="G39" i="194"/>
  <c r="G41" i="194" s="1"/>
  <c r="H37" i="195"/>
  <c r="AF44" i="197"/>
  <c r="I38" i="195"/>
  <c r="I41" i="195"/>
  <c r="H41" i="195"/>
  <c r="I28" i="195"/>
  <c r="I30" i="195"/>
  <c r="I34" i="195"/>
  <c r="G26" i="195"/>
  <c r="E29" i="195"/>
  <c r="E37" i="195"/>
  <c r="AH80" i="197"/>
  <c r="AH80" i="196"/>
  <c r="AI66" i="197"/>
  <c r="AJ66" i="197" s="1"/>
  <c r="AK66" i="197" s="1"/>
  <c r="AM66" i="197" s="1"/>
  <c r="E23" i="195"/>
  <c r="E30" i="195"/>
  <c r="E24" i="195"/>
  <c r="H47" i="196"/>
  <c r="E47" i="196"/>
  <c r="G28" i="195"/>
  <c r="H38" i="195"/>
  <c r="G35" i="195"/>
  <c r="G44" i="195"/>
  <c r="H45" i="195"/>
  <c r="AI74" i="197"/>
  <c r="AJ74" i="197" s="1"/>
  <c r="AK74" i="197" s="1"/>
  <c r="AM74" i="197" s="1"/>
  <c r="AF14" i="197"/>
  <c r="AG14" i="197" s="1"/>
  <c r="AH14" i="197" s="1"/>
  <c r="AI14" i="197" s="1"/>
  <c r="AJ14" i="197" s="1"/>
  <c r="AK14" i="197" s="1"/>
  <c r="AL14" i="197" s="1"/>
  <c r="AM14" i="197" s="1"/>
  <c r="I14" i="197"/>
  <c r="J14" i="197" s="1"/>
  <c r="K14" i="197" s="1"/>
  <c r="L14" i="197" s="1"/>
  <c r="M14" i="197" s="1"/>
  <c r="N14" i="197" s="1"/>
  <c r="O14" i="197" s="1"/>
  <c r="P14" i="197" s="1"/>
  <c r="Q14" i="197" s="1"/>
  <c r="R14" i="197" s="1"/>
  <c r="S14" i="197" s="1"/>
  <c r="T14" i="197" s="1"/>
  <c r="U14" i="197" s="1"/>
  <c r="V14" i="197" s="1"/>
  <c r="W14" i="197" s="1"/>
  <c r="X14" i="197" s="1"/>
  <c r="Y14" i="197" s="1"/>
  <c r="Z14" i="197" s="1"/>
  <c r="AA14" i="197" s="1"/>
  <c r="AB14" i="197" s="1"/>
  <c r="AC14" i="197" s="1"/>
  <c r="AD14" i="197" s="1"/>
  <c r="AE14" i="197" s="1"/>
  <c r="G38" i="195"/>
  <c r="E39" i="195"/>
  <c r="E26" i="195"/>
  <c r="E41" i="195"/>
  <c r="E28" i="195"/>
  <c r="E34" i="195"/>
  <c r="E31" i="195"/>
  <c r="E36" i="195"/>
  <c r="E33" i="195"/>
  <c r="E42" i="195"/>
  <c r="E35" i="195"/>
  <c r="E27" i="195"/>
  <c r="E40" i="195"/>
  <c r="E32" i="195"/>
  <c r="G25" i="195"/>
  <c r="F19" i="197"/>
  <c r="E38" i="195"/>
  <c r="I26" i="195"/>
  <c r="H34" i="195"/>
  <c r="H31" i="195"/>
  <c r="H33" i="195"/>
  <c r="F19" i="196"/>
  <c r="G24" i="195"/>
  <c r="A9" i="8"/>
  <c r="A8" i="8"/>
  <c r="C23" i="192"/>
  <c r="D21" i="192" s="1"/>
  <c r="A17" i="192"/>
  <c r="A19" i="192" s="1"/>
  <c r="A21" i="192" s="1"/>
  <c r="A23" i="192" s="1"/>
  <c r="C13" i="192"/>
  <c r="D13" i="192" s="1"/>
  <c r="E13" i="192" s="1"/>
  <c r="F13" i="192" s="1"/>
  <c r="D15" i="192" l="1"/>
  <c r="D19" i="192"/>
  <c r="I47" i="197"/>
  <c r="H47" i="197"/>
  <c r="G39" i="195"/>
  <c r="G30" i="195"/>
  <c r="AF46" i="195"/>
  <c r="I27" i="195"/>
  <c r="I43" i="195"/>
  <c r="H43" i="195"/>
  <c r="H26" i="195"/>
  <c r="H42" i="195"/>
  <c r="G47" i="197"/>
  <c r="I35" i="195"/>
  <c r="I37" i="195"/>
  <c r="I31" i="195"/>
  <c r="I33" i="195"/>
  <c r="H44" i="195"/>
  <c r="I45" i="195"/>
  <c r="G47" i="196"/>
  <c r="AI65" i="197"/>
  <c r="AJ65" i="197" s="1"/>
  <c r="AK65" i="197" s="1"/>
  <c r="AM65" i="197" s="1"/>
  <c r="AK22" i="195"/>
  <c r="AI71" i="197"/>
  <c r="AJ71" i="197" s="1"/>
  <c r="AK71" i="197" s="1"/>
  <c r="AM71" i="197" s="1"/>
  <c r="AI72" i="197"/>
  <c r="AJ72" i="197" s="1"/>
  <c r="AK72" i="197" s="1"/>
  <c r="AM72" i="197" s="1"/>
  <c r="AI59" i="196"/>
  <c r="D47" i="196"/>
  <c r="AF21" i="196"/>
  <c r="D22" i="195"/>
  <c r="AI77" i="196"/>
  <c r="D40" i="195"/>
  <c r="AI71" i="196"/>
  <c r="D34" i="195"/>
  <c r="E47" i="197"/>
  <c r="E22" i="195"/>
  <c r="E48" i="195" s="1"/>
  <c r="D37" i="195"/>
  <c r="AI74" i="196"/>
  <c r="D29" i="195"/>
  <c r="AI66" i="196"/>
  <c r="AI70" i="196"/>
  <c r="D33" i="195"/>
  <c r="AI59" i="197"/>
  <c r="D47" i="197"/>
  <c r="AF21" i="197"/>
  <c r="AI60" i="197"/>
  <c r="AJ60" i="197" s="1"/>
  <c r="AK60" i="197" s="1"/>
  <c r="AM60" i="197" s="1"/>
  <c r="AF44" i="195"/>
  <c r="AI62" i="197"/>
  <c r="AJ62" i="197" s="1"/>
  <c r="AK62" i="197" s="1"/>
  <c r="AM62" i="197" s="1"/>
  <c r="AI63" i="197"/>
  <c r="AJ63" i="197" s="1"/>
  <c r="AK63" i="197" s="1"/>
  <c r="AM63" i="197" s="1"/>
  <c r="AI76" i="197"/>
  <c r="AJ76" i="197" s="1"/>
  <c r="AK76" i="197" s="1"/>
  <c r="AM76" i="197" s="1"/>
  <c r="D39" i="195"/>
  <c r="AI76" i="196"/>
  <c r="AI79" i="196"/>
  <c r="D42" i="195"/>
  <c r="AI73" i="196"/>
  <c r="D36" i="195"/>
  <c r="AI67" i="196"/>
  <c r="D30" i="195"/>
  <c r="AI65" i="196"/>
  <c r="D28" i="195"/>
  <c r="AF42" i="196"/>
  <c r="AF40" i="196"/>
  <c r="AF35" i="196"/>
  <c r="AF32" i="196"/>
  <c r="AF27" i="196"/>
  <c r="AF31" i="196"/>
  <c r="AF28" i="196"/>
  <c r="AF39" i="196"/>
  <c r="AF36" i="196"/>
  <c r="AF33" i="196"/>
  <c r="AF30" i="196"/>
  <c r="AF24" i="196"/>
  <c r="AF41" i="196"/>
  <c r="AF38" i="196"/>
  <c r="AF29" i="196"/>
  <c r="AF37" i="196"/>
  <c r="AF34" i="196"/>
  <c r="AF26" i="196"/>
  <c r="AI78" i="197"/>
  <c r="AJ78" i="197" s="1"/>
  <c r="AK78" i="197" s="1"/>
  <c r="AM78" i="197" s="1"/>
  <c r="AI67" i="197"/>
  <c r="AJ67" i="197" s="1"/>
  <c r="AK67" i="197" s="1"/>
  <c r="AM67" i="197" s="1"/>
  <c r="AI61" i="197"/>
  <c r="AJ61" i="197" s="1"/>
  <c r="AK61" i="197" s="1"/>
  <c r="AM61" i="197" s="1"/>
  <c r="AI72" i="196"/>
  <c r="D35" i="195"/>
  <c r="AI75" i="196"/>
  <c r="D38" i="195"/>
  <c r="AI64" i="197"/>
  <c r="AJ64" i="197" s="1"/>
  <c r="AK64" i="197" s="1"/>
  <c r="AM64" i="197" s="1"/>
  <c r="AF42" i="197"/>
  <c r="AF28" i="197"/>
  <c r="AF36" i="197"/>
  <c r="AF33" i="197"/>
  <c r="AF27" i="197"/>
  <c r="AF45" i="195"/>
  <c r="AI70" i="197"/>
  <c r="AJ70" i="197" s="1"/>
  <c r="AK70" i="197" s="1"/>
  <c r="AM70" i="197" s="1"/>
  <c r="AI75" i="197"/>
  <c r="AJ75" i="197" s="1"/>
  <c r="AK75" i="197" s="1"/>
  <c r="AM75" i="197" s="1"/>
  <c r="D25" i="195"/>
  <c r="AI62" i="196"/>
  <c r="D41" i="195"/>
  <c r="AI78" i="196"/>
  <c r="AI79" i="197"/>
  <c r="AJ79" i="197" s="1"/>
  <c r="AK79" i="197" s="1"/>
  <c r="AM79" i="197" s="1"/>
  <c r="AI77" i="197"/>
  <c r="AJ77" i="197" s="1"/>
  <c r="AK77" i="197" s="1"/>
  <c r="AM77" i="197" s="1"/>
  <c r="AI73" i="197"/>
  <c r="AJ73" i="197" s="1"/>
  <c r="AK73" i="197" s="1"/>
  <c r="AM73" i="197" s="1"/>
  <c r="AI69" i="197"/>
  <c r="AJ69" i="197" s="1"/>
  <c r="AK69" i="197" s="1"/>
  <c r="AM69" i="197" s="1"/>
  <c r="AI68" i="197"/>
  <c r="AJ68" i="197" s="1"/>
  <c r="AK68" i="197" s="1"/>
  <c r="AM68" i="197" s="1"/>
  <c r="AI69" i="196"/>
  <c r="D32" i="195"/>
  <c r="D23" i="195"/>
  <c r="AI60" i="196"/>
  <c r="AI63" i="196"/>
  <c r="D26" i="195"/>
  <c r="AI64" i="196"/>
  <c r="D27" i="195"/>
  <c r="AI61" i="196"/>
  <c r="D24" i="195"/>
  <c r="AI68" i="196"/>
  <c r="D31" i="195"/>
  <c r="D17" i="192"/>
  <c r="A18" i="189"/>
  <c r="A19" i="189" s="1"/>
  <c r="A21" i="189" s="1"/>
  <c r="L44" i="182"/>
  <c r="L45" i="182"/>
  <c r="L46" i="182"/>
  <c r="L47" i="182"/>
  <c r="L48" i="182"/>
  <c r="L49" i="182"/>
  <c r="L50" i="182"/>
  <c r="L43" i="182"/>
  <c r="L31" i="182"/>
  <c r="N31" i="182" s="1"/>
  <c r="L32" i="182"/>
  <c r="N32" i="182" s="1"/>
  <c r="L33" i="182"/>
  <c r="N33" i="182" s="1"/>
  <c r="L34" i="182"/>
  <c r="N34" i="182" s="1"/>
  <c r="L35" i="182"/>
  <c r="L36" i="182"/>
  <c r="N36" i="182" s="1"/>
  <c r="L37" i="182"/>
  <c r="N37" i="182" s="1"/>
  <c r="L30" i="182"/>
  <c r="L20" i="182"/>
  <c r="L21" i="182"/>
  <c r="L22" i="182"/>
  <c r="L23" i="182"/>
  <c r="L24" i="182"/>
  <c r="L25" i="182"/>
  <c r="L26" i="182"/>
  <c r="L19" i="182"/>
  <c r="P51" i="182"/>
  <c r="N51" i="182"/>
  <c r="J51" i="182"/>
  <c r="C48" i="182"/>
  <c r="D37" i="182"/>
  <c r="D50" i="182" s="1"/>
  <c r="C37" i="182"/>
  <c r="C50" i="182" s="1"/>
  <c r="D36" i="182"/>
  <c r="D49" i="182" s="1"/>
  <c r="C36" i="182"/>
  <c r="C49" i="182" s="1"/>
  <c r="D35" i="182"/>
  <c r="D48" i="182" s="1"/>
  <c r="C35" i="182"/>
  <c r="D34" i="182"/>
  <c r="D47" i="182" s="1"/>
  <c r="C34" i="182"/>
  <c r="C47" i="182" s="1"/>
  <c r="D33" i="182"/>
  <c r="D46" i="182" s="1"/>
  <c r="C33" i="182"/>
  <c r="C46" i="182" s="1"/>
  <c r="D32" i="182"/>
  <c r="D45" i="182" s="1"/>
  <c r="C32" i="182"/>
  <c r="C45" i="182" s="1"/>
  <c r="D31" i="182"/>
  <c r="D44" i="182" s="1"/>
  <c r="C31" i="182"/>
  <c r="C44" i="182" s="1"/>
  <c r="D30" i="182"/>
  <c r="D43" i="182" s="1"/>
  <c r="C30" i="182"/>
  <c r="C43" i="182" s="1"/>
  <c r="A20" i="182"/>
  <c r="A21" i="182" s="1"/>
  <c r="A22" i="182" s="1"/>
  <c r="A23" i="182" s="1"/>
  <c r="A24" i="182" s="1"/>
  <c r="A25" i="182" s="1"/>
  <c r="A26" i="182" s="1"/>
  <c r="A27" i="182" s="1"/>
  <c r="A30" i="182" s="1"/>
  <c r="A31" i="182" s="1"/>
  <c r="A32" i="182" s="1"/>
  <c r="A33" i="182" s="1"/>
  <c r="A34" i="182" s="1"/>
  <c r="A35" i="182" s="1"/>
  <c r="A36" i="182" s="1"/>
  <c r="A37" i="182" s="1"/>
  <c r="A38" i="182" s="1"/>
  <c r="A40" i="182" s="1"/>
  <c r="A43" i="182" s="1"/>
  <c r="A44" i="182" s="1"/>
  <c r="A45" i="182" s="1"/>
  <c r="A46" i="182" s="1"/>
  <c r="A47" i="182" s="1"/>
  <c r="A48" i="182" s="1"/>
  <c r="A49" i="182" s="1"/>
  <c r="A50" i="182" s="1"/>
  <c r="A51" i="182" s="1"/>
  <c r="L44" i="181"/>
  <c r="L45" i="181"/>
  <c r="L46" i="181"/>
  <c r="L47" i="181"/>
  <c r="L48" i="181"/>
  <c r="L49" i="181"/>
  <c r="L50" i="181"/>
  <c r="L43" i="181"/>
  <c r="L31" i="181"/>
  <c r="N31" i="181" s="1"/>
  <c r="L32" i="181"/>
  <c r="L33" i="181"/>
  <c r="N33" i="181" s="1"/>
  <c r="L34" i="181"/>
  <c r="N34" i="181" s="1"/>
  <c r="L35" i="181"/>
  <c r="N35" i="181" s="1"/>
  <c r="L36" i="181"/>
  <c r="N36" i="181" s="1"/>
  <c r="L37" i="181"/>
  <c r="L30" i="181"/>
  <c r="L20" i="181"/>
  <c r="L21" i="181"/>
  <c r="L22" i="181"/>
  <c r="L23" i="181"/>
  <c r="L24" i="181"/>
  <c r="L25" i="181"/>
  <c r="L26" i="181"/>
  <c r="L19" i="181"/>
  <c r="P51" i="181"/>
  <c r="N51" i="181"/>
  <c r="J51" i="181"/>
  <c r="C48" i="181"/>
  <c r="D37" i="181"/>
  <c r="D50" i="181" s="1"/>
  <c r="C37" i="181"/>
  <c r="C50" i="181" s="1"/>
  <c r="D36" i="181"/>
  <c r="D49" i="181" s="1"/>
  <c r="C36" i="181"/>
  <c r="C49" i="181" s="1"/>
  <c r="D35" i="181"/>
  <c r="D48" i="181" s="1"/>
  <c r="C35" i="181"/>
  <c r="D34" i="181"/>
  <c r="D47" i="181" s="1"/>
  <c r="C34" i="181"/>
  <c r="C47" i="181" s="1"/>
  <c r="D33" i="181"/>
  <c r="D46" i="181" s="1"/>
  <c r="C33" i="181"/>
  <c r="C46" i="181" s="1"/>
  <c r="N32" i="181"/>
  <c r="D32" i="181"/>
  <c r="D45" i="181" s="1"/>
  <c r="C32" i="181"/>
  <c r="C45" i="181" s="1"/>
  <c r="D31" i="181"/>
  <c r="D44" i="181" s="1"/>
  <c r="C31" i="181"/>
  <c r="C44" i="181" s="1"/>
  <c r="D30" i="181"/>
  <c r="D43" i="181" s="1"/>
  <c r="C30" i="181"/>
  <c r="C43" i="181" s="1"/>
  <c r="A20" i="181"/>
  <c r="A21" i="181" s="1"/>
  <c r="A22" i="181" s="1"/>
  <c r="A23" i="181" s="1"/>
  <c r="A24" i="181" s="1"/>
  <c r="A25" i="181" s="1"/>
  <c r="A26" i="181" s="1"/>
  <c r="A27" i="181" s="1"/>
  <c r="A30" i="181" s="1"/>
  <c r="A31" i="181" s="1"/>
  <c r="A32" i="181" s="1"/>
  <c r="A33" i="181" s="1"/>
  <c r="A34" i="181" s="1"/>
  <c r="A35" i="181" s="1"/>
  <c r="A36" i="181" s="1"/>
  <c r="A37" i="181" s="1"/>
  <c r="A38" i="181" s="1"/>
  <c r="A40" i="181" s="1"/>
  <c r="A43" i="181" s="1"/>
  <c r="A44" i="181" s="1"/>
  <c r="A45" i="181" s="1"/>
  <c r="A46" i="181" s="1"/>
  <c r="A47" i="181" s="1"/>
  <c r="A48" i="181" s="1"/>
  <c r="A49" i="181" s="1"/>
  <c r="A50" i="181" s="1"/>
  <c r="A51" i="181" s="1"/>
  <c r="L44" i="180"/>
  <c r="L45" i="180"/>
  <c r="L46" i="180"/>
  <c r="L47" i="180"/>
  <c r="L48" i="180"/>
  <c r="L49" i="180"/>
  <c r="L50" i="180"/>
  <c r="L43" i="180"/>
  <c r="L31" i="180"/>
  <c r="N31" i="180" s="1"/>
  <c r="L32" i="180"/>
  <c r="N32" i="180" s="1"/>
  <c r="L33" i="180"/>
  <c r="L34" i="180"/>
  <c r="N34" i="180" s="1"/>
  <c r="L35" i="180"/>
  <c r="N35" i="180" s="1"/>
  <c r="L36" i="180"/>
  <c r="N36" i="180" s="1"/>
  <c r="L37" i="180"/>
  <c r="N37" i="180" s="1"/>
  <c r="L30" i="180"/>
  <c r="L20" i="180"/>
  <c r="L21" i="180"/>
  <c r="L22" i="180"/>
  <c r="L23" i="180"/>
  <c r="L24" i="180"/>
  <c r="L25" i="180"/>
  <c r="L26" i="180"/>
  <c r="L19" i="180"/>
  <c r="P51" i="180"/>
  <c r="N51" i="180"/>
  <c r="J51" i="180"/>
  <c r="D37" i="180"/>
  <c r="D50" i="180" s="1"/>
  <c r="C37" i="180"/>
  <c r="C50" i="180" s="1"/>
  <c r="D36" i="180"/>
  <c r="D49" i="180" s="1"/>
  <c r="C36" i="180"/>
  <c r="C49" i="180" s="1"/>
  <c r="D35" i="180"/>
  <c r="D48" i="180" s="1"/>
  <c r="C35" i="180"/>
  <c r="C48" i="180" s="1"/>
  <c r="D34" i="180"/>
  <c r="D47" i="180" s="1"/>
  <c r="C34" i="180"/>
  <c r="C47" i="180" s="1"/>
  <c r="D33" i="180"/>
  <c r="D46" i="180" s="1"/>
  <c r="C33" i="180"/>
  <c r="C46" i="180" s="1"/>
  <c r="D32" i="180"/>
  <c r="D45" i="180" s="1"/>
  <c r="C32" i="180"/>
  <c r="C45" i="180" s="1"/>
  <c r="D31" i="180"/>
  <c r="D44" i="180" s="1"/>
  <c r="C31" i="180"/>
  <c r="C44" i="180" s="1"/>
  <c r="D30" i="180"/>
  <c r="D43" i="180" s="1"/>
  <c r="C30" i="180"/>
  <c r="C43" i="180" s="1"/>
  <c r="A20" i="180"/>
  <c r="A21" i="180" s="1"/>
  <c r="A22" i="180" s="1"/>
  <c r="A23" i="180" s="1"/>
  <c r="A24" i="180" s="1"/>
  <c r="A25" i="180" s="1"/>
  <c r="A26" i="180" s="1"/>
  <c r="A27" i="180" s="1"/>
  <c r="A30" i="180" s="1"/>
  <c r="A31" i="180" s="1"/>
  <c r="A32" i="180" s="1"/>
  <c r="A33" i="180" s="1"/>
  <c r="A34" i="180" s="1"/>
  <c r="A35" i="180" s="1"/>
  <c r="A36" i="180" s="1"/>
  <c r="A37" i="180" s="1"/>
  <c r="A38" i="180" s="1"/>
  <c r="A40" i="180" s="1"/>
  <c r="A43" i="180" s="1"/>
  <c r="A44" i="180" s="1"/>
  <c r="A45" i="180" s="1"/>
  <c r="A46" i="180" s="1"/>
  <c r="A47" i="180" s="1"/>
  <c r="A48" i="180" s="1"/>
  <c r="A49" i="180" s="1"/>
  <c r="A50" i="180" s="1"/>
  <c r="A51" i="180" s="1"/>
  <c r="L44" i="179"/>
  <c r="L45" i="179"/>
  <c r="L46" i="179"/>
  <c r="L47" i="179"/>
  <c r="L48" i="179"/>
  <c r="L49" i="179"/>
  <c r="L50" i="179"/>
  <c r="L43" i="179"/>
  <c r="L31" i="179"/>
  <c r="L32" i="179"/>
  <c r="N32" i="179" s="1"/>
  <c r="L33" i="179"/>
  <c r="L34" i="179"/>
  <c r="N34" i="179" s="1"/>
  <c r="L35" i="179"/>
  <c r="N35" i="179" s="1"/>
  <c r="L36" i="179"/>
  <c r="N36" i="179" s="1"/>
  <c r="L37" i="179"/>
  <c r="L30" i="179"/>
  <c r="L20" i="179"/>
  <c r="L21" i="179"/>
  <c r="L22" i="179"/>
  <c r="L23" i="179"/>
  <c r="L24" i="179"/>
  <c r="L25" i="179"/>
  <c r="L26" i="179"/>
  <c r="L19" i="179"/>
  <c r="P51" i="179"/>
  <c r="N51" i="179"/>
  <c r="J51" i="179"/>
  <c r="D37" i="179"/>
  <c r="D50" i="179" s="1"/>
  <c r="C37" i="179"/>
  <c r="C50" i="179" s="1"/>
  <c r="D36" i="179"/>
  <c r="D49" i="179" s="1"/>
  <c r="C36" i="179"/>
  <c r="C49" i="179" s="1"/>
  <c r="D35" i="179"/>
  <c r="D48" i="179" s="1"/>
  <c r="C35" i="179"/>
  <c r="C48" i="179" s="1"/>
  <c r="D34" i="179"/>
  <c r="D47" i="179" s="1"/>
  <c r="C34" i="179"/>
  <c r="C47" i="179" s="1"/>
  <c r="D33" i="179"/>
  <c r="D46" i="179" s="1"/>
  <c r="C33" i="179"/>
  <c r="C46" i="179" s="1"/>
  <c r="D32" i="179"/>
  <c r="D45" i="179" s="1"/>
  <c r="C32" i="179"/>
  <c r="C45" i="179" s="1"/>
  <c r="N31" i="179"/>
  <c r="D31" i="179"/>
  <c r="D44" i="179" s="1"/>
  <c r="C31" i="179"/>
  <c r="C44" i="179" s="1"/>
  <c r="D30" i="179"/>
  <c r="D43" i="179" s="1"/>
  <c r="C30" i="179"/>
  <c r="C43" i="179" s="1"/>
  <c r="A20" i="179"/>
  <c r="A21" i="179" s="1"/>
  <c r="A22" i="179" s="1"/>
  <c r="A23" i="179" s="1"/>
  <c r="A24" i="179" s="1"/>
  <c r="A25" i="179" s="1"/>
  <c r="A26" i="179" s="1"/>
  <c r="A27" i="179" s="1"/>
  <c r="A30" i="179" s="1"/>
  <c r="A31" i="179" s="1"/>
  <c r="A32" i="179" s="1"/>
  <c r="A33" i="179" s="1"/>
  <c r="A34" i="179" s="1"/>
  <c r="A35" i="179" s="1"/>
  <c r="A36" i="179" s="1"/>
  <c r="A37" i="179" s="1"/>
  <c r="A38" i="179" s="1"/>
  <c r="A40" i="179" s="1"/>
  <c r="A43" i="179" s="1"/>
  <c r="A44" i="179" s="1"/>
  <c r="A45" i="179" s="1"/>
  <c r="A46" i="179" s="1"/>
  <c r="A47" i="179" s="1"/>
  <c r="A48" i="179" s="1"/>
  <c r="A49" i="179" s="1"/>
  <c r="A50" i="179" s="1"/>
  <c r="A51" i="179" s="1"/>
  <c r="L44" i="178"/>
  <c r="L45" i="178"/>
  <c r="L46" i="178"/>
  <c r="L47" i="178"/>
  <c r="L48" i="178"/>
  <c r="L49" i="178"/>
  <c r="L50" i="178"/>
  <c r="L43" i="178"/>
  <c r="L31" i="178"/>
  <c r="N31" i="178" s="1"/>
  <c r="L32" i="178"/>
  <c r="N32" i="178" s="1"/>
  <c r="L33" i="178"/>
  <c r="N33" i="178" s="1"/>
  <c r="L34" i="178"/>
  <c r="N34" i="178" s="1"/>
  <c r="L35" i="178"/>
  <c r="N35" i="178" s="1"/>
  <c r="L36" i="178"/>
  <c r="L37" i="178"/>
  <c r="N37" i="178" s="1"/>
  <c r="L30" i="178"/>
  <c r="N30" i="178" s="1"/>
  <c r="L20" i="178"/>
  <c r="N20" i="178" s="1"/>
  <c r="L21" i="178"/>
  <c r="N21" i="178" s="1"/>
  <c r="L22" i="178"/>
  <c r="N22" i="178" s="1"/>
  <c r="L23" i="178"/>
  <c r="N23" i="178" s="1"/>
  <c r="L24" i="178"/>
  <c r="N24" i="178" s="1"/>
  <c r="L25" i="178"/>
  <c r="L26" i="178"/>
  <c r="N26" i="178" s="1"/>
  <c r="L19" i="178"/>
  <c r="N19" i="178" s="1"/>
  <c r="P51" i="178"/>
  <c r="N51" i="178"/>
  <c r="J51" i="178"/>
  <c r="D48" i="178"/>
  <c r="D37" i="178"/>
  <c r="D50" i="178" s="1"/>
  <c r="C37" i="178"/>
  <c r="C50" i="178" s="1"/>
  <c r="D36" i="178"/>
  <c r="D49" i="178" s="1"/>
  <c r="C36" i="178"/>
  <c r="C49" i="178" s="1"/>
  <c r="D35" i="178"/>
  <c r="C35" i="178"/>
  <c r="C48" i="178" s="1"/>
  <c r="D34" i="178"/>
  <c r="D47" i="178" s="1"/>
  <c r="C34" i="178"/>
  <c r="C47" i="178" s="1"/>
  <c r="D33" i="178"/>
  <c r="D46" i="178" s="1"/>
  <c r="C33" i="178"/>
  <c r="C46" i="178" s="1"/>
  <c r="D32" i="178"/>
  <c r="D45" i="178" s="1"/>
  <c r="C32" i="178"/>
  <c r="C45" i="178" s="1"/>
  <c r="D31" i="178"/>
  <c r="D44" i="178" s="1"/>
  <c r="C31" i="178"/>
  <c r="C44" i="178" s="1"/>
  <c r="D30" i="178"/>
  <c r="D43" i="178" s="1"/>
  <c r="C30" i="178"/>
  <c r="C43" i="178" s="1"/>
  <c r="A20" i="178"/>
  <c r="A21" i="178" s="1"/>
  <c r="A22" i="178" s="1"/>
  <c r="A23" i="178" s="1"/>
  <c r="A24" i="178" s="1"/>
  <c r="A25" i="178" s="1"/>
  <c r="A26" i="178" s="1"/>
  <c r="A27" i="178" s="1"/>
  <c r="A30" i="178" s="1"/>
  <c r="A31" i="178" s="1"/>
  <c r="A32" i="178" s="1"/>
  <c r="A33" i="178" s="1"/>
  <c r="A34" i="178" s="1"/>
  <c r="A35" i="178" s="1"/>
  <c r="A36" i="178" s="1"/>
  <c r="A37" i="178" s="1"/>
  <c r="A38" i="178" s="1"/>
  <c r="A40" i="178" s="1"/>
  <c r="A43" i="178" s="1"/>
  <c r="A44" i="178" s="1"/>
  <c r="A45" i="178" s="1"/>
  <c r="A46" i="178" s="1"/>
  <c r="A47" i="178" s="1"/>
  <c r="A48" i="178" s="1"/>
  <c r="A49" i="178" s="1"/>
  <c r="A50" i="178" s="1"/>
  <c r="A51" i="178" s="1"/>
  <c r="L44" i="177"/>
  <c r="L45" i="177"/>
  <c r="L46" i="177"/>
  <c r="L47" i="177"/>
  <c r="L48" i="177"/>
  <c r="L49" i="177"/>
  <c r="L50" i="177"/>
  <c r="L43" i="177"/>
  <c r="L31" i="177"/>
  <c r="L32" i="177"/>
  <c r="L33" i="177"/>
  <c r="N33" i="177" s="1"/>
  <c r="L34" i="177"/>
  <c r="N34" i="177" s="1"/>
  <c r="L35" i="177"/>
  <c r="L36" i="177"/>
  <c r="L37" i="177"/>
  <c r="N37" i="177" s="1"/>
  <c r="L30" i="177"/>
  <c r="L20" i="177"/>
  <c r="L21" i="177"/>
  <c r="L22" i="177"/>
  <c r="L23" i="177"/>
  <c r="L24" i="177"/>
  <c r="L25" i="177"/>
  <c r="L26" i="177"/>
  <c r="L19" i="177"/>
  <c r="P51" i="177"/>
  <c r="N51" i="177"/>
  <c r="J51" i="177"/>
  <c r="D48" i="177"/>
  <c r="D37" i="177"/>
  <c r="D50" i="177" s="1"/>
  <c r="C37" i="177"/>
  <c r="C50" i="177" s="1"/>
  <c r="D36" i="177"/>
  <c r="D49" i="177" s="1"/>
  <c r="C36" i="177"/>
  <c r="C49" i="177" s="1"/>
  <c r="D35" i="177"/>
  <c r="C35" i="177"/>
  <c r="C48" i="177" s="1"/>
  <c r="D34" i="177"/>
  <c r="D47" i="177" s="1"/>
  <c r="C34" i="177"/>
  <c r="C47" i="177" s="1"/>
  <c r="D33" i="177"/>
  <c r="D46" i="177" s="1"/>
  <c r="C33" i="177"/>
  <c r="C46" i="177" s="1"/>
  <c r="D32" i="177"/>
  <c r="D45" i="177" s="1"/>
  <c r="C32" i="177"/>
  <c r="C45" i="177" s="1"/>
  <c r="N31" i="177"/>
  <c r="D31" i="177"/>
  <c r="D44" i="177" s="1"/>
  <c r="C31" i="177"/>
  <c r="C44" i="177" s="1"/>
  <c r="D30" i="177"/>
  <c r="D43" i="177" s="1"/>
  <c r="C30" i="177"/>
  <c r="C43" i="177" s="1"/>
  <c r="A20" i="177"/>
  <c r="A21" i="177" s="1"/>
  <c r="A22" i="177" s="1"/>
  <c r="A23" i="177" s="1"/>
  <c r="A24" i="177" s="1"/>
  <c r="A25" i="177" s="1"/>
  <c r="A26" i="177" s="1"/>
  <c r="A27" i="177" s="1"/>
  <c r="A30" i="177" s="1"/>
  <c r="A31" i="177" s="1"/>
  <c r="A32" i="177" s="1"/>
  <c r="A33" i="177" s="1"/>
  <c r="A34" i="177" s="1"/>
  <c r="A35" i="177" s="1"/>
  <c r="A36" i="177" s="1"/>
  <c r="A37" i="177" s="1"/>
  <c r="A38" i="177" s="1"/>
  <c r="A40" i="177" s="1"/>
  <c r="A43" i="177" s="1"/>
  <c r="A44" i="177" s="1"/>
  <c r="A45" i="177" s="1"/>
  <c r="A46" i="177" s="1"/>
  <c r="A47" i="177" s="1"/>
  <c r="A48" i="177" s="1"/>
  <c r="A49" i="177" s="1"/>
  <c r="A50" i="177" s="1"/>
  <c r="A51" i="177" s="1"/>
  <c r="L44" i="176"/>
  <c r="L45" i="176"/>
  <c r="L46" i="176"/>
  <c r="L47" i="176"/>
  <c r="L48" i="176"/>
  <c r="L49" i="176"/>
  <c r="L50" i="176"/>
  <c r="L43" i="176"/>
  <c r="L31" i="176"/>
  <c r="L32" i="176"/>
  <c r="N32" i="176" s="1"/>
  <c r="L33" i="176"/>
  <c r="N33" i="176" s="1"/>
  <c r="L34" i="176"/>
  <c r="N34" i="176" s="1"/>
  <c r="L35" i="176"/>
  <c r="N35" i="176" s="1"/>
  <c r="L36" i="176"/>
  <c r="N36" i="176" s="1"/>
  <c r="L37" i="176"/>
  <c r="N37" i="176" s="1"/>
  <c r="L30" i="176"/>
  <c r="L20" i="176"/>
  <c r="L21" i="176"/>
  <c r="L22" i="176"/>
  <c r="N22" i="176" s="1"/>
  <c r="L23" i="176"/>
  <c r="L24" i="176"/>
  <c r="L25" i="176"/>
  <c r="L26" i="176"/>
  <c r="N26" i="176" s="1"/>
  <c r="L19" i="176"/>
  <c r="P51" i="176"/>
  <c r="N51" i="176"/>
  <c r="J51" i="176"/>
  <c r="D37" i="176"/>
  <c r="D50" i="176" s="1"/>
  <c r="C37" i="176"/>
  <c r="C50" i="176" s="1"/>
  <c r="D36" i="176"/>
  <c r="D49" i="176" s="1"/>
  <c r="C36" i="176"/>
  <c r="C49" i="176" s="1"/>
  <c r="D35" i="176"/>
  <c r="D48" i="176" s="1"/>
  <c r="C35" i="176"/>
  <c r="C48" i="176" s="1"/>
  <c r="D34" i="176"/>
  <c r="D47" i="176" s="1"/>
  <c r="C34" i="176"/>
  <c r="C47" i="176" s="1"/>
  <c r="D33" i="176"/>
  <c r="D46" i="176" s="1"/>
  <c r="C33" i="176"/>
  <c r="C46" i="176" s="1"/>
  <c r="D32" i="176"/>
  <c r="D45" i="176" s="1"/>
  <c r="C32" i="176"/>
  <c r="C45" i="176" s="1"/>
  <c r="D31" i="176"/>
  <c r="D44" i="176" s="1"/>
  <c r="C31" i="176"/>
  <c r="C44" i="176" s="1"/>
  <c r="D30" i="176"/>
  <c r="D43" i="176" s="1"/>
  <c r="C30" i="176"/>
  <c r="C43" i="176" s="1"/>
  <c r="A20" i="176"/>
  <c r="A21" i="176" s="1"/>
  <c r="A22" i="176" s="1"/>
  <c r="A23" i="176" s="1"/>
  <c r="A24" i="176" s="1"/>
  <c r="A25" i="176" s="1"/>
  <c r="A26" i="176" s="1"/>
  <c r="A27" i="176" s="1"/>
  <c r="A30" i="176" s="1"/>
  <c r="A31" i="176" s="1"/>
  <c r="A32" i="176" s="1"/>
  <c r="A33" i="176" s="1"/>
  <c r="A34" i="176" s="1"/>
  <c r="A35" i="176" s="1"/>
  <c r="A36" i="176" s="1"/>
  <c r="A37" i="176" s="1"/>
  <c r="A38" i="176" s="1"/>
  <c r="A40" i="176" s="1"/>
  <c r="A43" i="176" s="1"/>
  <c r="A44" i="176" s="1"/>
  <c r="A45" i="176" s="1"/>
  <c r="A46" i="176" s="1"/>
  <c r="A47" i="176" s="1"/>
  <c r="A48" i="176" s="1"/>
  <c r="A49" i="176" s="1"/>
  <c r="A50" i="176" s="1"/>
  <c r="A51" i="176" s="1"/>
  <c r="L44" i="175"/>
  <c r="L45" i="175"/>
  <c r="L46" i="175"/>
  <c r="L47" i="175"/>
  <c r="L48" i="175"/>
  <c r="L49" i="175"/>
  <c r="L50" i="175"/>
  <c r="L43" i="175"/>
  <c r="L31" i="175"/>
  <c r="N31" i="175" s="1"/>
  <c r="L32" i="175"/>
  <c r="N32" i="175" s="1"/>
  <c r="L33" i="175"/>
  <c r="N33" i="175" s="1"/>
  <c r="L34" i="175"/>
  <c r="N34" i="175" s="1"/>
  <c r="L35" i="175"/>
  <c r="N35" i="175" s="1"/>
  <c r="L36" i="175"/>
  <c r="N36" i="175" s="1"/>
  <c r="L37" i="175"/>
  <c r="N37" i="175" s="1"/>
  <c r="L30" i="175"/>
  <c r="L20" i="175"/>
  <c r="L21" i="175"/>
  <c r="L22" i="175"/>
  <c r="L23" i="175"/>
  <c r="L24" i="175"/>
  <c r="L25" i="175"/>
  <c r="L26" i="175"/>
  <c r="L19" i="175"/>
  <c r="P51" i="175"/>
  <c r="N51" i="175"/>
  <c r="J51" i="175"/>
  <c r="D48" i="175"/>
  <c r="C48" i="175"/>
  <c r="D37" i="175"/>
  <c r="D50" i="175" s="1"/>
  <c r="C37" i="175"/>
  <c r="C50" i="175" s="1"/>
  <c r="D36" i="175"/>
  <c r="D49" i="175" s="1"/>
  <c r="C36" i="175"/>
  <c r="C49" i="175" s="1"/>
  <c r="D35" i="175"/>
  <c r="C35" i="175"/>
  <c r="D34" i="175"/>
  <c r="D47" i="175" s="1"/>
  <c r="C34" i="175"/>
  <c r="C47" i="175" s="1"/>
  <c r="D33" i="175"/>
  <c r="D46" i="175" s="1"/>
  <c r="C33" i="175"/>
  <c r="C46" i="175" s="1"/>
  <c r="D32" i="175"/>
  <c r="D45" i="175" s="1"/>
  <c r="C32" i="175"/>
  <c r="C45" i="175" s="1"/>
  <c r="D31" i="175"/>
  <c r="D44" i="175" s="1"/>
  <c r="C31" i="175"/>
  <c r="C44" i="175" s="1"/>
  <c r="D30" i="175"/>
  <c r="D43" i="175" s="1"/>
  <c r="C30" i="175"/>
  <c r="C43" i="175" s="1"/>
  <c r="A20" i="175"/>
  <c r="A21" i="175" s="1"/>
  <c r="A22" i="175" s="1"/>
  <c r="A23" i="175" s="1"/>
  <c r="A24" i="175" s="1"/>
  <c r="A25" i="175" s="1"/>
  <c r="A26" i="175" s="1"/>
  <c r="A27" i="175" s="1"/>
  <c r="A30" i="175" s="1"/>
  <c r="A31" i="175" s="1"/>
  <c r="A32" i="175" s="1"/>
  <c r="A33" i="175" s="1"/>
  <c r="A34" i="175" s="1"/>
  <c r="A35" i="175" s="1"/>
  <c r="A36" i="175" s="1"/>
  <c r="A37" i="175" s="1"/>
  <c r="A38" i="175" s="1"/>
  <c r="A40" i="175" s="1"/>
  <c r="A43" i="175" s="1"/>
  <c r="A44" i="175" s="1"/>
  <c r="A45" i="175" s="1"/>
  <c r="A46" i="175" s="1"/>
  <c r="A47" i="175" s="1"/>
  <c r="A48" i="175" s="1"/>
  <c r="A49" i="175" s="1"/>
  <c r="A50" i="175" s="1"/>
  <c r="A51" i="175" s="1"/>
  <c r="H48" i="195" l="1"/>
  <c r="G48" i="195"/>
  <c r="I48" i="195"/>
  <c r="N53" i="178"/>
  <c r="AF32" i="197"/>
  <c r="AF29" i="197"/>
  <c r="AF41" i="197"/>
  <c r="AF35" i="197"/>
  <c r="AF40" i="197"/>
  <c r="AF31" i="197"/>
  <c r="AF32" i="195" s="1"/>
  <c r="AF30" i="197"/>
  <c r="AF34" i="197"/>
  <c r="AF37" i="197"/>
  <c r="AF38" i="197"/>
  <c r="AF39" i="197"/>
  <c r="AF26" i="197"/>
  <c r="AF23" i="197"/>
  <c r="AI23" i="197" s="1"/>
  <c r="AJ23" i="197" s="1"/>
  <c r="AJ73" i="196"/>
  <c r="AJ63" i="196"/>
  <c r="AJ72" i="196"/>
  <c r="AJ66" i="196"/>
  <c r="AJ68" i="196"/>
  <c r="AJ60" i="196"/>
  <c r="AJ79" i="196"/>
  <c r="AJ71" i="196"/>
  <c r="AJ76" i="196"/>
  <c r="AJ74" i="196"/>
  <c r="AJ61" i="196"/>
  <c r="AJ65" i="196"/>
  <c r="AJ77" i="196"/>
  <c r="AJ78" i="196"/>
  <c r="AJ69" i="196"/>
  <c r="AJ67" i="196"/>
  <c r="AJ70" i="196"/>
  <c r="AJ64" i="196"/>
  <c r="AJ62" i="196"/>
  <c r="AJ75" i="196"/>
  <c r="F23" i="192"/>
  <c r="AF24" i="197"/>
  <c r="AI24" i="197" s="1"/>
  <c r="AJ24" i="197" s="1"/>
  <c r="N31" i="176"/>
  <c r="N32" i="177"/>
  <c r="N35" i="177"/>
  <c r="N36" i="177"/>
  <c r="N25" i="178"/>
  <c r="N27" i="178" s="1"/>
  <c r="N36" i="178"/>
  <c r="N38" i="178" s="1"/>
  <c r="N37" i="179"/>
  <c r="N33" i="179"/>
  <c r="L51" i="181"/>
  <c r="L27" i="175"/>
  <c r="L51" i="175"/>
  <c r="L51" i="176"/>
  <c r="L51" i="177"/>
  <c r="L27" i="178"/>
  <c r="L51" i="178"/>
  <c r="N37" i="181"/>
  <c r="L38" i="177"/>
  <c r="L51" i="179"/>
  <c r="N35" i="182"/>
  <c r="L38" i="180"/>
  <c r="L27" i="182"/>
  <c r="L51" i="182"/>
  <c r="N33" i="180"/>
  <c r="F23" i="195"/>
  <c r="F47" i="196"/>
  <c r="F24" i="195"/>
  <c r="AF23" i="196"/>
  <c r="F35" i="195"/>
  <c r="F34" i="195"/>
  <c r="F36" i="195"/>
  <c r="AI80" i="197"/>
  <c r="AJ59" i="197"/>
  <c r="F27" i="195"/>
  <c r="F30" i="195"/>
  <c r="F25" i="195"/>
  <c r="F40" i="195"/>
  <c r="F28" i="195"/>
  <c r="F43" i="195"/>
  <c r="AF25" i="197"/>
  <c r="AI21" i="197"/>
  <c r="AJ21" i="197" s="1"/>
  <c r="AM21" i="197" s="1"/>
  <c r="AI21" i="196"/>
  <c r="AF22" i="195"/>
  <c r="F26" i="195"/>
  <c r="F31" i="195"/>
  <c r="F33" i="195"/>
  <c r="F39" i="195"/>
  <c r="F29" i="195"/>
  <c r="AI80" i="196"/>
  <c r="AJ59" i="196"/>
  <c r="AF25" i="196"/>
  <c r="AF22" i="196"/>
  <c r="F47" i="197"/>
  <c r="F38" i="195"/>
  <c r="F42" i="195"/>
  <c r="F37" i="195"/>
  <c r="F32" i="195"/>
  <c r="F41" i="195"/>
  <c r="AF22" i="197"/>
  <c r="D48" i="195"/>
  <c r="D23" i="192"/>
  <c r="S45" i="189"/>
  <c r="A25" i="189"/>
  <c r="A26" i="189" s="1"/>
  <c r="A27" i="189" s="1"/>
  <c r="A28" i="189" s="1"/>
  <c r="A30" i="189" s="1"/>
  <c r="L38" i="182"/>
  <c r="N20" i="182"/>
  <c r="N23" i="182"/>
  <c r="N19" i="182"/>
  <c r="N21" i="182"/>
  <c r="N22" i="182"/>
  <c r="N25" i="182"/>
  <c r="N26" i="182"/>
  <c r="N30" i="182"/>
  <c r="N24" i="182"/>
  <c r="L38" i="181"/>
  <c r="L27" i="181"/>
  <c r="N24" i="181"/>
  <c r="N25" i="181"/>
  <c r="N26" i="181"/>
  <c r="N19" i="181"/>
  <c r="N20" i="181"/>
  <c r="N21" i="181"/>
  <c r="N22" i="181"/>
  <c r="N23" i="181"/>
  <c r="N30" i="181"/>
  <c r="L51" i="180"/>
  <c r="L27" i="180"/>
  <c r="N26" i="180"/>
  <c r="N22" i="180"/>
  <c r="N23" i="180"/>
  <c r="N24" i="180"/>
  <c r="N25" i="180"/>
  <c r="N30" i="180"/>
  <c r="N19" i="180"/>
  <c r="N20" i="180"/>
  <c r="N21" i="180"/>
  <c r="L38" i="179"/>
  <c r="L27" i="179"/>
  <c r="N24" i="179"/>
  <c r="N25" i="179"/>
  <c r="N21" i="179"/>
  <c r="N22" i="179"/>
  <c r="N30" i="179"/>
  <c r="N19" i="179"/>
  <c r="N20" i="179"/>
  <c r="N23" i="179"/>
  <c r="N26" i="179"/>
  <c r="L38" i="178"/>
  <c r="L27" i="177"/>
  <c r="N22" i="177"/>
  <c r="N19" i="177"/>
  <c r="N23" i="177"/>
  <c r="N26" i="177"/>
  <c r="N30" i="177"/>
  <c r="N20" i="177"/>
  <c r="N21" i="177"/>
  <c r="N24" i="177"/>
  <c r="N25" i="177"/>
  <c r="L27" i="176"/>
  <c r="N19" i="176"/>
  <c r="N20" i="176"/>
  <c r="N24" i="176"/>
  <c r="L38" i="176"/>
  <c r="N30" i="176"/>
  <c r="N23" i="176"/>
  <c r="N21" i="176"/>
  <c r="N25" i="176"/>
  <c r="L38" i="175"/>
  <c r="N23" i="175"/>
  <c r="N25" i="175"/>
  <c r="N20" i="175"/>
  <c r="N21" i="175"/>
  <c r="N22" i="175"/>
  <c r="N24" i="175"/>
  <c r="N30" i="175"/>
  <c r="N38" i="175" s="1"/>
  <c r="N19" i="175"/>
  <c r="N26" i="175"/>
  <c r="L44" i="174"/>
  <c r="L45" i="174"/>
  <c r="L46" i="174"/>
  <c r="L47" i="174"/>
  <c r="L48" i="174"/>
  <c r="L49" i="174"/>
  <c r="L50" i="174"/>
  <c r="L43" i="174"/>
  <c r="L31" i="174"/>
  <c r="L32" i="174"/>
  <c r="N32" i="174" s="1"/>
  <c r="L33" i="174"/>
  <c r="L34" i="174"/>
  <c r="N34" i="174" s="1"/>
  <c r="L35" i="174"/>
  <c r="L36" i="174"/>
  <c r="N36" i="174" s="1"/>
  <c r="L37" i="174"/>
  <c r="L30" i="174"/>
  <c r="L20" i="174"/>
  <c r="N20" i="174" s="1"/>
  <c r="L21" i="174"/>
  <c r="N21" i="174" s="1"/>
  <c r="L22" i="174"/>
  <c r="N22" i="174" s="1"/>
  <c r="L23" i="174"/>
  <c r="N23" i="174" s="1"/>
  <c r="L24" i="174"/>
  <c r="N24" i="174" s="1"/>
  <c r="L25" i="174"/>
  <c r="L26" i="174"/>
  <c r="N26" i="174" s="1"/>
  <c r="L19" i="174"/>
  <c r="N19" i="174" s="1"/>
  <c r="P51" i="174"/>
  <c r="N51" i="174"/>
  <c r="J51" i="174"/>
  <c r="D37" i="174"/>
  <c r="D50" i="174" s="1"/>
  <c r="C37" i="174"/>
  <c r="C50" i="174" s="1"/>
  <c r="D36" i="174"/>
  <c r="D49" i="174" s="1"/>
  <c r="C36" i="174"/>
  <c r="C49" i="174" s="1"/>
  <c r="D35" i="174"/>
  <c r="D48" i="174" s="1"/>
  <c r="C35" i="174"/>
  <c r="C48" i="174" s="1"/>
  <c r="D34" i="174"/>
  <c r="D47" i="174" s="1"/>
  <c r="C34" i="174"/>
  <c r="C47" i="174" s="1"/>
  <c r="D33" i="174"/>
  <c r="D46" i="174" s="1"/>
  <c r="C33" i="174"/>
  <c r="C46" i="174" s="1"/>
  <c r="D32" i="174"/>
  <c r="D45" i="174" s="1"/>
  <c r="C32" i="174"/>
  <c r="C45" i="174" s="1"/>
  <c r="D31" i="174"/>
  <c r="D44" i="174" s="1"/>
  <c r="C31" i="174"/>
  <c r="C44" i="174" s="1"/>
  <c r="D30" i="174"/>
  <c r="D43" i="174" s="1"/>
  <c r="C30" i="174"/>
  <c r="C43" i="174" s="1"/>
  <c r="A20" i="174"/>
  <c r="A21" i="174" s="1"/>
  <c r="A22" i="174" s="1"/>
  <c r="A23" i="174" s="1"/>
  <c r="A24" i="174" s="1"/>
  <c r="A25" i="174" s="1"/>
  <c r="A26" i="174" s="1"/>
  <c r="A27" i="174" s="1"/>
  <c r="A30" i="174" s="1"/>
  <c r="A31" i="174" s="1"/>
  <c r="A32" i="174" s="1"/>
  <c r="A33" i="174" s="1"/>
  <c r="A34" i="174" s="1"/>
  <c r="A35" i="174" s="1"/>
  <c r="A36" i="174" s="1"/>
  <c r="A37" i="174" s="1"/>
  <c r="A38" i="174" s="1"/>
  <c r="A40" i="174" s="1"/>
  <c r="A43" i="174" s="1"/>
  <c r="A44" i="174" s="1"/>
  <c r="A45" i="174" s="1"/>
  <c r="A46" i="174" s="1"/>
  <c r="A47" i="174" s="1"/>
  <c r="A48" i="174" s="1"/>
  <c r="A49" i="174" s="1"/>
  <c r="A50" i="174" s="1"/>
  <c r="A51" i="174" s="1"/>
  <c r="L44" i="173"/>
  <c r="L45" i="173"/>
  <c r="L46" i="173"/>
  <c r="L47" i="173"/>
  <c r="L48" i="173"/>
  <c r="L49" i="173"/>
  <c r="L50" i="173"/>
  <c r="L43" i="173"/>
  <c r="L31" i="173"/>
  <c r="N31" i="173" s="1"/>
  <c r="L32" i="173"/>
  <c r="N32" i="173" s="1"/>
  <c r="L33" i="173"/>
  <c r="N33" i="173" s="1"/>
  <c r="L34" i="173"/>
  <c r="N34" i="173" s="1"/>
  <c r="L35" i="173"/>
  <c r="N35" i="173" s="1"/>
  <c r="L36" i="173"/>
  <c r="N36" i="173" s="1"/>
  <c r="L37" i="173"/>
  <c r="N37" i="173" s="1"/>
  <c r="L30" i="173"/>
  <c r="L20" i="173"/>
  <c r="L21" i="173"/>
  <c r="L22" i="173"/>
  <c r="L23" i="173"/>
  <c r="L24" i="173"/>
  <c r="L25" i="173"/>
  <c r="L26" i="173"/>
  <c r="L19" i="173"/>
  <c r="P51" i="173"/>
  <c r="N51" i="173"/>
  <c r="J51" i="173"/>
  <c r="D37" i="173"/>
  <c r="D50" i="173" s="1"/>
  <c r="C37" i="173"/>
  <c r="C50" i="173" s="1"/>
  <c r="D36" i="173"/>
  <c r="D49" i="173" s="1"/>
  <c r="C36" i="173"/>
  <c r="C49" i="173" s="1"/>
  <c r="D35" i="173"/>
  <c r="D48" i="173" s="1"/>
  <c r="C35" i="173"/>
  <c r="C48" i="173" s="1"/>
  <c r="D34" i="173"/>
  <c r="D47" i="173" s="1"/>
  <c r="C34" i="173"/>
  <c r="C47" i="173" s="1"/>
  <c r="D33" i="173"/>
  <c r="D46" i="173" s="1"/>
  <c r="C33" i="173"/>
  <c r="C46" i="173" s="1"/>
  <c r="D32" i="173"/>
  <c r="D45" i="173" s="1"/>
  <c r="C32" i="173"/>
  <c r="C45" i="173" s="1"/>
  <c r="D31" i="173"/>
  <c r="D44" i="173" s="1"/>
  <c r="C31" i="173"/>
  <c r="C44" i="173" s="1"/>
  <c r="D30" i="173"/>
  <c r="D43" i="173" s="1"/>
  <c r="C30" i="173"/>
  <c r="C43" i="173" s="1"/>
  <c r="A20" i="173"/>
  <c r="A21" i="173" s="1"/>
  <c r="A22" i="173" s="1"/>
  <c r="A23" i="173" s="1"/>
  <c r="A24" i="173" s="1"/>
  <c r="A25" i="173" s="1"/>
  <c r="A26" i="173" s="1"/>
  <c r="A27" i="173" s="1"/>
  <c r="A30" i="173" s="1"/>
  <c r="A31" i="173" s="1"/>
  <c r="A32" i="173" s="1"/>
  <c r="A33" i="173" s="1"/>
  <c r="A34" i="173" s="1"/>
  <c r="A35" i="173" s="1"/>
  <c r="A36" i="173" s="1"/>
  <c r="A37" i="173" s="1"/>
  <c r="A38" i="173" s="1"/>
  <c r="A40" i="173" s="1"/>
  <c r="A43" i="173" s="1"/>
  <c r="A44" i="173" s="1"/>
  <c r="A45" i="173" s="1"/>
  <c r="A46" i="173" s="1"/>
  <c r="A47" i="173" s="1"/>
  <c r="A48" i="173" s="1"/>
  <c r="A49" i="173" s="1"/>
  <c r="A50" i="173" s="1"/>
  <c r="A51" i="173" s="1"/>
  <c r="L44" i="172"/>
  <c r="L45" i="172"/>
  <c r="L46" i="172"/>
  <c r="L47" i="172"/>
  <c r="L48" i="172"/>
  <c r="L49" i="172"/>
  <c r="L50" i="172"/>
  <c r="L43" i="172"/>
  <c r="L31" i="172"/>
  <c r="L32" i="172"/>
  <c r="L33" i="172"/>
  <c r="L34" i="172"/>
  <c r="L35" i="172"/>
  <c r="L36" i="172"/>
  <c r="L37" i="172"/>
  <c r="L30" i="172"/>
  <c r="L20" i="172"/>
  <c r="L21" i="172"/>
  <c r="L22" i="172"/>
  <c r="L23" i="172"/>
  <c r="L24" i="172"/>
  <c r="L25" i="172"/>
  <c r="L26" i="172"/>
  <c r="L19" i="172"/>
  <c r="A20" i="172"/>
  <c r="A21" i="172" s="1"/>
  <c r="A22" i="172" s="1"/>
  <c r="A23" i="172" s="1"/>
  <c r="A24" i="172" s="1"/>
  <c r="A25" i="172" s="1"/>
  <c r="A26" i="172" s="1"/>
  <c r="A27" i="172" s="1"/>
  <c r="A30" i="172" s="1"/>
  <c r="A31" i="172" s="1"/>
  <c r="A32" i="172" s="1"/>
  <c r="A33" i="172" s="1"/>
  <c r="A34" i="172" s="1"/>
  <c r="A35" i="172" s="1"/>
  <c r="A36" i="172" s="1"/>
  <c r="A37" i="172" s="1"/>
  <c r="A38" i="172" s="1"/>
  <c r="A40" i="172" s="1"/>
  <c r="A43" i="172" s="1"/>
  <c r="A44" i="172" s="1"/>
  <c r="A45" i="172" s="1"/>
  <c r="A46" i="172" s="1"/>
  <c r="A47" i="172" s="1"/>
  <c r="A48" i="172" s="1"/>
  <c r="A49" i="172" s="1"/>
  <c r="A50" i="172" s="1"/>
  <c r="A51" i="172" s="1"/>
  <c r="P51" i="172"/>
  <c r="N51" i="172"/>
  <c r="J51" i="172"/>
  <c r="D37" i="172"/>
  <c r="D50" i="172" s="1"/>
  <c r="C37" i="172"/>
  <c r="C50" i="172" s="1"/>
  <c r="D36" i="172"/>
  <c r="D49" i="172" s="1"/>
  <c r="C36" i="172"/>
  <c r="C49" i="172" s="1"/>
  <c r="D35" i="172"/>
  <c r="D48" i="172" s="1"/>
  <c r="C35" i="172"/>
  <c r="C48" i="172" s="1"/>
  <c r="D34" i="172"/>
  <c r="D47" i="172" s="1"/>
  <c r="C34" i="172"/>
  <c r="C47" i="172" s="1"/>
  <c r="D33" i="172"/>
  <c r="D46" i="172" s="1"/>
  <c r="C33" i="172"/>
  <c r="C46" i="172" s="1"/>
  <c r="D32" i="172"/>
  <c r="D45" i="172" s="1"/>
  <c r="C32" i="172"/>
  <c r="C45" i="172" s="1"/>
  <c r="D31" i="172"/>
  <c r="D44" i="172" s="1"/>
  <c r="C31" i="172"/>
  <c r="C44" i="172" s="1"/>
  <c r="D30" i="172"/>
  <c r="D43" i="172" s="1"/>
  <c r="C30" i="172"/>
  <c r="C43" i="172" s="1"/>
  <c r="A8" i="172"/>
  <c r="A8" i="173" s="1"/>
  <c r="A8" i="174" s="1"/>
  <c r="A8" i="175" s="1"/>
  <c r="A8" i="176" s="1"/>
  <c r="A8" i="177" s="1"/>
  <c r="A8" i="178" s="1"/>
  <c r="A8" i="179" s="1"/>
  <c r="A8" i="180" s="1"/>
  <c r="A8" i="181" s="1"/>
  <c r="A8" i="182" s="1"/>
  <c r="A7" i="172"/>
  <c r="A7" i="173" s="1"/>
  <c r="A7" i="174" s="1"/>
  <c r="A7" i="175" s="1"/>
  <c r="A7" i="176" s="1"/>
  <c r="A7" i="177" s="1"/>
  <c r="A7" i="178" s="1"/>
  <c r="A7" i="179" s="1"/>
  <c r="A7" i="180" s="1"/>
  <c r="A7" i="181" s="1"/>
  <c r="A7" i="182" s="1"/>
  <c r="L44" i="171"/>
  <c r="L45" i="171"/>
  <c r="L46" i="171"/>
  <c r="R46" i="171" s="1"/>
  <c r="F46" i="172" s="1"/>
  <c r="L47" i="171"/>
  <c r="R47" i="171" s="1"/>
  <c r="F47" i="172" s="1"/>
  <c r="L48" i="171"/>
  <c r="R48" i="171" s="1"/>
  <c r="F48" i="172" s="1"/>
  <c r="L49" i="171"/>
  <c r="R49" i="171" s="1"/>
  <c r="F49" i="172" s="1"/>
  <c r="L50" i="171"/>
  <c r="L33" i="171"/>
  <c r="R33" i="171" s="1"/>
  <c r="F33" i="172" s="1"/>
  <c r="L34" i="171"/>
  <c r="R34" i="171" s="1"/>
  <c r="F34" i="172" s="1"/>
  <c r="L35" i="171"/>
  <c r="R35" i="171" s="1"/>
  <c r="F35" i="172" s="1"/>
  <c r="L20" i="171"/>
  <c r="R20" i="171" s="1"/>
  <c r="F20" i="172" s="1"/>
  <c r="L21" i="171"/>
  <c r="R21" i="171" s="1"/>
  <c r="F21" i="172" s="1"/>
  <c r="L22" i="171"/>
  <c r="R22" i="171" s="1"/>
  <c r="F22" i="172" s="1"/>
  <c r="L23" i="171"/>
  <c r="L24" i="171"/>
  <c r="N24" i="171" s="1"/>
  <c r="L25" i="171"/>
  <c r="L26" i="171"/>
  <c r="L19" i="171"/>
  <c r="P41" i="170"/>
  <c r="P42" i="170"/>
  <c r="P43" i="170"/>
  <c r="P30" i="170"/>
  <c r="P31" i="170"/>
  <c r="P32" i="170"/>
  <c r="P20" i="170"/>
  <c r="P21" i="170"/>
  <c r="P22" i="170"/>
  <c r="D50" i="171"/>
  <c r="C46" i="171"/>
  <c r="C47" i="171"/>
  <c r="J33" i="171"/>
  <c r="J34" i="171"/>
  <c r="J35" i="171"/>
  <c r="D31" i="171"/>
  <c r="D44" i="171" s="1"/>
  <c r="D32" i="171"/>
  <c r="D45" i="171" s="1"/>
  <c r="D33" i="171"/>
  <c r="D46" i="171" s="1"/>
  <c r="D34" i="171"/>
  <c r="D47" i="171" s="1"/>
  <c r="D35" i="171"/>
  <c r="D48" i="171" s="1"/>
  <c r="D36" i="171"/>
  <c r="D49" i="171" s="1"/>
  <c r="D37" i="171"/>
  <c r="D30" i="171"/>
  <c r="D43" i="171" s="1"/>
  <c r="C31" i="171"/>
  <c r="C44" i="171" s="1"/>
  <c r="C32" i="171"/>
  <c r="C45" i="171" s="1"/>
  <c r="C33" i="171"/>
  <c r="C34" i="171"/>
  <c r="C35" i="171"/>
  <c r="C48" i="171" s="1"/>
  <c r="C36" i="171"/>
  <c r="C49" i="171" s="1"/>
  <c r="C37" i="171"/>
  <c r="C50" i="171" s="1"/>
  <c r="C30" i="171"/>
  <c r="C43" i="171" s="1"/>
  <c r="C18" i="170"/>
  <c r="C28" i="170" s="1"/>
  <c r="C40" i="170" s="1"/>
  <c r="C19" i="170"/>
  <c r="C29" i="170" s="1"/>
  <c r="C41" i="170" s="1"/>
  <c r="C20" i="170"/>
  <c r="C30" i="170" s="1"/>
  <c r="C42" i="170" s="1"/>
  <c r="C21" i="170"/>
  <c r="C31" i="170" s="1"/>
  <c r="C43" i="170" s="1"/>
  <c r="C22" i="170"/>
  <c r="C32" i="170" s="1"/>
  <c r="C44" i="170" s="1"/>
  <c r="C23" i="170"/>
  <c r="C33" i="170" s="1"/>
  <c r="C45" i="170" s="1"/>
  <c r="C24" i="170"/>
  <c r="C34" i="170" s="1"/>
  <c r="C46" i="170" s="1"/>
  <c r="C17" i="170"/>
  <c r="C27" i="170" s="1"/>
  <c r="C39" i="170" s="1"/>
  <c r="B18" i="170"/>
  <c r="B19" i="170"/>
  <c r="B20" i="170"/>
  <c r="B21" i="170"/>
  <c r="B22" i="170"/>
  <c r="B23" i="170"/>
  <c r="B24" i="170"/>
  <c r="B17" i="170"/>
  <c r="J20" i="171"/>
  <c r="J21" i="171"/>
  <c r="J22" i="171"/>
  <c r="J23" i="171"/>
  <c r="A20" i="171"/>
  <c r="A21" i="171" s="1"/>
  <c r="A22" i="171" s="1"/>
  <c r="A23" i="171" s="1"/>
  <c r="A24" i="171" s="1"/>
  <c r="A25" i="171" s="1"/>
  <c r="A26" i="171" s="1"/>
  <c r="N53" i="177" l="1"/>
  <c r="R34" i="172"/>
  <c r="F34" i="173" s="1"/>
  <c r="R34" i="173" s="1"/>
  <c r="F34" i="174" s="1"/>
  <c r="J34" i="174" s="1"/>
  <c r="P34" i="174" s="1"/>
  <c r="N53" i="179"/>
  <c r="N53" i="181"/>
  <c r="N53" i="182"/>
  <c r="N53" i="180"/>
  <c r="N35" i="171"/>
  <c r="N53" i="175"/>
  <c r="N38" i="176"/>
  <c r="N53" i="176"/>
  <c r="N20" i="171"/>
  <c r="R46" i="172"/>
  <c r="F46" i="173" s="1"/>
  <c r="R46" i="173" s="1"/>
  <c r="F46" i="174" s="1"/>
  <c r="R46" i="174" s="1"/>
  <c r="F46" i="175" s="1"/>
  <c r="R46" i="175" s="1"/>
  <c r="F46" i="176" s="1"/>
  <c r="R46" i="176" s="1"/>
  <c r="F46" i="177" s="1"/>
  <c r="R46" i="177" s="1"/>
  <c r="F46" i="178" s="1"/>
  <c r="R46" i="178" s="1"/>
  <c r="F46" i="179" s="1"/>
  <c r="R46" i="179" s="1"/>
  <c r="F46" i="180" s="1"/>
  <c r="R46" i="180" s="1"/>
  <c r="F46" i="181" s="1"/>
  <c r="R46" i="181" s="1"/>
  <c r="F46" i="182" s="1"/>
  <c r="R46" i="182" s="1"/>
  <c r="AF33" i="195"/>
  <c r="AI22" i="197"/>
  <c r="AJ22" i="197" s="1"/>
  <c r="AM22" i="197" s="1"/>
  <c r="AF47" i="197"/>
  <c r="AF47" i="195" s="1"/>
  <c r="AF42" i="195"/>
  <c r="AI25" i="197"/>
  <c r="AJ25" i="197" s="1"/>
  <c r="AF31" i="195"/>
  <c r="AK75" i="196"/>
  <c r="AK67" i="196"/>
  <c r="AK65" i="196"/>
  <c r="AK71" i="196"/>
  <c r="AK66" i="196"/>
  <c r="AK62" i="196"/>
  <c r="AK69" i="196"/>
  <c r="AK61" i="196"/>
  <c r="AK79" i="196"/>
  <c r="AK72" i="196"/>
  <c r="AK64" i="196"/>
  <c r="AK78" i="196"/>
  <c r="AK74" i="196"/>
  <c r="AK60" i="196"/>
  <c r="AK63" i="196"/>
  <c r="AK70" i="196"/>
  <c r="AK77" i="196"/>
  <c r="AK76" i="196"/>
  <c r="AK68" i="196"/>
  <c r="AK73" i="196"/>
  <c r="AF25" i="195"/>
  <c r="AF27" i="195"/>
  <c r="N33" i="171"/>
  <c r="P33" i="171" s="1"/>
  <c r="N21" i="172"/>
  <c r="N25" i="172"/>
  <c r="N38" i="180"/>
  <c r="N38" i="181"/>
  <c r="N38" i="179"/>
  <c r="L40" i="178"/>
  <c r="N38" i="177"/>
  <c r="R22" i="172"/>
  <c r="F22" i="173" s="1"/>
  <c r="J22" i="173" s="1"/>
  <c r="R33" i="172"/>
  <c r="F33" i="173" s="1"/>
  <c r="R33" i="173" s="1"/>
  <c r="F33" i="174" s="1"/>
  <c r="R33" i="174" s="1"/>
  <c r="F33" i="175" s="1"/>
  <c r="N37" i="172"/>
  <c r="N36" i="172"/>
  <c r="N33" i="172"/>
  <c r="R21" i="172"/>
  <c r="F21" i="173" s="1"/>
  <c r="R21" i="173" s="1"/>
  <c r="F21" i="174" s="1"/>
  <c r="N32" i="172"/>
  <c r="R35" i="172"/>
  <c r="F35" i="173" s="1"/>
  <c r="J35" i="173" s="1"/>
  <c r="P35" i="173" s="1"/>
  <c r="R49" i="172"/>
  <c r="F49" i="173" s="1"/>
  <c r="R49" i="173" s="1"/>
  <c r="F49" i="174" s="1"/>
  <c r="R49" i="174" s="1"/>
  <c r="F49" i="175" s="1"/>
  <c r="R49" i="175" s="1"/>
  <c r="F49" i="176" s="1"/>
  <c r="R49" i="176" s="1"/>
  <c r="F49" i="177" s="1"/>
  <c r="R49" i="177" s="1"/>
  <c r="F49" i="178" s="1"/>
  <c r="R49" i="178" s="1"/>
  <c r="F49" i="179" s="1"/>
  <c r="R49" i="179" s="1"/>
  <c r="F49" i="180" s="1"/>
  <c r="R49" i="180" s="1"/>
  <c r="F49" i="181" s="1"/>
  <c r="R49" i="181" s="1"/>
  <c r="F49" i="182" s="1"/>
  <c r="R49" i="182" s="1"/>
  <c r="R48" i="172"/>
  <c r="F48" i="173" s="1"/>
  <c r="R48" i="173" s="1"/>
  <c r="F48" i="174" s="1"/>
  <c r="R48" i="174" s="1"/>
  <c r="F48" i="175" s="1"/>
  <c r="R48" i="175" s="1"/>
  <c r="F48" i="176" s="1"/>
  <c r="R48" i="176" s="1"/>
  <c r="F48" i="177" s="1"/>
  <c r="R48" i="177" s="1"/>
  <c r="F48" i="178" s="1"/>
  <c r="R48" i="178" s="1"/>
  <c r="F48" i="179" s="1"/>
  <c r="R48" i="179" s="1"/>
  <c r="F48" i="180" s="1"/>
  <c r="R48" i="180" s="1"/>
  <c r="F48" i="181" s="1"/>
  <c r="R48" i="181" s="1"/>
  <c r="F48" i="182" s="1"/>
  <c r="R48" i="182" s="1"/>
  <c r="N34" i="171"/>
  <c r="P34" i="171" s="1"/>
  <c r="P35" i="171"/>
  <c r="P20" i="171"/>
  <c r="N25" i="174"/>
  <c r="N27" i="174" s="1"/>
  <c r="L38" i="173"/>
  <c r="L51" i="173"/>
  <c r="N18" i="189"/>
  <c r="N26" i="189" s="1"/>
  <c r="R23" i="171"/>
  <c r="F23" i="172" s="1"/>
  <c r="R23" i="172" s="1"/>
  <c r="F23" i="173" s="1"/>
  <c r="J23" i="173" s="1"/>
  <c r="N23" i="171"/>
  <c r="P23" i="171" s="1"/>
  <c r="R20" i="172"/>
  <c r="F20" i="173" s="1"/>
  <c r="J20" i="172"/>
  <c r="J18" i="189"/>
  <c r="J26" i="189" s="1"/>
  <c r="L40" i="175"/>
  <c r="L40" i="180"/>
  <c r="O17" i="189"/>
  <c r="L40" i="181"/>
  <c r="P17" i="189"/>
  <c r="Q27" i="189"/>
  <c r="O18" i="189"/>
  <c r="O26" i="189" s="1"/>
  <c r="N27" i="189"/>
  <c r="J17" i="189"/>
  <c r="Q18" i="189"/>
  <c r="Q26" i="189" s="1"/>
  <c r="J27" i="189"/>
  <c r="K17" i="189"/>
  <c r="N22" i="171"/>
  <c r="P22" i="171" s="1"/>
  <c r="N19" i="172"/>
  <c r="N30" i="172"/>
  <c r="N35" i="172"/>
  <c r="L27" i="172"/>
  <c r="L38" i="174"/>
  <c r="O27" i="189"/>
  <c r="P18" i="189"/>
  <c r="P26" i="189" s="1"/>
  <c r="L40" i="182"/>
  <c r="L18" i="189"/>
  <c r="L26" i="189" s="1"/>
  <c r="M27" i="189"/>
  <c r="L27" i="189"/>
  <c r="P27" i="189"/>
  <c r="M17" i="189"/>
  <c r="N31" i="172"/>
  <c r="N21" i="171"/>
  <c r="P21" i="171" s="1"/>
  <c r="J22" i="172"/>
  <c r="N34" i="172"/>
  <c r="L38" i="172"/>
  <c r="K18" i="189"/>
  <c r="K26" i="189" s="1"/>
  <c r="L40" i="177"/>
  <c r="L17" i="189"/>
  <c r="M18" i="189"/>
  <c r="M26" i="189" s="1"/>
  <c r="L40" i="179"/>
  <c r="N17" i="189"/>
  <c r="N38" i="182"/>
  <c r="Q17" i="189"/>
  <c r="K27" i="189"/>
  <c r="AF40" i="195"/>
  <c r="AK59" i="196"/>
  <c r="AJ80" i="196"/>
  <c r="AF37" i="195"/>
  <c r="AF30" i="195"/>
  <c r="AI22" i="196"/>
  <c r="AF23" i="195"/>
  <c r="AF34" i="195"/>
  <c r="AF38" i="195"/>
  <c r="AF26" i="195"/>
  <c r="AF39" i="195"/>
  <c r="AN21" i="197"/>
  <c r="AF43" i="195"/>
  <c r="AK59" i="197"/>
  <c r="AJ80" i="197"/>
  <c r="AF28" i="195"/>
  <c r="F48" i="195"/>
  <c r="AF36" i="195"/>
  <c r="AI22" i="195"/>
  <c r="AJ21" i="196"/>
  <c r="AF47" i="196"/>
  <c r="AF35" i="195"/>
  <c r="AI23" i="196"/>
  <c r="AF24" i="195"/>
  <c r="AF41" i="195"/>
  <c r="AF29" i="195"/>
  <c r="A32" i="189"/>
  <c r="A35" i="189" s="1"/>
  <c r="A37" i="189" s="1"/>
  <c r="A39" i="189" s="1"/>
  <c r="A41" i="189" s="1"/>
  <c r="A43" i="189" s="1"/>
  <c r="A44" i="189" s="1"/>
  <c r="A45" i="189" s="1"/>
  <c r="A46" i="189" s="1"/>
  <c r="A47" i="189" s="1"/>
  <c r="A49" i="189" s="1"/>
  <c r="N27" i="182"/>
  <c r="N27" i="181"/>
  <c r="N27" i="180"/>
  <c r="N27" i="179"/>
  <c r="N40" i="178"/>
  <c r="N54" i="178" s="1"/>
  <c r="N27" i="177"/>
  <c r="L40" i="176"/>
  <c r="N27" i="176"/>
  <c r="N27" i="175"/>
  <c r="N40" i="175" s="1"/>
  <c r="L27" i="174"/>
  <c r="N31" i="174"/>
  <c r="N33" i="174"/>
  <c r="N35" i="174"/>
  <c r="N37" i="174"/>
  <c r="L51" i="174"/>
  <c r="N30" i="174"/>
  <c r="L27" i="173"/>
  <c r="N20" i="173"/>
  <c r="N25" i="173"/>
  <c r="N26" i="173"/>
  <c r="N30" i="173"/>
  <c r="N38" i="173" s="1"/>
  <c r="N19" i="173"/>
  <c r="N21" i="173"/>
  <c r="N22" i="173"/>
  <c r="N23" i="173"/>
  <c r="N24" i="173"/>
  <c r="N23" i="172"/>
  <c r="R47" i="172"/>
  <c r="F47" i="173" s="1"/>
  <c r="R47" i="173" s="1"/>
  <c r="F47" i="174" s="1"/>
  <c r="R47" i="174" s="1"/>
  <c r="F47" i="175" s="1"/>
  <c r="R47" i="175" s="1"/>
  <c r="F47" i="176" s="1"/>
  <c r="R47" i="176" s="1"/>
  <c r="F47" i="177" s="1"/>
  <c r="R47" i="177" s="1"/>
  <c r="J33" i="172"/>
  <c r="L51" i="172"/>
  <c r="N20" i="172"/>
  <c r="J21" i="172"/>
  <c r="N22" i="172"/>
  <c r="N24" i="172"/>
  <c r="N26" i="172"/>
  <c r="J34" i="172"/>
  <c r="J35" i="172"/>
  <c r="D35" i="170"/>
  <c r="J34" i="173" l="1"/>
  <c r="P34" i="173" s="1"/>
  <c r="N54" i="175"/>
  <c r="N53" i="173"/>
  <c r="N53" i="174"/>
  <c r="N53" i="172"/>
  <c r="N40" i="176"/>
  <c r="N54" i="176" s="1"/>
  <c r="J33" i="173"/>
  <c r="P33" i="173" s="1"/>
  <c r="P21" i="172"/>
  <c r="P33" i="172"/>
  <c r="J21" i="173"/>
  <c r="P21" i="173" s="1"/>
  <c r="AM67" i="196"/>
  <c r="AM72" i="196"/>
  <c r="AM73" i="196"/>
  <c r="AM70" i="196"/>
  <c r="AM78" i="196"/>
  <c r="AM61" i="196"/>
  <c r="AM71" i="196"/>
  <c r="AM76" i="196"/>
  <c r="AM68" i="196"/>
  <c r="AM63" i="196"/>
  <c r="AM64" i="196"/>
  <c r="AM69" i="196"/>
  <c r="AM65" i="196"/>
  <c r="AM60" i="196"/>
  <c r="AM62" i="196"/>
  <c r="AM77" i="196"/>
  <c r="AM74" i="196"/>
  <c r="AM79" i="196"/>
  <c r="AM66" i="196"/>
  <c r="AM75" i="196"/>
  <c r="N40" i="177"/>
  <c r="N54" i="177" s="1"/>
  <c r="N40" i="181"/>
  <c r="N54" i="181" s="1"/>
  <c r="L40" i="174"/>
  <c r="Q19" i="189"/>
  <c r="R22" i="173"/>
  <c r="F22" i="174" s="1"/>
  <c r="J22" i="174" s="1"/>
  <c r="P22" i="174" s="1"/>
  <c r="N40" i="179"/>
  <c r="N54" i="179" s="1"/>
  <c r="L40" i="172"/>
  <c r="P34" i="172"/>
  <c r="N40" i="180"/>
  <c r="N54" i="180" s="1"/>
  <c r="P22" i="173"/>
  <c r="N40" i="182"/>
  <c r="N54" i="182" s="1"/>
  <c r="J21" i="174"/>
  <c r="P21" i="174" s="1"/>
  <c r="R21" i="174"/>
  <c r="F21" i="175" s="1"/>
  <c r="J21" i="175" s="1"/>
  <c r="P21" i="175" s="1"/>
  <c r="N38" i="172"/>
  <c r="R35" i="173"/>
  <c r="F35" i="174" s="1"/>
  <c r="J23" i="172"/>
  <c r="P23" i="172" s="1"/>
  <c r="P22" i="172"/>
  <c r="P20" i="172"/>
  <c r="O19" i="189"/>
  <c r="J33" i="174"/>
  <c r="P33" i="174" s="1"/>
  <c r="R34" i="174"/>
  <c r="F34" i="175" s="1"/>
  <c r="R34" i="175" s="1"/>
  <c r="F34" i="176" s="1"/>
  <c r="P23" i="173"/>
  <c r="F47" i="178"/>
  <c r="R47" i="178" s="1"/>
  <c r="F47" i="179" s="1"/>
  <c r="R47" i="179" s="1"/>
  <c r="F47" i="180" s="1"/>
  <c r="G27" i="189"/>
  <c r="G17" i="189"/>
  <c r="R20" i="173"/>
  <c r="F20" i="174" s="1"/>
  <c r="J20" i="173"/>
  <c r="P20" i="173" s="1"/>
  <c r="H18" i="189"/>
  <c r="H26" i="189" s="1"/>
  <c r="L40" i="173"/>
  <c r="H17" i="189"/>
  <c r="R33" i="175"/>
  <c r="F33" i="176" s="1"/>
  <c r="J33" i="175"/>
  <c r="P33" i="175" s="1"/>
  <c r="I18" i="189"/>
  <c r="I26" i="189" s="1"/>
  <c r="N19" i="189"/>
  <c r="L19" i="189"/>
  <c r="H27" i="189"/>
  <c r="M19" i="189"/>
  <c r="G18" i="189"/>
  <c r="G26" i="189" s="1"/>
  <c r="I27" i="189"/>
  <c r="P35" i="172"/>
  <c r="R23" i="173"/>
  <c r="F23" i="174" s="1"/>
  <c r="I17" i="189"/>
  <c r="K19" i="189"/>
  <c r="J19" i="189"/>
  <c r="P19" i="189"/>
  <c r="AF48" i="195"/>
  <c r="AK80" i="197"/>
  <c r="AM59" i="197"/>
  <c r="AM23" i="197"/>
  <c r="AN22" i="197"/>
  <c r="AJ22" i="196"/>
  <c r="AI23" i="195"/>
  <c r="AJ23" i="196"/>
  <c r="AI24" i="195"/>
  <c r="AM21" i="196"/>
  <c r="AK80" i="196"/>
  <c r="AM59" i="196"/>
  <c r="N38" i="174"/>
  <c r="N40" i="174" s="1"/>
  <c r="N27" i="173"/>
  <c r="N40" i="173" s="1"/>
  <c r="N54" i="173" s="1"/>
  <c r="N27" i="172"/>
  <c r="AJ24" i="195" l="1"/>
  <c r="AJ23" i="195"/>
  <c r="N54" i="174"/>
  <c r="AJ22" i="195"/>
  <c r="AM22" i="195" s="1"/>
  <c r="AN22" i="195" s="1"/>
  <c r="R22" i="174"/>
  <c r="F22" i="175" s="1"/>
  <c r="J22" i="175" s="1"/>
  <c r="P22" i="175" s="1"/>
  <c r="N40" i="172"/>
  <c r="N54" i="172" s="1"/>
  <c r="R21" i="175"/>
  <c r="F21" i="176" s="1"/>
  <c r="J21" i="176" s="1"/>
  <c r="P21" i="176" s="1"/>
  <c r="J35" i="174"/>
  <c r="P35" i="174" s="1"/>
  <c r="R35" i="174"/>
  <c r="F35" i="175" s="1"/>
  <c r="I19" i="189"/>
  <c r="H19" i="189"/>
  <c r="J34" i="175"/>
  <c r="P34" i="175" s="1"/>
  <c r="J34" i="176"/>
  <c r="P34" i="176" s="1"/>
  <c r="R34" i="176"/>
  <c r="F34" i="177" s="1"/>
  <c r="J20" i="174"/>
  <c r="P20" i="174" s="1"/>
  <c r="R20" i="174"/>
  <c r="F20" i="175" s="1"/>
  <c r="J23" i="174"/>
  <c r="P23" i="174" s="1"/>
  <c r="R23" i="174"/>
  <c r="F23" i="175" s="1"/>
  <c r="G19" i="189"/>
  <c r="R47" i="180"/>
  <c r="F47" i="181" s="1"/>
  <c r="R47" i="181" s="1"/>
  <c r="J33" i="176"/>
  <c r="P33" i="176" s="1"/>
  <c r="R33" i="176"/>
  <c r="F33" i="177" s="1"/>
  <c r="AN21" i="196"/>
  <c r="AM22" i="196"/>
  <c r="AN59" i="197"/>
  <c r="AN60" i="197" s="1"/>
  <c r="AN61" i="197" s="1"/>
  <c r="AN62" i="197" s="1"/>
  <c r="AN63" i="197" s="1"/>
  <c r="AN64" i="197" s="1"/>
  <c r="AN65" i="197" s="1"/>
  <c r="AN66" i="197" s="1"/>
  <c r="AN67" i="197" s="1"/>
  <c r="AN68" i="197" s="1"/>
  <c r="AN69" i="197" s="1"/>
  <c r="AN70" i="197" s="1"/>
  <c r="AN71" i="197" s="1"/>
  <c r="AN72" i="197" s="1"/>
  <c r="AN73" i="197" s="1"/>
  <c r="AN74" i="197" s="1"/>
  <c r="AN75" i="197" s="1"/>
  <c r="AN76" i="197" s="1"/>
  <c r="AN77" i="197" s="1"/>
  <c r="AN78" i="197" s="1"/>
  <c r="AN79" i="197" s="1"/>
  <c r="AM80" i="197"/>
  <c r="AI24" i="196"/>
  <c r="AN59" i="196"/>
  <c r="AM80" i="196"/>
  <c r="AM24" i="197"/>
  <c r="AN23" i="197"/>
  <c r="R22" i="175" l="1"/>
  <c r="F22" i="176" s="1"/>
  <c r="AN60" i="196"/>
  <c r="R21" i="176"/>
  <c r="F21" i="177" s="1"/>
  <c r="R21" i="177" s="1"/>
  <c r="F21" i="178" s="1"/>
  <c r="AM23" i="195"/>
  <c r="AM24" i="195" s="1"/>
  <c r="R35" i="175"/>
  <c r="F35" i="176" s="1"/>
  <c r="J35" i="175"/>
  <c r="P35" i="175" s="1"/>
  <c r="J20" i="175"/>
  <c r="P20" i="175" s="1"/>
  <c r="R20" i="175"/>
  <c r="F20" i="176" s="1"/>
  <c r="J33" i="177"/>
  <c r="P33" i="177" s="1"/>
  <c r="R33" i="177"/>
  <c r="J23" i="175"/>
  <c r="P23" i="175" s="1"/>
  <c r="R23" i="175"/>
  <c r="F23" i="176" s="1"/>
  <c r="J34" i="177"/>
  <c r="P34" i="177" s="1"/>
  <c r="R34" i="177"/>
  <c r="F34" i="178" s="1"/>
  <c r="F47" i="182"/>
  <c r="R47" i="182" s="1"/>
  <c r="AM25" i="197"/>
  <c r="AN24" i="197"/>
  <c r="AN22" i="196"/>
  <c r="AM23" i="196"/>
  <c r="AI25" i="195"/>
  <c r="AJ24" i="196"/>
  <c r="AJ25" i="195" s="1"/>
  <c r="J21" i="177" l="1"/>
  <c r="P21" i="177" s="1"/>
  <c r="AI25" i="196"/>
  <c r="R22" i="176"/>
  <c r="F22" i="177" s="1"/>
  <c r="J22" i="176"/>
  <c r="P22" i="176" s="1"/>
  <c r="AN23" i="195"/>
  <c r="AN61" i="196"/>
  <c r="J35" i="176"/>
  <c r="P35" i="176" s="1"/>
  <c r="R35" i="176"/>
  <c r="F35" i="177" s="1"/>
  <c r="F33" i="178"/>
  <c r="J34" i="178"/>
  <c r="P34" i="178" s="1"/>
  <c r="R34" i="178"/>
  <c r="J23" i="176"/>
  <c r="P23" i="176" s="1"/>
  <c r="R23" i="176"/>
  <c r="F23" i="177" s="1"/>
  <c r="J20" i="176"/>
  <c r="P20" i="176" s="1"/>
  <c r="R20" i="176"/>
  <c r="F20" i="177" s="1"/>
  <c r="J21" i="178"/>
  <c r="P21" i="178" s="1"/>
  <c r="R21" i="178"/>
  <c r="F21" i="179" s="1"/>
  <c r="AM24" i="196"/>
  <c r="AN23" i="196"/>
  <c r="AN25" i="197"/>
  <c r="AM25" i="195"/>
  <c r="AN24" i="195"/>
  <c r="AJ25" i="196" l="1"/>
  <c r="AI26" i="195"/>
  <c r="J22" i="177"/>
  <c r="P22" i="177" s="1"/>
  <c r="R22" i="177"/>
  <c r="F22" i="178" s="1"/>
  <c r="AN62" i="196"/>
  <c r="J35" i="177"/>
  <c r="P35" i="177" s="1"/>
  <c r="R35" i="177"/>
  <c r="F35" i="178" s="1"/>
  <c r="J20" i="177"/>
  <c r="P20" i="177" s="1"/>
  <c r="R20" i="177"/>
  <c r="F20" i="178" s="1"/>
  <c r="J23" i="177"/>
  <c r="P23" i="177" s="1"/>
  <c r="R23" i="177"/>
  <c r="F23" i="178" s="1"/>
  <c r="R33" i="178"/>
  <c r="F33" i="179" s="1"/>
  <c r="J33" i="178"/>
  <c r="P33" i="178" s="1"/>
  <c r="J21" i="179"/>
  <c r="P21" i="179" s="1"/>
  <c r="R21" i="179"/>
  <c r="F21" i="180" s="1"/>
  <c r="F34" i="179"/>
  <c r="AN25" i="195"/>
  <c r="AN24" i="196"/>
  <c r="AM25" i="196"/>
  <c r="AJ26" i="195" l="1"/>
  <c r="AM26" i="195" s="1"/>
  <c r="AN26" i="195" s="1"/>
  <c r="R22" i="178"/>
  <c r="F22" i="179" s="1"/>
  <c r="J22" i="178"/>
  <c r="P22" i="178" s="1"/>
  <c r="AN63" i="196"/>
  <c r="J35" i="178"/>
  <c r="P35" i="178" s="1"/>
  <c r="R35" i="178"/>
  <c r="F35" i="179" s="1"/>
  <c r="R34" i="179"/>
  <c r="F34" i="180" s="1"/>
  <c r="J34" i="179"/>
  <c r="P34" i="179" s="1"/>
  <c r="R21" i="180"/>
  <c r="F21" i="181" s="1"/>
  <c r="J21" i="180"/>
  <c r="P21" i="180" s="1"/>
  <c r="J23" i="178"/>
  <c r="P23" i="178" s="1"/>
  <c r="R23" i="178"/>
  <c r="F23" i="179" s="1"/>
  <c r="J20" i="178"/>
  <c r="P20" i="178" s="1"/>
  <c r="R20" i="178"/>
  <c r="F20" i="179" s="1"/>
  <c r="J33" i="179"/>
  <c r="P33" i="179" s="1"/>
  <c r="R33" i="179"/>
  <c r="F33" i="180" s="1"/>
  <c r="AN25" i="196"/>
  <c r="J22" i="179" l="1"/>
  <c r="P22" i="179" s="1"/>
  <c r="R22" i="179"/>
  <c r="F22" i="180" s="1"/>
  <c r="AN64" i="196"/>
  <c r="R35" i="179"/>
  <c r="F35" i="180" s="1"/>
  <c r="J35" i="179"/>
  <c r="P35" i="179" s="1"/>
  <c r="J21" i="181"/>
  <c r="P21" i="181" s="1"/>
  <c r="R21" i="181"/>
  <c r="F21" i="182" s="1"/>
  <c r="R33" i="180"/>
  <c r="F33" i="181" s="1"/>
  <c r="J33" i="180"/>
  <c r="P33" i="180" s="1"/>
  <c r="J20" i="179"/>
  <c r="P20" i="179" s="1"/>
  <c r="R20" i="179"/>
  <c r="F20" i="180" s="1"/>
  <c r="J23" i="179"/>
  <c r="P23" i="179" s="1"/>
  <c r="R23" i="179"/>
  <c r="F23" i="180" s="1"/>
  <c r="J34" i="180"/>
  <c r="P34" i="180" s="1"/>
  <c r="R34" i="180"/>
  <c r="F34" i="181" s="1"/>
  <c r="J22" i="180" l="1"/>
  <c r="P22" i="180" s="1"/>
  <c r="R22" i="180"/>
  <c r="F22" i="181" s="1"/>
  <c r="AN65" i="196"/>
  <c r="R35" i="180"/>
  <c r="F35" i="181" s="1"/>
  <c r="J35" i="180"/>
  <c r="P35" i="180" s="1"/>
  <c r="J23" i="180"/>
  <c r="P23" i="180" s="1"/>
  <c r="R23" i="180"/>
  <c r="F23" i="181" s="1"/>
  <c r="J33" i="181"/>
  <c r="P33" i="181" s="1"/>
  <c r="R33" i="181"/>
  <c r="F33" i="182" s="1"/>
  <c r="R34" i="181"/>
  <c r="F34" i="182" s="1"/>
  <c r="J34" i="181"/>
  <c r="P34" i="181" s="1"/>
  <c r="J20" i="180"/>
  <c r="P20" i="180" s="1"/>
  <c r="R20" i="180"/>
  <c r="F20" i="181" s="1"/>
  <c r="R21" i="182"/>
  <c r="J21" i="182"/>
  <c r="P21" i="182" s="1"/>
  <c r="J22" i="181" l="1"/>
  <c r="P22" i="181" s="1"/>
  <c r="R22" i="181"/>
  <c r="F22" i="182" s="1"/>
  <c r="AN66" i="196"/>
  <c r="R35" i="181"/>
  <c r="F35" i="182" s="1"/>
  <c r="J35" i="181"/>
  <c r="P35" i="181" s="1"/>
  <c r="R33" i="182"/>
  <c r="J33" i="182"/>
  <c r="P33" i="182" s="1"/>
  <c r="J34" i="182"/>
  <c r="P34" i="182" s="1"/>
  <c r="R34" i="182"/>
  <c r="J20" i="181"/>
  <c r="P20" i="181" s="1"/>
  <c r="R20" i="181"/>
  <c r="F20" i="182" s="1"/>
  <c r="J23" i="181"/>
  <c r="P23" i="181" s="1"/>
  <c r="R23" i="181"/>
  <c r="F23" i="182" s="1"/>
  <c r="J22" i="182" l="1"/>
  <c r="P22" i="182" s="1"/>
  <c r="R22" i="182"/>
  <c r="AN67" i="196"/>
  <c r="R35" i="182"/>
  <c r="J35" i="182"/>
  <c r="P35" i="182" s="1"/>
  <c r="J23" i="182"/>
  <c r="P23" i="182" s="1"/>
  <c r="R23" i="182"/>
  <c r="J20" i="182"/>
  <c r="P20" i="182" s="1"/>
  <c r="R20" i="182"/>
  <c r="P51" i="171"/>
  <c r="N51" i="171"/>
  <c r="J51" i="171"/>
  <c r="J37" i="171"/>
  <c r="L37" i="171"/>
  <c r="J31" i="171"/>
  <c r="L31" i="171"/>
  <c r="R31" i="171" s="1"/>
  <c r="F31" i="172" s="1"/>
  <c r="AN68" i="196" l="1"/>
  <c r="R31" i="172"/>
  <c r="F31" i="173" s="1"/>
  <c r="J31" i="172"/>
  <c r="P31" i="172" s="1"/>
  <c r="N37" i="171"/>
  <c r="P37" i="171" s="1"/>
  <c r="R37" i="171"/>
  <c r="F37" i="172" s="1"/>
  <c r="N31" i="171"/>
  <c r="P31" i="171" s="1"/>
  <c r="R50" i="171"/>
  <c r="F50" i="172" s="1"/>
  <c r="R50" i="172" s="1"/>
  <c r="F50" i="173" s="1"/>
  <c r="R50" i="173" s="1"/>
  <c r="F50" i="174" s="1"/>
  <c r="R50" i="174" s="1"/>
  <c r="F50" i="175" s="1"/>
  <c r="R50" i="175" s="1"/>
  <c r="F50" i="176" s="1"/>
  <c r="R50" i="176" s="1"/>
  <c r="F50" i="177" s="1"/>
  <c r="R50" i="177" s="1"/>
  <c r="F50" i="178" s="1"/>
  <c r="R50" i="178" s="1"/>
  <c r="F50" i="179" s="1"/>
  <c r="R50" i="179" s="1"/>
  <c r="F50" i="180" s="1"/>
  <c r="R50" i="180" s="1"/>
  <c r="F50" i="181" s="1"/>
  <c r="R50" i="181" s="1"/>
  <c r="F50" i="182" s="1"/>
  <c r="R50" i="182" s="1"/>
  <c r="O35" i="170"/>
  <c r="N35" i="170"/>
  <c r="M35" i="170"/>
  <c r="L35" i="170"/>
  <c r="K35" i="170"/>
  <c r="J35" i="170"/>
  <c r="I35" i="170"/>
  <c r="H35" i="170"/>
  <c r="G35" i="170"/>
  <c r="F35" i="170"/>
  <c r="E35" i="170"/>
  <c r="P34" i="170"/>
  <c r="AN69" i="196" l="1"/>
  <c r="R37" i="172"/>
  <c r="F37" i="173" s="1"/>
  <c r="J37" i="172"/>
  <c r="P37" i="172" s="1"/>
  <c r="R31" i="173"/>
  <c r="F31" i="174" s="1"/>
  <c r="J31" i="173"/>
  <c r="P31" i="173" s="1"/>
  <c r="AN70" i="196" l="1"/>
  <c r="R31" i="174"/>
  <c r="F31" i="175" s="1"/>
  <c r="J31" i="174"/>
  <c r="P31" i="174" s="1"/>
  <c r="R37" i="173"/>
  <c r="F37" i="174" s="1"/>
  <c r="J37" i="173"/>
  <c r="P37" i="173" s="1"/>
  <c r="AN71" i="196" l="1"/>
  <c r="J37" i="174"/>
  <c r="P37" i="174" s="1"/>
  <c r="R37" i="174"/>
  <c r="F37" i="175" s="1"/>
  <c r="J31" i="175"/>
  <c r="P31" i="175" s="1"/>
  <c r="R31" i="175"/>
  <c r="AN72" i="196" l="1"/>
  <c r="J37" i="175"/>
  <c r="P37" i="175" s="1"/>
  <c r="R37" i="175"/>
  <c r="F37" i="176" s="1"/>
  <c r="F31" i="176"/>
  <c r="AN73" i="196" l="1"/>
  <c r="J31" i="176"/>
  <c r="P31" i="176" s="1"/>
  <c r="R31" i="176"/>
  <c r="F31" i="177" s="1"/>
  <c r="R37" i="176"/>
  <c r="F37" i="177" s="1"/>
  <c r="J37" i="176"/>
  <c r="P37" i="176" s="1"/>
  <c r="AN74" i="196" l="1"/>
  <c r="R37" i="177"/>
  <c r="F37" i="178" s="1"/>
  <c r="J37" i="177"/>
  <c r="P37" i="177" s="1"/>
  <c r="R31" i="177"/>
  <c r="F31" i="178" s="1"/>
  <c r="J31" i="177"/>
  <c r="P31" i="177" s="1"/>
  <c r="AN75" i="196" l="1"/>
  <c r="J31" i="178"/>
  <c r="P31" i="178" s="1"/>
  <c r="R31" i="178"/>
  <c r="F31" i="179" s="1"/>
  <c r="R37" i="178"/>
  <c r="F37" i="179" s="1"/>
  <c r="J37" i="178"/>
  <c r="P37" i="178" s="1"/>
  <c r="AN76" i="196" l="1"/>
  <c r="R31" i="179"/>
  <c r="F31" i="180" s="1"/>
  <c r="J31" i="179"/>
  <c r="P31" i="179" s="1"/>
  <c r="R37" i="179"/>
  <c r="F37" i="180" s="1"/>
  <c r="J37" i="179"/>
  <c r="P37" i="179" s="1"/>
  <c r="AN77" i="196" l="1"/>
  <c r="R37" i="180"/>
  <c r="F37" i="181" s="1"/>
  <c r="J37" i="180"/>
  <c r="P37" i="180" s="1"/>
  <c r="R31" i="180"/>
  <c r="F31" i="181" s="1"/>
  <c r="J31" i="180"/>
  <c r="P31" i="180" s="1"/>
  <c r="AN78" i="196" l="1"/>
  <c r="R31" i="181"/>
  <c r="F31" i="182" s="1"/>
  <c r="J31" i="181"/>
  <c r="P31" i="181" s="1"/>
  <c r="R37" i="181"/>
  <c r="F37" i="182" s="1"/>
  <c r="J37" i="181"/>
  <c r="P37" i="181" s="1"/>
  <c r="AN79" i="196" l="1"/>
  <c r="J37" i="182"/>
  <c r="P37" i="182" s="1"/>
  <c r="R37" i="182"/>
  <c r="J31" i="182"/>
  <c r="P31" i="182" s="1"/>
  <c r="R31" i="182"/>
  <c r="A27" i="171" l="1"/>
  <c r="R24" i="171" l="1"/>
  <c r="F24" i="172" s="1"/>
  <c r="J24" i="171"/>
  <c r="J24" i="172" l="1"/>
  <c r="P24" i="172" s="1"/>
  <c r="R24" i="172"/>
  <c r="F24" i="173" s="1"/>
  <c r="P24" i="171"/>
  <c r="R24" i="173" l="1"/>
  <c r="F24" i="174" s="1"/>
  <c r="J24" i="173"/>
  <c r="P24" i="173" s="1"/>
  <c r="J24" i="174" l="1"/>
  <c r="P24" i="174" s="1"/>
  <c r="R24" i="174"/>
  <c r="F24" i="175" s="1"/>
  <c r="R24" i="175" l="1"/>
  <c r="F24" i="176" s="1"/>
  <c r="J24" i="175"/>
  <c r="P24" i="175" s="1"/>
  <c r="J24" i="176" l="1"/>
  <c r="P24" i="176" s="1"/>
  <c r="R24" i="176"/>
  <c r="F24" i="177" s="1"/>
  <c r="J24" i="177" l="1"/>
  <c r="P24" i="177" s="1"/>
  <c r="R24" i="177"/>
  <c r="F24" i="178" s="1"/>
  <c r="J24" i="178" l="1"/>
  <c r="P24" i="178" s="1"/>
  <c r="R24" i="178"/>
  <c r="F24" i="179" s="1"/>
  <c r="R24" i="179" l="1"/>
  <c r="F24" i="180" s="1"/>
  <c r="J24" i="179"/>
  <c r="P24" i="179" s="1"/>
  <c r="J24" i="180" l="1"/>
  <c r="P24" i="180" s="1"/>
  <c r="R24" i="180"/>
  <c r="F24" i="181" s="1"/>
  <c r="R44" i="171"/>
  <c r="F44" i="172" s="1"/>
  <c r="R44" i="172" s="1"/>
  <c r="F44" i="173" s="1"/>
  <c r="R44" i="173" s="1"/>
  <c r="F44" i="174" s="1"/>
  <c r="R44" i="174" s="1"/>
  <c r="F44" i="175" s="1"/>
  <c r="R44" i="175" s="1"/>
  <c r="F44" i="176" s="1"/>
  <c r="R44" i="176" s="1"/>
  <c r="F44" i="177" s="1"/>
  <c r="R44" i="177" s="1"/>
  <c r="F44" i="178" s="1"/>
  <c r="R44" i="178" s="1"/>
  <c r="F44" i="179" s="1"/>
  <c r="R44" i="179" s="1"/>
  <c r="F44" i="180" s="1"/>
  <c r="R44" i="180" s="1"/>
  <c r="F44" i="181" s="1"/>
  <c r="R44" i="181" s="1"/>
  <c r="F44" i="182" s="1"/>
  <c r="R44" i="182" s="1"/>
  <c r="D47" i="170"/>
  <c r="H47" i="170"/>
  <c r="J47" i="170"/>
  <c r="L47" i="170"/>
  <c r="O47" i="170"/>
  <c r="K47" i="170"/>
  <c r="G47" i="170"/>
  <c r="F47" i="170"/>
  <c r="N47" i="170"/>
  <c r="E47" i="170"/>
  <c r="M47" i="170"/>
  <c r="I47" i="170"/>
  <c r="R24" i="181" l="1"/>
  <c r="F24" i="182" s="1"/>
  <c r="J24" i="181"/>
  <c r="P24" i="181" s="1"/>
  <c r="J24" i="182" l="1"/>
  <c r="P24" i="182" s="1"/>
  <c r="R24" i="182"/>
  <c r="F38" i="171" l="1"/>
  <c r="E18" i="189" l="1"/>
  <c r="E26" i="189" s="1"/>
  <c r="L43" i="171"/>
  <c r="L36" i="171"/>
  <c r="R36" i="171" s="1"/>
  <c r="F36" i="172" s="1"/>
  <c r="J36" i="171"/>
  <c r="L32" i="171"/>
  <c r="R32" i="171" s="1"/>
  <c r="F32" i="172" s="1"/>
  <c r="J32" i="171"/>
  <c r="L30" i="171"/>
  <c r="N30" i="171" s="1"/>
  <c r="A30" i="171"/>
  <c r="P39" i="170"/>
  <c r="P37" i="170"/>
  <c r="P33" i="170"/>
  <c r="P29" i="170"/>
  <c r="P28" i="170"/>
  <c r="P27" i="170"/>
  <c r="P23" i="170"/>
  <c r="A18" i="170"/>
  <c r="A19" i="170" s="1"/>
  <c r="A20" i="170" l="1"/>
  <c r="A21" i="170" s="1"/>
  <c r="A22" i="170" s="1"/>
  <c r="A23" i="170" s="1"/>
  <c r="A24" i="170" s="1"/>
  <c r="A25" i="170" s="1"/>
  <c r="A27" i="170" s="1"/>
  <c r="A28" i="170" s="1"/>
  <c r="A29" i="170" s="1"/>
  <c r="A30" i="170" s="1"/>
  <c r="A31" i="170" s="1"/>
  <c r="A32" i="170" s="1"/>
  <c r="A33" i="170" s="1"/>
  <c r="A34" i="170" s="1"/>
  <c r="A35" i="170" s="1"/>
  <c r="A37" i="170" s="1"/>
  <c r="A39" i="170" s="1"/>
  <c r="A40" i="170" s="1"/>
  <c r="R32" i="172"/>
  <c r="F32" i="173" s="1"/>
  <c r="J32" i="172"/>
  <c r="P32" i="172" s="1"/>
  <c r="R36" i="172"/>
  <c r="F36" i="173" s="1"/>
  <c r="J36" i="172"/>
  <c r="P36" i="172" s="1"/>
  <c r="J30" i="171"/>
  <c r="P30" i="171" s="1"/>
  <c r="L51" i="171"/>
  <c r="L38" i="171"/>
  <c r="A31" i="171"/>
  <c r="A32" i="171" s="1"/>
  <c r="A33" i="171" s="1"/>
  <c r="A34" i="171" s="1"/>
  <c r="A35" i="171" s="1"/>
  <c r="A36" i="171" s="1"/>
  <c r="P35" i="170"/>
  <c r="N32" i="171"/>
  <c r="N36" i="171"/>
  <c r="P36" i="171" s="1"/>
  <c r="P40" i="170"/>
  <c r="R30" i="171"/>
  <c r="J38" i="171" l="1"/>
  <c r="A41" i="170"/>
  <c r="A42" i="170" s="1"/>
  <c r="A43" i="170" s="1"/>
  <c r="A44" i="170" s="1"/>
  <c r="A45" i="170" s="1"/>
  <c r="A46" i="170" s="1"/>
  <c r="A47" i="170" s="1"/>
  <c r="J32" i="173"/>
  <c r="P32" i="173" s="1"/>
  <c r="R32" i="173"/>
  <c r="F32" i="174" s="1"/>
  <c r="F18" i="189"/>
  <c r="F26" i="189" s="1"/>
  <c r="R38" i="171"/>
  <c r="F30" i="172"/>
  <c r="F27" i="189"/>
  <c r="R36" i="173"/>
  <c r="F36" i="174" s="1"/>
  <c r="J36" i="173"/>
  <c r="P36" i="173" s="1"/>
  <c r="P47" i="170"/>
  <c r="N38" i="171"/>
  <c r="P32" i="171"/>
  <c r="P38" i="171" s="1"/>
  <c r="A37" i="171"/>
  <c r="A38" i="171" s="1"/>
  <c r="A40" i="171" s="1"/>
  <c r="A43" i="171" s="1"/>
  <c r="J32" i="174" l="1"/>
  <c r="P32" i="174" s="1"/>
  <c r="R32" i="174"/>
  <c r="F32" i="175" s="1"/>
  <c r="J36" i="174"/>
  <c r="P36" i="174" s="1"/>
  <c r="R36" i="174"/>
  <c r="F36" i="175" s="1"/>
  <c r="F38" i="172"/>
  <c r="R30" i="172"/>
  <c r="J30" i="172"/>
  <c r="A44" i="171"/>
  <c r="A45" i="171" s="1"/>
  <c r="H25" i="170"/>
  <c r="M25" i="170"/>
  <c r="L25" i="170"/>
  <c r="P18" i="170"/>
  <c r="P17" i="170"/>
  <c r="D25" i="170"/>
  <c r="J25" i="170"/>
  <c r="G25" i="170"/>
  <c r="P24" i="170"/>
  <c r="F25" i="170"/>
  <c r="O25" i="170"/>
  <c r="I25" i="170"/>
  <c r="P19" i="170"/>
  <c r="N25" i="170"/>
  <c r="K25" i="170"/>
  <c r="E25" i="170"/>
  <c r="A46" i="171" l="1"/>
  <c r="A47" i="171" s="1"/>
  <c r="A48" i="171" s="1"/>
  <c r="A49" i="171" s="1"/>
  <c r="A50" i="171" s="1"/>
  <c r="A51" i="171" s="1"/>
  <c r="J36" i="175"/>
  <c r="P36" i="175" s="1"/>
  <c r="R36" i="175"/>
  <c r="F36" i="176" s="1"/>
  <c r="J38" i="172"/>
  <c r="P30" i="172"/>
  <c r="P38" i="172" s="1"/>
  <c r="R38" i="172"/>
  <c r="F30" i="173"/>
  <c r="R32" i="175"/>
  <c r="F32" i="176" s="1"/>
  <c r="J32" i="175"/>
  <c r="P32" i="175" s="1"/>
  <c r="N25" i="171"/>
  <c r="N26" i="171"/>
  <c r="P25" i="170"/>
  <c r="N19" i="171"/>
  <c r="N53" i="171" s="1"/>
  <c r="L27" i="171"/>
  <c r="J30" i="173" l="1"/>
  <c r="R30" i="173"/>
  <c r="F38" i="173"/>
  <c r="R36" i="176"/>
  <c r="F36" i="177" s="1"/>
  <c r="J36" i="176"/>
  <c r="P36" i="176" s="1"/>
  <c r="F17" i="189"/>
  <c r="F19" i="189" s="1"/>
  <c r="J32" i="176"/>
  <c r="P32" i="176" s="1"/>
  <c r="R32" i="176"/>
  <c r="F32" i="177" s="1"/>
  <c r="L40" i="171"/>
  <c r="N27" i="171"/>
  <c r="N40" i="171" s="1"/>
  <c r="N54" i="171" s="1"/>
  <c r="J36" i="177" l="1"/>
  <c r="P36" i="177" s="1"/>
  <c r="R36" i="177"/>
  <c r="F36" i="178" s="1"/>
  <c r="J32" i="177"/>
  <c r="P32" i="177" s="1"/>
  <c r="R32" i="177"/>
  <c r="F32" i="178" s="1"/>
  <c r="F30" i="174"/>
  <c r="R38" i="173"/>
  <c r="P30" i="173"/>
  <c r="P38" i="173" s="1"/>
  <c r="J38" i="173"/>
  <c r="R32" i="178" l="1"/>
  <c r="F32" i="179" s="1"/>
  <c r="J32" i="178"/>
  <c r="P32" i="178" s="1"/>
  <c r="J36" i="178"/>
  <c r="P36" i="178" s="1"/>
  <c r="R36" i="178"/>
  <c r="F36" i="179" s="1"/>
  <c r="F38" i="174"/>
  <c r="R30" i="174"/>
  <c r="J30" i="174"/>
  <c r="J32" i="179" l="1"/>
  <c r="P32" i="179" s="1"/>
  <c r="R32" i="179"/>
  <c r="F32" i="180" s="1"/>
  <c r="P30" i="174"/>
  <c r="P38" i="174" s="1"/>
  <c r="J38" i="174"/>
  <c r="J36" i="179"/>
  <c r="P36" i="179" s="1"/>
  <c r="R36" i="179"/>
  <c r="F36" i="180" s="1"/>
  <c r="F30" i="175"/>
  <c r="R38" i="174"/>
  <c r="R36" i="180" l="1"/>
  <c r="F36" i="181" s="1"/>
  <c r="J36" i="180"/>
  <c r="P36" i="180" s="1"/>
  <c r="R32" i="180"/>
  <c r="F32" i="181" s="1"/>
  <c r="J32" i="180"/>
  <c r="P32" i="180" s="1"/>
  <c r="J30" i="175"/>
  <c r="R30" i="175"/>
  <c r="F38" i="175"/>
  <c r="J32" i="181" l="1"/>
  <c r="P32" i="181" s="1"/>
  <c r="R32" i="181"/>
  <c r="F32" i="182" s="1"/>
  <c r="F30" i="176"/>
  <c r="R38" i="175"/>
  <c r="J38" i="175"/>
  <c r="P30" i="175"/>
  <c r="P38" i="175" s="1"/>
  <c r="J36" i="181"/>
  <c r="P36" i="181" s="1"/>
  <c r="R36" i="181"/>
  <c r="F36" i="182" s="1"/>
  <c r="E16" i="8"/>
  <c r="G16" i="8" s="1"/>
  <c r="E17" i="8"/>
  <c r="G17" i="8" s="1"/>
  <c r="E18" i="8"/>
  <c r="J36" i="182" l="1"/>
  <c r="P36" i="182" s="1"/>
  <c r="R36" i="182"/>
  <c r="J32" i="182"/>
  <c r="P32" i="182" s="1"/>
  <c r="R32" i="182"/>
  <c r="J30" i="176"/>
  <c r="R30" i="176"/>
  <c r="F38" i="176"/>
  <c r="F18" i="8"/>
  <c r="G18" i="8"/>
  <c r="G19" i="8"/>
  <c r="E37" i="189" l="1"/>
  <c r="F37" i="189" s="1"/>
  <c r="G37" i="189" s="1"/>
  <c r="H37" i="189" s="1"/>
  <c r="I37" i="189" s="1"/>
  <c r="J37" i="189" s="1"/>
  <c r="K37" i="189" s="1"/>
  <c r="L37" i="189" s="1"/>
  <c r="M37" i="189" s="1"/>
  <c r="N37" i="189" s="1"/>
  <c r="O37" i="189" s="1"/>
  <c r="P37" i="189" s="1"/>
  <c r="Q37" i="189" s="1"/>
  <c r="S37" i="189"/>
  <c r="F30" i="177"/>
  <c r="R38" i="176"/>
  <c r="J38" i="176"/>
  <c r="P30" i="176"/>
  <c r="P38" i="176" s="1"/>
  <c r="J30" i="177" l="1"/>
  <c r="R30" i="177"/>
  <c r="F38" i="177"/>
  <c r="J38" i="177" l="1"/>
  <c r="P30" i="177"/>
  <c r="P38" i="177" s="1"/>
  <c r="F30" i="178"/>
  <c r="R38" i="177"/>
  <c r="F38" i="178" l="1"/>
  <c r="J30" i="178"/>
  <c r="R30" i="178"/>
  <c r="F30" i="179" l="1"/>
  <c r="R38" i="178"/>
  <c r="J38" i="178"/>
  <c r="P30" i="178"/>
  <c r="P38" i="178" s="1"/>
  <c r="J30" i="179" l="1"/>
  <c r="R30" i="179"/>
  <c r="F38" i="179"/>
  <c r="F30" i="180" l="1"/>
  <c r="R38" i="179"/>
  <c r="P30" i="179"/>
  <c r="P38" i="179" s="1"/>
  <c r="J38" i="179"/>
  <c r="J30" i="180" l="1"/>
  <c r="R30" i="180"/>
  <c r="F38" i="180"/>
  <c r="F30" i="181" l="1"/>
  <c r="R38" i="180"/>
  <c r="P30" i="180"/>
  <c r="P38" i="180" s="1"/>
  <c r="J38" i="180"/>
  <c r="J30" i="181" l="1"/>
  <c r="R30" i="181"/>
  <c r="F38" i="181"/>
  <c r="F30" i="182" l="1"/>
  <c r="R38" i="181"/>
  <c r="P30" i="181"/>
  <c r="P38" i="181" s="1"/>
  <c r="J38" i="181"/>
  <c r="J30" i="182" l="1"/>
  <c r="R30" i="182"/>
  <c r="R38" i="182" s="1"/>
  <c r="F38" i="182"/>
  <c r="J38" i="182" l="1"/>
  <c r="P30" i="182"/>
  <c r="P38" i="182" s="1"/>
  <c r="C19" i="8" l="1"/>
  <c r="F19" i="8" l="1"/>
  <c r="E19" i="8"/>
  <c r="R45" i="171" l="1"/>
  <c r="F45" i="172" s="1"/>
  <c r="R45" i="172" s="1"/>
  <c r="F45" i="173" s="1"/>
  <c r="R45" i="173" s="1"/>
  <c r="F45" i="174" s="1"/>
  <c r="R45" i="174" s="1"/>
  <c r="F45" i="175" s="1"/>
  <c r="R45" i="175" l="1"/>
  <c r="F45" i="176" s="1"/>
  <c r="R45" i="176" s="1"/>
  <c r="F45" i="177" s="1"/>
  <c r="R45" i="177" s="1"/>
  <c r="F45" i="178" s="1"/>
  <c r="R45" i="178" l="1"/>
  <c r="F45" i="179" s="1"/>
  <c r="R45" i="179" s="1"/>
  <c r="F45" i="180" s="1"/>
  <c r="R45" i="180" s="1"/>
  <c r="F45" i="181" s="1"/>
  <c r="R45" i="181" s="1"/>
  <c r="F45" i="182" s="1"/>
  <c r="R45" i="182" l="1"/>
  <c r="J26" i="171" l="1"/>
  <c r="P26" i="171" s="1"/>
  <c r="R26" i="171"/>
  <c r="F26" i="172" s="1"/>
  <c r="J25" i="171"/>
  <c r="R25" i="171"/>
  <c r="F25" i="172" s="1"/>
  <c r="R25" i="172" l="1"/>
  <c r="F25" i="173" s="1"/>
  <c r="J25" i="172"/>
  <c r="P25" i="172" s="1"/>
  <c r="J26" i="172"/>
  <c r="P26" i="172" s="1"/>
  <c r="R26" i="172"/>
  <c r="F26" i="173" s="1"/>
  <c r="P25" i="171"/>
  <c r="J26" i="173" l="1"/>
  <c r="P26" i="173" s="1"/>
  <c r="R26" i="173"/>
  <c r="F26" i="174" s="1"/>
  <c r="J25" i="173"/>
  <c r="P25" i="173" s="1"/>
  <c r="R25" i="173"/>
  <c r="F25" i="174" s="1"/>
  <c r="J25" i="174" l="1"/>
  <c r="P25" i="174" s="1"/>
  <c r="R25" i="174"/>
  <c r="F25" i="175" s="1"/>
  <c r="J26" i="174"/>
  <c r="P26" i="174" s="1"/>
  <c r="R26" i="174"/>
  <c r="F26" i="175" s="1"/>
  <c r="J26" i="175" l="1"/>
  <c r="P26" i="175" s="1"/>
  <c r="R26" i="175"/>
  <c r="F26" i="176" s="1"/>
  <c r="J25" i="175"/>
  <c r="P25" i="175" s="1"/>
  <c r="R25" i="175"/>
  <c r="F25" i="176" s="1"/>
  <c r="J25" i="176" l="1"/>
  <c r="P25" i="176" s="1"/>
  <c r="R25" i="176"/>
  <c r="F25" i="177" s="1"/>
  <c r="J26" i="176"/>
  <c r="P26" i="176" s="1"/>
  <c r="R26" i="176"/>
  <c r="F26" i="177" s="1"/>
  <c r="J26" i="177" l="1"/>
  <c r="P26" i="177" s="1"/>
  <c r="R26" i="177"/>
  <c r="F26" i="178" s="1"/>
  <c r="J25" i="177"/>
  <c r="P25" i="177" s="1"/>
  <c r="R25" i="177"/>
  <c r="F25" i="178" s="1"/>
  <c r="J25" i="178" l="1"/>
  <c r="P25" i="178" s="1"/>
  <c r="R25" i="178"/>
  <c r="F25" i="179" s="1"/>
  <c r="R26" i="178"/>
  <c r="F26" i="179" s="1"/>
  <c r="J26" i="178"/>
  <c r="P26" i="178" s="1"/>
  <c r="J26" i="179" l="1"/>
  <c r="P26" i="179" s="1"/>
  <c r="R26" i="179"/>
  <c r="F26" i="180" s="1"/>
  <c r="J25" i="179"/>
  <c r="P25" i="179" s="1"/>
  <c r="R25" i="179"/>
  <c r="F25" i="180" s="1"/>
  <c r="R25" i="180" l="1"/>
  <c r="F25" i="181" s="1"/>
  <c r="J25" i="180"/>
  <c r="P25" i="180" s="1"/>
  <c r="J26" i="180"/>
  <c r="P26" i="180" s="1"/>
  <c r="R26" i="180"/>
  <c r="F26" i="181" s="1"/>
  <c r="J26" i="181" l="1"/>
  <c r="P26" i="181" s="1"/>
  <c r="R26" i="181"/>
  <c r="F26" i="182" s="1"/>
  <c r="J25" i="181"/>
  <c r="P25" i="181" s="1"/>
  <c r="R25" i="181"/>
  <c r="F25" i="182" s="1"/>
  <c r="J25" i="182" l="1"/>
  <c r="P25" i="182" s="1"/>
  <c r="R25" i="182"/>
  <c r="J26" i="182"/>
  <c r="P26" i="182" s="1"/>
  <c r="R26" i="182"/>
  <c r="J19" i="171" l="1"/>
  <c r="J53" i="171" s="1"/>
  <c r="P53" i="171" s="1"/>
  <c r="F27" i="171"/>
  <c r="R19" i="171"/>
  <c r="F19" i="172" s="1"/>
  <c r="F51" i="171"/>
  <c r="E27" i="189" l="1"/>
  <c r="E28" i="189" s="1"/>
  <c r="E30" i="189" s="1"/>
  <c r="F40" i="171"/>
  <c r="E17" i="189"/>
  <c r="E19" i="189" s="1"/>
  <c r="E21" i="189" s="1"/>
  <c r="F44" i="189" s="1"/>
  <c r="G44" i="189" s="1"/>
  <c r="H44" i="189" s="1"/>
  <c r="I44" i="189" s="1"/>
  <c r="J44" i="189" s="1"/>
  <c r="K44" i="189" s="1"/>
  <c r="L44" i="189" s="1"/>
  <c r="M44" i="189" s="1"/>
  <c r="N44" i="189" s="1"/>
  <c r="O44" i="189" s="1"/>
  <c r="P44" i="189" s="1"/>
  <c r="Q44" i="189" s="1"/>
  <c r="R44" i="189" s="1"/>
  <c r="F27" i="172"/>
  <c r="F40" i="172" s="1"/>
  <c r="J19" i="172"/>
  <c r="J53" i="172" s="1"/>
  <c r="P53" i="172" s="1"/>
  <c r="R19" i="172"/>
  <c r="R27" i="171"/>
  <c r="R43" i="171"/>
  <c r="F43" i="172" s="1"/>
  <c r="P19" i="171"/>
  <c r="J27" i="171"/>
  <c r="J40" i="171" s="1"/>
  <c r="J54" i="171" s="1"/>
  <c r="F25" i="189" l="1"/>
  <c r="F28" i="189" s="1"/>
  <c r="F30" i="189" s="1"/>
  <c r="E35" i="189"/>
  <c r="E39" i="189" s="1"/>
  <c r="E46" i="189" s="1"/>
  <c r="F21" i="189"/>
  <c r="R40" i="171"/>
  <c r="F19" i="173"/>
  <c r="R27" i="172"/>
  <c r="R40" i="172" s="1"/>
  <c r="F51" i="172"/>
  <c r="R43" i="172"/>
  <c r="P19" i="172"/>
  <c r="P27" i="172" s="1"/>
  <c r="P40" i="172" s="1"/>
  <c r="P54" i="172" s="1"/>
  <c r="J27" i="172"/>
  <c r="J40" i="172" s="1"/>
  <c r="J54" i="172" s="1"/>
  <c r="R51" i="171"/>
  <c r="P27" i="171"/>
  <c r="P40" i="171" s="1"/>
  <c r="P54" i="171" s="1"/>
  <c r="G21" i="189" l="1"/>
  <c r="F43" i="189"/>
  <c r="G25" i="189"/>
  <c r="G28" i="189" s="1"/>
  <c r="G30" i="189" s="1"/>
  <c r="G43" i="189"/>
  <c r="J19" i="173"/>
  <c r="J53" i="173" s="1"/>
  <c r="P53" i="173" s="1"/>
  <c r="F27" i="173"/>
  <c r="F40" i="173" s="1"/>
  <c r="R19" i="173"/>
  <c r="F43" i="173"/>
  <c r="R51" i="172"/>
  <c r="E47" i="189" l="1"/>
  <c r="E49" i="189" s="1"/>
  <c r="H21" i="189"/>
  <c r="J27" i="173"/>
  <c r="J40" i="173" s="1"/>
  <c r="J54" i="173" s="1"/>
  <c r="P19" i="173"/>
  <c r="P27" i="173" s="1"/>
  <c r="P40" i="173" s="1"/>
  <c r="P54" i="173" s="1"/>
  <c r="F51" i="173"/>
  <c r="R43" i="173"/>
  <c r="F19" i="174"/>
  <c r="R27" i="173"/>
  <c r="I21" i="189" l="1"/>
  <c r="R40" i="173"/>
  <c r="J19" i="174"/>
  <c r="J53" i="174" s="1"/>
  <c r="P53" i="174" s="1"/>
  <c r="R19" i="174"/>
  <c r="F27" i="174"/>
  <c r="F40" i="174" s="1"/>
  <c r="F43" i="174"/>
  <c r="R51" i="173"/>
  <c r="H43" i="189"/>
  <c r="H25" i="189"/>
  <c r="H28" i="189" s="1"/>
  <c r="H30" i="189" s="1"/>
  <c r="J21" i="189" l="1"/>
  <c r="F19" i="175"/>
  <c r="R27" i="174"/>
  <c r="J27" i="174"/>
  <c r="J40" i="174" s="1"/>
  <c r="J54" i="174" s="1"/>
  <c r="P19" i="174"/>
  <c r="P27" i="174" s="1"/>
  <c r="P40" i="174" s="1"/>
  <c r="P54" i="174" s="1"/>
  <c r="F51" i="174"/>
  <c r="R43" i="174"/>
  <c r="K21" i="189" l="1"/>
  <c r="R40" i="174"/>
  <c r="I43" i="189"/>
  <c r="J19" i="175"/>
  <c r="J53" i="175" s="1"/>
  <c r="P53" i="175" s="1"/>
  <c r="F27" i="175"/>
  <c r="F40" i="175" s="1"/>
  <c r="R19" i="175"/>
  <c r="I25" i="189"/>
  <c r="I28" i="189" s="1"/>
  <c r="I30" i="189" s="1"/>
  <c r="F43" i="175"/>
  <c r="R51" i="174"/>
  <c r="L21" i="189" l="1"/>
  <c r="J27" i="175"/>
  <c r="J40" i="175" s="1"/>
  <c r="J54" i="175" s="1"/>
  <c r="P19" i="175"/>
  <c r="P27" i="175" s="1"/>
  <c r="P40" i="175" s="1"/>
  <c r="P54" i="175" s="1"/>
  <c r="F19" i="176"/>
  <c r="R27" i="175"/>
  <c r="R43" i="175"/>
  <c r="F51" i="175"/>
  <c r="M21" i="189" l="1"/>
  <c r="F43" i="176"/>
  <c r="R51" i="175"/>
  <c r="J25" i="189"/>
  <c r="J28" i="189" s="1"/>
  <c r="J30" i="189" s="1"/>
  <c r="R40" i="175"/>
  <c r="J19" i="176"/>
  <c r="J53" i="176" s="1"/>
  <c r="P53" i="176" s="1"/>
  <c r="R19" i="176"/>
  <c r="F27" i="176"/>
  <c r="F40" i="176" s="1"/>
  <c r="J43" i="189"/>
  <c r="N21" i="189" l="1"/>
  <c r="F19" i="177"/>
  <c r="R27" i="176"/>
  <c r="J27" i="176"/>
  <c r="J40" i="176" s="1"/>
  <c r="J54" i="176" s="1"/>
  <c r="P19" i="176"/>
  <c r="P27" i="176" s="1"/>
  <c r="P40" i="176" s="1"/>
  <c r="P54" i="176" s="1"/>
  <c r="F51" i="176"/>
  <c r="R43" i="176"/>
  <c r="O21" i="189" l="1"/>
  <c r="F43" i="177"/>
  <c r="R51" i="176"/>
  <c r="R40" i="176"/>
  <c r="K43" i="189"/>
  <c r="J19" i="177"/>
  <c r="J53" i="177" s="1"/>
  <c r="P53" i="177" s="1"/>
  <c r="R19" i="177"/>
  <c r="F27" i="177"/>
  <c r="F40" i="177" s="1"/>
  <c r="K25" i="189"/>
  <c r="K28" i="189" s="1"/>
  <c r="K30" i="189" s="1"/>
  <c r="P21" i="189" l="1"/>
  <c r="J27" i="177"/>
  <c r="J40" i="177" s="1"/>
  <c r="J54" i="177" s="1"/>
  <c r="P19" i="177"/>
  <c r="P27" i="177" s="1"/>
  <c r="P40" i="177" s="1"/>
  <c r="P54" i="177" s="1"/>
  <c r="F19" i="178"/>
  <c r="R27" i="177"/>
  <c r="F51" i="177"/>
  <c r="R43" i="177"/>
  <c r="Q21" i="189" l="1"/>
  <c r="F27" i="178"/>
  <c r="F40" i="178" s="1"/>
  <c r="J19" i="178"/>
  <c r="J53" i="178" s="1"/>
  <c r="P53" i="178" s="1"/>
  <c r="R19" i="178"/>
  <c r="F43" i="178"/>
  <c r="R51" i="177"/>
  <c r="L43" i="189"/>
  <c r="R40" i="177"/>
  <c r="L25" i="189"/>
  <c r="L28" i="189" s="1"/>
  <c r="L30" i="189" s="1"/>
  <c r="S44" i="189" l="1"/>
  <c r="S21" i="189"/>
  <c r="R43" i="178"/>
  <c r="F51" i="178"/>
  <c r="F19" i="179"/>
  <c r="R27" i="178"/>
  <c r="P19" i="178"/>
  <c r="P27" i="178" s="1"/>
  <c r="P40" i="178" s="1"/>
  <c r="P54" i="178" s="1"/>
  <c r="J27" i="178"/>
  <c r="J40" i="178" s="1"/>
  <c r="J54" i="178" s="1"/>
  <c r="M25" i="189" l="1"/>
  <c r="M28" i="189" s="1"/>
  <c r="M30" i="189" s="1"/>
  <c r="R40" i="178"/>
  <c r="M43" i="189"/>
  <c r="J19" i="179"/>
  <c r="J53" i="179" s="1"/>
  <c r="F27" i="179"/>
  <c r="F40" i="179" s="1"/>
  <c r="R19" i="179"/>
  <c r="F43" i="179"/>
  <c r="R51" i="178"/>
  <c r="P53" i="179" l="1"/>
  <c r="F51" i="179"/>
  <c r="R43" i="179"/>
  <c r="J27" i="179"/>
  <c r="J40" i="179" s="1"/>
  <c r="J54" i="179" s="1"/>
  <c r="P19" i="179"/>
  <c r="P27" i="179" s="1"/>
  <c r="P40" i="179" s="1"/>
  <c r="F19" i="180"/>
  <c r="R27" i="179"/>
  <c r="P54" i="179" l="1"/>
  <c r="N25" i="189"/>
  <c r="N28" i="189" s="1"/>
  <c r="N30" i="189" s="1"/>
  <c r="R40" i="179"/>
  <c r="J19" i="180"/>
  <c r="J53" i="180" s="1"/>
  <c r="P53" i="180" s="1"/>
  <c r="R19" i="180"/>
  <c r="F27" i="180"/>
  <c r="F40" i="180" s="1"/>
  <c r="F43" i="180"/>
  <c r="R51" i="179"/>
  <c r="N43" i="189"/>
  <c r="R43" i="180" l="1"/>
  <c r="F51" i="180"/>
  <c r="R27" i="180"/>
  <c r="F19" i="181"/>
  <c r="J27" i="180"/>
  <c r="J40" i="180" s="1"/>
  <c r="J54" i="180" s="1"/>
  <c r="P19" i="180"/>
  <c r="P27" i="180" s="1"/>
  <c r="P40" i="180" s="1"/>
  <c r="P54" i="180" s="1"/>
  <c r="O25" i="189" l="1"/>
  <c r="O28" i="189" s="1"/>
  <c r="O30" i="189" s="1"/>
  <c r="J19" i="181"/>
  <c r="J53" i="181" s="1"/>
  <c r="P53" i="181" s="1"/>
  <c r="R19" i="181"/>
  <c r="F27" i="181"/>
  <c r="F40" i="181" s="1"/>
  <c r="O43" i="189"/>
  <c r="R40" i="180"/>
  <c r="F43" i="181"/>
  <c r="R51" i="180"/>
  <c r="R27" i="181" l="1"/>
  <c r="F19" i="182"/>
  <c r="F51" i="181"/>
  <c r="R43" i="181"/>
  <c r="J27" i="181"/>
  <c r="J40" i="181" s="1"/>
  <c r="J54" i="181" s="1"/>
  <c r="P19" i="181"/>
  <c r="P27" i="181" s="1"/>
  <c r="P40" i="181" s="1"/>
  <c r="P54" i="181" s="1"/>
  <c r="P43" i="189" l="1"/>
  <c r="P25" i="189"/>
  <c r="P28" i="189" s="1"/>
  <c r="P30" i="189" s="1"/>
  <c r="J19" i="182"/>
  <c r="J53" i="182" s="1"/>
  <c r="P53" i="182" s="1"/>
  <c r="R19" i="182"/>
  <c r="R27" i="182" s="1"/>
  <c r="R40" i="182" s="1"/>
  <c r="F27" i="182"/>
  <c r="F40" i="182" s="1"/>
  <c r="R40" i="181"/>
  <c r="F43" i="182"/>
  <c r="R51" i="181"/>
  <c r="AH26" i="196" l="1"/>
  <c r="R43" i="182"/>
  <c r="R51" i="182" s="1"/>
  <c r="F51" i="182"/>
  <c r="J27" i="182"/>
  <c r="J40" i="182" s="1"/>
  <c r="J54" i="182" s="1"/>
  <c r="P19" i="182"/>
  <c r="P27" i="182" s="1"/>
  <c r="P40" i="182" s="1"/>
  <c r="P54" i="182" s="1"/>
  <c r="AH26" i="197" s="1"/>
  <c r="AH27" i="197" l="1"/>
  <c r="AI26" i="197"/>
  <c r="AJ26" i="197" s="1"/>
  <c r="AM26" i="197" s="1"/>
  <c r="AH27" i="196"/>
  <c r="AH27" i="195"/>
  <c r="AI26" i="196"/>
  <c r="Q25" i="189"/>
  <c r="Q28" i="189" s="1"/>
  <c r="Q30" i="189" s="1"/>
  <c r="Q43" i="189"/>
  <c r="AH28" i="195" l="1"/>
  <c r="AH28" i="196"/>
  <c r="AI27" i="196"/>
  <c r="AN26" i="197"/>
  <c r="AI27" i="195"/>
  <c r="AJ26" i="196"/>
  <c r="AJ27" i="195" s="1"/>
  <c r="AH28" i="197"/>
  <c r="AI27" i="197"/>
  <c r="AJ27" i="197" s="1"/>
  <c r="AM27" i="197" s="1"/>
  <c r="S30" i="189"/>
  <c r="S43" i="189"/>
  <c r="AH29" i="197" l="1"/>
  <c r="AI28" i="197"/>
  <c r="AJ28" i="197" s="1"/>
  <c r="AM28" i="197" s="1"/>
  <c r="AN27" i="197"/>
  <c r="AM27" i="195"/>
  <c r="AM26" i="196"/>
  <c r="AJ27" i="196"/>
  <c r="AJ28" i="195" s="1"/>
  <c r="AI28" i="195"/>
  <c r="AH29" i="195"/>
  <c r="AH29" i="196"/>
  <c r="AI28" i="196"/>
  <c r="AN28" i="197" l="1"/>
  <c r="AI29" i="196"/>
  <c r="AH30" i="195"/>
  <c r="AH30" i="196"/>
  <c r="AN26" i="196"/>
  <c r="AM27" i="196"/>
  <c r="Q32" i="189"/>
  <c r="AM28" i="195"/>
  <c r="AN27" i="195"/>
  <c r="AI29" i="195"/>
  <c r="AJ28" i="196"/>
  <c r="AJ29" i="195" s="1"/>
  <c r="AH30" i="197"/>
  <c r="AI29" i="197"/>
  <c r="AJ29" i="197" s="1"/>
  <c r="AM29" i="197" s="1"/>
  <c r="AN29" i="197" l="1"/>
  <c r="F32" i="189"/>
  <c r="Q35" i="189"/>
  <c r="Q39" i="189" s="1"/>
  <c r="Q46" i="189" s="1"/>
  <c r="AM28" i="196"/>
  <c r="AN27" i="196"/>
  <c r="AI30" i="195"/>
  <c r="AJ29" i="196"/>
  <c r="AJ30" i="195" s="1"/>
  <c r="AH31" i="197"/>
  <c r="AI30" i="197"/>
  <c r="AJ30" i="197" s="1"/>
  <c r="AM30" i="197" s="1"/>
  <c r="AN28" i="195"/>
  <c r="AM29" i="195"/>
  <c r="AH31" i="196"/>
  <c r="AH31" i="195"/>
  <c r="AI30" i="196"/>
  <c r="AN30" i="197" l="1"/>
  <c r="AH32" i="196"/>
  <c r="AH32" i="195"/>
  <c r="AI31" i="196"/>
  <c r="G32" i="189"/>
  <c r="F35" i="189"/>
  <c r="F39" i="189" s="1"/>
  <c r="F46" i="189" s="1"/>
  <c r="F47" i="189" s="1"/>
  <c r="F49" i="189" s="1"/>
  <c r="AN29" i="195"/>
  <c r="AM30" i="195"/>
  <c r="AH32" i="197"/>
  <c r="AI31" i="197"/>
  <c r="AJ31" i="197" s="1"/>
  <c r="AM31" i="197" s="1"/>
  <c r="AN28" i="196"/>
  <c r="AM29" i="196"/>
  <c r="AJ30" i="196"/>
  <c r="AJ31" i="195" s="1"/>
  <c r="AI31" i="195"/>
  <c r="Q47" i="189"/>
  <c r="Q49" i="189" s="1"/>
  <c r="AN31" i="197" l="1"/>
  <c r="AH33" i="197"/>
  <c r="AI32" i="197"/>
  <c r="AJ32" i="197" s="1"/>
  <c r="AM32" i="197" s="1"/>
  <c r="AN29" i="196"/>
  <c r="AM30" i="196"/>
  <c r="AM31" i="195"/>
  <c r="AN30" i="195"/>
  <c r="G35" i="189"/>
  <c r="G39" i="189" s="1"/>
  <c r="G46" i="189" s="1"/>
  <c r="H32" i="189"/>
  <c r="AI32" i="196"/>
  <c r="AH33" i="196"/>
  <c r="AH33" i="195"/>
  <c r="AI32" i="195"/>
  <c r="AJ31" i="196"/>
  <c r="AJ32" i="195" s="1"/>
  <c r="AN32" i="197" l="1"/>
  <c r="AJ32" i="196"/>
  <c r="AJ33" i="195" s="1"/>
  <c r="AI33" i="195"/>
  <c r="AN30" i="196"/>
  <c r="AM31" i="196"/>
  <c r="G47" i="189"/>
  <c r="G49" i="189" s="1"/>
  <c r="AM32" i="195"/>
  <c r="AN31" i="195"/>
  <c r="H35" i="189"/>
  <c r="H39" i="189" s="1"/>
  <c r="H46" i="189" s="1"/>
  <c r="H47" i="189" s="1"/>
  <c r="H49" i="189" s="1"/>
  <c r="I32" i="189"/>
  <c r="AH34" i="197"/>
  <c r="AI33" i="197"/>
  <c r="AJ33" i="197" s="1"/>
  <c r="AM33" i="197" s="1"/>
  <c r="AH34" i="196"/>
  <c r="AH34" i="195"/>
  <c r="AI33" i="196"/>
  <c r="AN33" i="197" l="1"/>
  <c r="AI34" i="196"/>
  <c r="AH35" i="196"/>
  <c r="AH35" i="195"/>
  <c r="AJ33" i="196"/>
  <c r="AJ34" i="195" s="1"/>
  <c r="AI34" i="195"/>
  <c r="AH35" i="197"/>
  <c r="AI34" i="197"/>
  <c r="AJ34" i="197" s="1"/>
  <c r="AM34" i="197" s="1"/>
  <c r="AM32" i="196"/>
  <c r="AN31" i="196"/>
  <c r="I35" i="189"/>
  <c r="I39" i="189" s="1"/>
  <c r="I46" i="189" s="1"/>
  <c r="J32" i="189"/>
  <c r="AM33" i="195"/>
  <c r="AN32" i="195"/>
  <c r="I47" i="189" l="1"/>
  <c r="I49" i="189" s="1"/>
  <c r="AJ34" i="196"/>
  <c r="AJ35" i="195" s="1"/>
  <c r="AI35" i="195"/>
  <c r="AH36" i="195"/>
  <c r="AH36" i="196"/>
  <c r="AI35" i="196"/>
  <c r="AM33" i="196"/>
  <c r="AN32" i="196"/>
  <c r="AH36" i="197"/>
  <c r="AI35" i="197"/>
  <c r="AJ35" i="197" s="1"/>
  <c r="AM35" i="197" s="1"/>
  <c r="AM34" i="195"/>
  <c r="AN33" i="195"/>
  <c r="AN34" i="197"/>
  <c r="J35" i="189"/>
  <c r="J39" i="189" s="1"/>
  <c r="J46" i="189" s="1"/>
  <c r="J47" i="189" s="1"/>
  <c r="J49" i="189" s="1"/>
  <c r="K32" i="189"/>
  <c r="AN35" i="197" l="1"/>
  <c r="AN33" i="196"/>
  <c r="AM34" i="196"/>
  <c r="AI36" i="195"/>
  <c r="AJ35" i="196"/>
  <c r="AJ36" i="195" s="1"/>
  <c r="AH37" i="197"/>
  <c r="AI36" i="197"/>
  <c r="AJ36" i="197" s="1"/>
  <c r="AM36" i="197" s="1"/>
  <c r="AM35" i="195"/>
  <c r="AN34" i="195"/>
  <c r="AH37" i="195"/>
  <c r="AI36" i="196"/>
  <c r="AH37" i="196"/>
  <c r="K35" i="189"/>
  <c r="K39" i="189" s="1"/>
  <c r="K46" i="189" s="1"/>
  <c r="K47" i="189" s="1"/>
  <c r="K49" i="189" s="1"/>
  <c r="L32" i="189"/>
  <c r="AN36" i="197" l="1"/>
  <c r="L35" i="189"/>
  <c r="L39" i="189" s="1"/>
  <c r="L46" i="189" s="1"/>
  <c r="L47" i="189" s="1"/>
  <c r="L49" i="189" s="1"/>
  <c r="M32" i="189"/>
  <c r="AN34" i="196"/>
  <c r="AM35" i="196"/>
  <c r="AH38" i="197"/>
  <c r="AI37" i="197"/>
  <c r="AJ37" i="197" s="1"/>
  <c r="AM37" i="197" s="1"/>
  <c r="AH38" i="196"/>
  <c r="AI37" i="196"/>
  <c r="AH38" i="195"/>
  <c r="AM36" i="195"/>
  <c r="AN35" i="195"/>
  <c r="AI37" i="195"/>
  <c r="AJ36" i="196"/>
  <c r="AJ37" i="195" s="1"/>
  <c r="AN37" i="197" l="1"/>
  <c r="AH39" i="197"/>
  <c r="AI38" i="197"/>
  <c r="AJ38" i="197" s="1"/>
  <c r="AM38" i="197" s="1"/>
  <c r="AM37" i="195"/>
  <c r="AN36" i="195"/>
  <c r="AJ37" i="196"/>
  <c r="AJ38" i="195" s="1"/>
  <c r="AI38" i="195"/>
  <c r="AM36" i="196"/>
  <c r="AN35" i="196"/>
  <c r="M35" i="189"/>
  <c r="M39" i="189" s="1"/>
  <c r="M46" i="189" s="1"/>
  <c r="M47" i="189" s="1"/>
  <c r="M49" i="189" s="1"/>
  <c r="N32" i="189"/>
  <c r="AH39" i="195"/>
  <c r="AI38" i="196"/>
  <c r="AH39" i="196"/>
  <c r="AN38" i="197" l="1"/>
  <c r="N35" i="189"/>
  <c r="N39" i="189" s="1"/>
  <c r="N46" i="189" s="1"/>
  <c r="N47" i="189" s="1"/>
  <c r="N49" i="189" s="1"/>
  <c r="O32" i="189"/>
  <c r="AH40" i="195"/>
  <c r="AH40" i="196"/>
  <c r="AI39" i="196"/>
  <c r="AI39" i="195"/>
  <c r="AJ38" i="196"/>
  <c r="AJ39" i="195" s="1"/>
  <c r="AH40" i="197"/>
  <c r="AI39" i="197"/>
  <c r="AJ39" i="197" s="1"/>
  <c r="AM39" i="197" s="1"/>
  <c r="AM37" i="196"/>
  <c r="AN36" i="196"/>
  <c r="AM38" i="195"/>
  <c r="AN37" i="195"/>
  <c r="AN39" i="197" l="1"/>
  <c r="AH41" i="197"/>
  <c r="AI40" i="197"/>
  <c r="AJ40" i="197" s="1"/>
  <c r="AM40" i="197" s="1"/>
  <c r="AN37" i="196"/>
  <c r="AM38" i="196"/>
  <c r="O35" i="189"/>
  <c r="O39" i="189" s="1"/>
  <c r="O46" i="189" s="1"/>
  <c r="O47" i="189" s="1"/>
  <c r="O49" i="189" s="1"/>
  <c r="P32" i="189"/>
  <c r="AI40" i="195"/>
  <c r="AJ39" i="196"/>
  <c r="AJ40" i="195" s="1"/>
  <c r="AM39" i="195"/>
  <c r="AN38" i="195"/>
  <c r="AI40" i="196"/>
  <c r="AH41" i="196"/>
  <c r="AH41" i="195"/>
  <c r="AN40" i="197" l="1"/>
  <c r="AM40" i="195"/>
  <c r="AN39" i="195"/>
  <c r="AH42" i="196"/>
  <c r="AH42" i="195"/>
  <c r="AI41" i="196"/>
  <c r="P35" i="189"/>
  <c r="P39" i="189" s="1"/>
  <c r="P46" i="189" s="1"/>
  <c r="S32" i="189"/>
  <c r="S35" i="189" s="1"/>
  <c r="S39" i="189" s="1"/>
  <c r="AH42" i="197"/>
  <c r="AI41" i="197"/>
  <c r="AJ41" i="197" s="1"/>
  <c r="AM41" i="197" s="1"/>
  <c r="AM39" i="196"/>
  <c r="AN38" i="196"/>
  <c r="AI41" i="195"/>
  <c r="AJ40" i="196"/>
  <c r="AJ41" i="195" s="1"/>
  <c r="AN41" i="197" l="1"/>
  <c r="AN39" i="196"/>
  <c r="AM40" i="196"/>
  <c r="P47" i="189"/>
  <c r="P49" i="189" s="1"/>
  <c r="S46" i="189"/>
  <c r="S47" i="189" s="1"/>
  <c r="S49" i="189" s="1"/>
  <c r="E23" i="192" s="1"/>
  <c r="AJ41" i="196"/>
  <c r="AJ42" i="195" s="1"/>
  <c r="AI42" i="195"/>
  <c r="AM41" i="195"/>
  <c r="AN40" i="195"/>
  <c r="AH43" i="197"/>
  <c r="AI42" i="197"/>
  <c r="AJ42" i="197" s="1"/>
  <c r="AM42" i="197" s="1"/>
  <c r="AH43" i="196"/>
  <c r="AI42" i="196"/>
  <c r="AH43" i="195"/>
  <c r="AN42" i="197" l="1"/>
  <c r="AM41" i="196"/>
  <c r="AN40" i="196"/>
  <c r="AH44" i="197"/>
  <c r="AI43" i="197"/>
  <c r="AJ43" i="197" s="1"/>
  <c r="AM43" i="197" s="1"/>
  <c r="AJ42" i="196"/>
  <c r="AJ43" i="195" s="1"/>
  <c r="AI43" i="195"/>
  <c r="E19" i="192"/>
  <c r="E15" i="192"/>
  <c r="E21" i="192"/>
  <c r="E17" i="192"/>
  <c r="AH44" i="196"/>
  <c r="AH44" i="195"/>
  <c r="AI43" i="196"/>
  <c r="AM42" i="195"/>
  <c r="AN41" i="195"/>
  <c r="AN43" i="197" l="1"/>
  <c r="AM43" i="195"/>
  <c r="AN42" i="195"/>
  <c r="AJ43" i="196"/>
  <c r="AJ44" i="195" s="1"/>
  <c r="AI44" i="195"/>
  <c r="AN41" i="196"/>
  <c r="AM42" i="196"/>
  <c r="AH45" i="196"/>
  <c r="AH45" i="195"/>
  <c r="AH48" i="195" s="1"/>
  <c r="AI44" i="196"/>
  <c r="AH47" i="196"/>
  <c r="AH45" i="197"/>
  <c r="AI44" i="197"/>
  <c r="AJ44" i="197" s="1"/>
  <c r="AM44" i="197" s="1"/>
  <c r="AN44" i="197" l="1"/>
  <c r="AN42" i="196"/>
  <c r="AM43" i="196"/>
  <c r="AJ44" i="196"/>
  <c r="AJ45" i="195" s="1"/>
  <c r="AI45" i="195"/>
  <c r="AN43" i="195"/>
  <c r="AM44" i="195"/>
  <c r="AI45" i="197"/>
  <c r="AJ45" i="197" s="1"/>
  <c r="AM45" i="197" s="1"/>
  <c r="AN45" i="197" s="1"/>
  <c r="AH47" i="197"/>
  <c r="AI45" i="196"/>
  <c r="AH46" i="195"/>
  <c r="AN44" i="195" l="1"/>
  <c r="AM45" i="195"/>
  <c r="AM44" i="196"/>
  <c r="AN43" i="196"/>
  <c r="AJ45" i="196"/>
  <c r="AJ46" i="195" s="1"/>
  <c r="AI46" i="195"/>
  <c r="AN44" i="196" l="1"/>
  <c r="AM45" i="196"/>
  <c r="AN45" i="196" s="1"/>
  <c r="AN45" i="195"/>
  <c r="AM46" i="195"/>
  <c r="AN46" i="195" s="1"/>
</calcChain>
</file>

<file path=xl/sharedStrings.xml><?xml version="1.0" encoding="utf-8"?>
<sst xmlns="http://schemas.openxmlformats.org/spreadsheetml/2006/main" count="1382" uniqueCount="303">
  <si>
    <t>Depreciation</t>
  </si>
  <si>
    <t>Plant</t>
  </si>
  <si>
    <t>Rates</t>
  </si>
  <si>
    <t>Total</t>
  </si>
  <si>
    <t>Line</t>
  </si>
  <si>
    <t>No.</t>
  </si>
  <si>
    <t>Description</t>
  </si>
  <si>
    <t>Account</t>
  </si>
  <si>
    <t>Beginning</t>
  </si>
  <si>
    <t>Balance</t>
  </si>
  <si>
    <t>Depr</t>
  </si>
  <si>
    <t>Depr on</t>
  </si>
  <si>
    <t>Retirements</t>
  </si>
  <si>
    <t>Adds/Ret</t>
  </si>
  <si>
    <t>Ending</t>
  </si>
  <si>
    <t>(5)=(3)*(4)</t>
  </si>
  <si>
    <t>(7)=(4)*(6)*50%</t>
  </si>
  <si>
    <t>(9)=(6)+(3)</t>
  </si>
  <si>
    <t>Total Plant</t>
  </si>
  <si>
    <t>Cost of Removal</t>
  </si>
  <si>
    <t>Additions</t>
  </si>
  <si>
    <t>Total Additions</t>
  </si>
  <si>
    <t>Total Retirements</t>
  </si>
  <si>
    <t>Total Cost of Removal</t>
  </si>
  <si>
    <t>Year</t>
  </si>
  <si>
    <t>Tax</t>
  </si>
  <si>
    <t>Cost</t>
  </si>
  <si>
    <t>Removal</t>
  </si>
  <si>
    <t>Book</t>
  </si>
  <si>
    <t>Difference</t>
  </si>
  <si>
    <t>Deferred</t>
  </si>
  <si>
    <t>Accumulated</t>
  </si>
  <si>
    <t>Capital Structure</t>
  </si>
  <si>
    <t>Ratio</t>
  </si>
  <si>
    <t>Weighted</t>
  </si>
  <si>
    <t>Tax Gross-up</t>
  </si>
  <si>
    <t>Short term debt</t>
  </si>
  <si>
    <t>Common equity</t>
  </si>
  <si>
    <t>Long term debt</t>
  </si>
  <si>
    <t>Rate of Return</t>
  </si>
  <si>
    <t>Return on Net Rate Base</t>
  </si>
  <si>
    <t>Operating Expenses</t>
  </si>
  <si>
    <t>and</t>
  </si>
  <si>
    <t>RATE OF RETURN</t>
  </si>
  <si>
    <t>TOTAL</t>
  </si>
  <si>
    <t>Adjusted for</t>
  </si>
  <si>
    <t>Income Taxes</t>
  </si>
  <si>
    <t>REVENUE REQUIREMENT</t>
  </si>
  <si>
    <t xml:space="preserve">     Gas Plant Investment</t>
  </si>
  <si>
    <t xml:space="preserve">     Cost of Removal</t>
  </si>
  <si>
    <t>Jan</t>
  </si>
  <si>
    <t>Feb</t>
  </si>
  <si>
    <t>May</t>
  </si>
  <si>
    <t>Jul</t>
  </si>
  <si>
    <t>Aug</t>
  </si>
  <si>
    <t>Sep</t>
  </si>
  <si>
    <t>Oct</t>
  </si>
  <si>
    <t>Nov</t>
  </si>
  <si>
    <t>Dec</t>
  </si>
  <si>
    <t>January</t>
  </si>
  <si>
    <t>Current Month</t>
  </si>
  <si>
    <t>(8)=(5)+(7)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</si>
  <si>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</si>
  <si>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</si>
  <si>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</si>
  <si>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</si>
  <si>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</si>
  <si>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</si>
  <si>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</si>
  <si>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</si>
  <si>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</si>
  <si>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</si>
  <si>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CAPITAL AND OPERATING COSTS</t>
  </si>
  <si>
    <t>Monthly</t>
  </si>
  <si>
    <t>Reserve Retirements</t>
  </si>
  <si>
    <t xml:space="preserve">     Total Retirements</t>
  </si>
  <si>
    <t>Bonus</t>
  </si>
  <si>
    <t>(1)</t>
  </si>
  <si>
    <t>(2)</t>
  </si>
  <si>
    <t>(9)</t>
  </si>
  <si>
    <t>(10)</t>
  </si>
  <si>
    <t>(11)</t>
  </si>
  <si>
    <t>(12)</t>
  </si>
  <si>
    <t>(13)</t>
  </si>
  <si>
    <t>(14)</t>
  </si>
  <si>
    <t>ADIT</t>
  </si>
  <si>
    <t>Mar</t>
  </si>
  <si>
    <t>Apr</t>
  </si>
  <si>
    <t>Jun</t>
  </si>
  <si>
    <t>@ 24.95%</t>
  </si>
  <si>
    <t>Mains</t>
  </si>
  <si>
    <t>Mains - In-Line Inspections</t>
  </si>
  <si>
    <t>Plant Regulators</t>
  </si>
  <si>
    <t>Plant Regulators - LP Program</t>
  </si>
  <si>
    <t>Service Lines</t>
  </si>
  <si>
    <t>Meter Installations</t>
  </si>
  <si>
    <t>House Regulators</t>
  </si>
  <si>
    <t>GPS Devices</t>
  </si>
  <si>
    <t>Acct. No.</t>
  </si>
  <si>
    <t>Mains Retirements</t>
  </si>
  <si>
    <t>Mains - In-Line Inspections Retirements</t>
  </si>
  <si>
    <t>Plant Regulators Retirements</t>
  </si>
  <si>
    <t>Plant Regulators - LP Program Retirements</t>
  </si>
  <si>
    <t>Service Lines Retirements</t>
  </si>
  <si>
    <t>Meter Installations Retirements</t>
  </si>
  <si>
    <t>House Regulators Retirements</t>
  </si>
  <si>
    <t>GPS Devices Retirements</t>
  </si>
  <si>
    <t>Mains Cost of Removal</t>
  </si>
  <si>
    <t>Mains - In-Line Inspections Cost of Removal</t>
  </si>
  <si>
    <t>Plant Regulators Cost of Removal</t>
  </si>
  <si>
    <t>Plant Regulators - LP Program Cost of Removal</t>
  </si>
  <si>
    <t>Service Lines Cost of Removal</t>
  </si>
  <si>
    <t>Meter Installations Cost of Removal</t>
  </si>
  <si>
    <t>House Regulators Cost of Removal</t>
  </si>
  <si>
    <t>GPS Devices Cost of Removal</t>
  </si>
  <si>
    <t>ANNUAL ADJUSTMENT TO THE SAFETY MODIFICATION AND REPLACEMENT PROGRAM ("SMRP")</t>
  </si>
  <si>
    <t>COLUMBIA GAS OF KENTUCKY, INC.</t>
  </si>
  <si>
    <t>COLUMBIA GAS OF KENTUCKY, INC</t>
  </si>
  <si>
    <t>Cumulative</t>
  </si>
  <si>
    <t>Balance as of</t>
  </si>
  <si>
    <t>Totals</t>
  </si>
  <si>
    <t>(3)</t>
  </si>
  <si>
    <t>(4)</t>
  </si>
  <si>
    <t>(5)</t>
  </si>
  <si>
    <t>(6)</t>
  </si>
  <si>
    <t>(7)</t>
  </si>
  <si>
    <t>(8)</t>
  </si>
  <si>
    <t>SMRP Investment</t>
  </si>
  <si>
    <t>Additions Net of Retirements</t>
  </si>
  <si>
    <t>SMRP Investment Monthly Balances</t>
  </si>
  <si>
    <t>Accumulated Depreciation</t>
  </si>
  <si>
    <t>Monthly Depreciation Expense</t>
  </si>
  <si>
    <t>Monthly Accumulated Depreciation Activity</t>
  </si>
  <si>
    <t>Plant In-Service</t>
  </si>
  <si>
    <t>Notes:</t>
  </si>
  <si>
    <r>
      <t xml:space="preserve">Property Tax </t>
    </r>
    <r>
      <rPr>
        <vertAlign val="superscript"/>
        <sz val="10"/>
        <rFont val="Arial"/>
        <family val="2"/>
      </rPr>
      <t>(1)</t>
    </r>
  </si>
  <si>
    <r>
      <t xml:space="preserve">PSC Assessment </t>
    </r>
    <r>
      <rPr>
        <vertAlign val="superscript"/>
        <sz val="10"/>
        <rFont val="Arial"/>
        <family val="2"/>
      </rPr>
      <t>(2)</t>
    </r>
  </si>
  <si>
    <t>Net Rate Base (Lines 4 + 9 + 10)</t>
  </si>
  <si>
    <t>Total Operating Expenses (Lines 15 + 16 + 17 + 18)</t>
  </si>
  <si>
    <t>Total Revenue Requirement (Lines 13 + 19)</t>
  </si>
  <si>
    <t>Columbia Gas of Kentucky, Inc.</t>
  </si>
  <si>
    <t>Annual Adjustment to the Safety Modification and Replacement Program</t>
  </si>
  <si>
    <t>($)</t>
  </si>
  <si>
    <t>Rate Schedule</t>
  </si>
  <si>
    <t>Annual Adjustment to the Safety Modification and Replacement Program ("SMRP")</t>
  </si>
  <si>
    <t>SMRP Rider by Rate Schedule</t>
  </si>
  <si>
    <t>Base Revenue as</t>
  </si>
  <si>
    <t>Billing</t>
  </si>
  <si>
    <t>Approved PSC</t>
  </si>
  <si>
    <t>Allocation</t>
  </si>
  <si>
    <t>Revenue</t>
  </si>
  <si>
    <t>Determinant</t>
  </si>
  <si>
    <t>Adjustment</t>
  </si>
  <si>
    <t xml:space="preserve">No. </t>
  </si>
  <si>
    <t>Case No. 2016-00162</t>
  </si>
  <si>
    <r>
      <t xml:space="preserve">Percent </t>
    </r>
    <r>
      <rPr>
        <b/>
        <u/>
        <vertAlign val="superscript"/>
        <sz val="12"/>
        <rFont val="Arial"/>
        <family val="2"/>
      </rPr>
      <t>(1)</t>
    </r>
  </si>
  <si>
    <t>Requirement</t>
  </si>
  <si>
    <r>
      <t xml:space="preserve"># of Bills </t>
    </r>
    <r>
      <rPr>
        <b/>
        <u/>
        <vertAlign val="superscript"/>
        <sz val="12"/>
        <rFont val="Arial"/>
        <family val="2"/>
      </rPr>
      <t>(2)</t>
    </r>
  </si>
  <si>
    <t>Rate GSR, Rate SVGTS - Residential Service</t>
  </si>
  <si>
    <t>Rate GSO, Rate GDS, Rate SVGTS - Com. or Ind. Service</t>
  </si>
  <si>
    <t>Rate IUS, Rate IUDS</t>
  </si>
  <si>
    <r>
      <t xml:space="preserve">Rate IS, Rate DS </t>
    </r>
    <r>
      <rPr>
        <vertAlign val="superscript"/>
        <sz val="12"/>
        <rFont val="Arial"/>
        <family val="2"/>
      </rPr>
      <t>(3)</t>
    </r>
    <r>
      <rPr>
        <sz val="10"/>
        <rFont val="Arial"/>
        <family val="2"/>
      </rPr>
      <t>, Rate SAS</t>
    </r>
  </si>
  <si>
    <r>
      <rPr>
        <vertAlign val="superscript"/>
        <sz val="12"/>
        <rFont val="Arial"/>
        <family val="2"/>
      </rPr>
      <t>(1)</t>
    </r>
    <r>
      <rPr>
        <sz val="10"/>
        <rFont val="Arial"/>
        <family val="2"/>
      </rPr>
      <t xml:space="preserve"> Allocation percent is based on the overall base revenue distribution approved in PSC Case No. 2016-00162</t>
    </r>
  </si>
  <si>
    <r>
      <rPr>
        <vertAlign val="superscript"/>
        <sz val="12"/>
        <rFont val="Arial"/>
        <family val="2"/>
      </rPr>
      <t>(3)</t>
    </r>
    <r>
      <rPr>
        <sz val="10"/>
        <rFont val="Arial"/>
        <family val="2"/>
      </rPr>
      <t xml:space="preserve"> Excluding customers subject to the Flex Provisions of Rate Schedule DS.</t>
    </r>
  </si>
  <si>
    <t>SMRP Form 2.0</t>
  </si>
  <si>
    <t xml:space="preserve">Additions &amp; </t>
  </si>
  <si>
    <t>Number</t>
  </si>
  <si>
    <t>(8)=(6)+(3)</t>
  </si>
  <si>
    <t xml:space="preserve">Total Plant </t>
  </si>
  <si>
    <t xml:space="preserve">Cost of Removal </t>
  </si>
  <si>
    <t>SMRP Form 2.1</t>
  </si>
  <si>
    <t>Calculation of Accumulated Deferred Income Tax</t>
  </si>
  <si>
    <t xml:space="preserve">Annual </t>
  </si>
  <si>
    <t>Ln.</t>
  </si>
  <si>
    <t>MACRS 20 Year</t>
  </si>
  <si>
    <t>2017 Jan-Sept</t>
  </si>
  <si>
    <t>2017 Oct-Dec</t>
  </si>
  <si>
    <t>2018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</si>
  <si>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</si>
  <si>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</si>
  <si>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</si>
  <si>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</si>
  <si>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</si>
  <si>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</si>
  <si>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</si>
  <si>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</si>
  <si>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</si>
  <si>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</si>
  <si>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</si>
  <si>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Year 21</t>
  </si>
  <si>
    <t>Year 22</t>
  </si>
  <si>
    <t>Year 23</t>
  </si>
  <si>
    <t>Year 24</t>
  </si>
  <si>
    <t>Year 25</t>
  </si>
  <si>
    <t>Year 26</t>
  </si>
  <si>
    <t>Year 27</t>
  </si>
  <si>
    <t>Year 28</t>
  </si>
  <si>
    <t>Year 29</t>
  </si>
  <si>
    <t>Year 30</t>
  </si>
  <si>
    <t>Cost of</t>
  </si>
  <si>
    <t xml:space="preserve">Book </t>
  </si>
  <si>
    <t>Tax @ [1] [2]</t>
  </si>
  <si>
    <t>Deferred Income</t>
  </si>
  <si>
    <t>Normalization</t>
  </si>
  <si>
    <t xml:space="preserve">Deferred </t>
  </si>
  <si>
    <t>Tax Depr Rates</t>
  </si>
  <si>
    <t>Taxes-Fed NOL</t>
  </si>
  <si>
    <t>Inc. Taxes</t>
  </si>
  <si>
    <t>Total Plant Additions</t>
  </si>
  <si>
    <t>Classification</t>
  </si>
  <si>
    <t>NOTE:</t>
  </si>
  <si>
    <t>DTA = Deferred Tax Asset</t>
  </si>
  <si>
    <t>DTL = Deferred Tax Liability</t>
  </si>
  <si>
    <t>[2] Deferred Taxes calculated beginning 1/1/2018 using 21% Corporate Tax Rate and 5% State Tax Rate.</t>
  </si>
  <si>
    <t>Prior to 1/1/2018 Deferred Tax</t>
  </si>
  <si>
    <t>Tax @</t>
  </si>
  <si>
    <t>Post 1/1/2018 Deferred Tax</t>
  </si>
  <si>
    <t>24.95% [3]</t>
  </si>
  <si>
    <t>AMRP Plant Additions [1]</t>
  </si>
  <si>
    <t>Composite Tax Rate [2]</t>
  </si>
  <si>
    <t>[1] Plant additions eligible for repairs tax deduction.</t>
  </si>
  <si>
    <t>[2] Composite rate including repairs (15.42% for 2017, 25.84% for 2018, and 33.22% for 2019-2021) and mixed services 263A (4.01%) and bonus tax (50% for January-September 2017 and October-December 2017) deductions.</t>
  </si>
  <si>
    <t>[3] Deferred Taxes calculated beginning 1/1/2018 using 21% Corporate Tax Rate and 5% State Tax Rate.</t>
  </si>
  <si>
    <t>Repairs %</t>
  </si>
  <si>
    <t>263a %</t>
  </si>
  <si>
    <t>Calculation of State Disallowance on Bonus Tax Depreciation for 2017 Additions</t>
  </si>
  <si>
    <t xml:space="preserve">State ADIT </t>
  </si>
  <si>
    <t>Bonus Tax</t>
  </si>
  <si>
    <t>State vs. Fed</t>
  </si>
  <si>
    <t>on Disallowed</t>
  </si>
  <si>
    <t>Fed Benefit</t>
  </si>
  <si>
    <t>State Tax Depr</t>
  </si>
  <si>
    <t>Tax Depr</t>
  </si>
  <si>
    <t>ADIT Adj</t>
  </si>
  <si>
    <t>Plant Additions [1]</t>
  </si>
  <si>
    <t>[1] Plant additions not eligible for repairs tax deduction.</t>
  </si>
  <si>
    <t>[2] Composite rate including mixed services 263A (4.01%) and bonus tax (50% for January-September 2017 and October-December 2017) deductions.</t>
  </si>
  <si>
    <t>SMRP Form 1.1</t>
  </si>
  <si>
    <t>SMRP Form 1.2</t>
  </si>
  <si>
    <t>SMRP Form 2.2</t>
  </si>
  <si>
    <t>SMRP Form 2.3</t>
  </si>
  <si>
    <t>SMRP Form 2.4</t>
  </si>
  <si>
    <t>SMRP Form 2.5</t>
  </si>
  <si>
    <t>SMRP Form 2.6</t>
  </si>
  <si>
    <t>SMRP Form 2.7</t>
  </si>
  <si>
    <t>SMRP Form 2.8</t>
  </si>
  <si>
    <t>SMRP Form 2.9</t>
  </si>
  <si>
    <t>SMRP Form 2.10</t>
  </si>
  <si>
    <t>SMRP Form 2.11</t>
  </si>
  <si>
    <t>SMRP Form 2.12</t>
  </si>
  <si>
    <t>SMRP Form 2.13</t>
  </si>
  <si>
    <t>SMRP Form 2.14</t>
  </si>
  <si>
    <t>2022 Plant Additions and Depreciation</t>
  </si>
  <si>
    <t>JANUARY 2022 BOOK DEPRECIATION</t>
  </si>
  <si>
    <t>FEBRUARY 2022 BOOK DEPRECIATION</t>
  </si>
  <si>
    <t>MARCH 2022 BOOK DEPRECIATION</t>
  </si>
  <si>
    <t>APRIL 2022 BOOK DEPRECIATION</t>
  </si>
  <si>
    <t>MAY 2022 BOOK DEPRECIATION</t>
  </si>
  <si>
    <t>JUNE 2022 BOOK DEPRECIATION</t>
  </si>
  <si>
    <t>JULY 2022 BOOK DEPRECIATION</t>
  </si>
  <si>
    <t>AUGUST 2022 BOOK DEPRECIATION</t>
  </si>
  <si>
    <t>SEPTEMBER 2022 BOOK DEPRECIATION</t>
  </si>
  <si>
    <t>OCTOBER 2022 BOOK DEPRECIATION</t>
  </si>
  <si>
    <t>NOVEMBER 2022 BOOK DEPRECIATION</t>
  </si>
  <si>
    <t>DECEMBER 2022 BOOK DEPRECIATION</t>
  </si>
  <si>
    <r>
      <rPr>
        <vertAlign val="superscript"/>
        <sz val="12"/>
        <rFont val="Arial"/>
        <family val="2"/>
      </rPr>
      <t>(2)</t>
    </r>
    <r>
      <rPr>
        <sz val="10"/>
        <rFont val="Arial"/>
        <family val="2"/>
      </rPr>
      <t xml:space="preserve"> Billing Determinants based on projected twelve months ending December 31, 2022 bills</t>
    </r>
  </si>
  <si>
    <t>Year 2022</t>
  </si>
  <si>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Property taxes estimated using an effective rate of 1.418% - (2021-00183- WPD-2.4F)</t>
    </r>
  </si>
  <si>
    <r>
      <rPr>
        <vertAlign val="superscript"/>
        <sz val="10"/>
        <rFont val="Arial"/>
        <family val="2"/>
      </rPr>
      <t>(2)</t>
    </r>
    <r>
      <rPr>
        <sz val="10"/>
        <rFont val="Arial"/>
        <family val="2"/>
      </rPr>
      <t xml:space="preserve"> PSC Assessment estimated using a rate of .2% (2021-00183-WPD-2.4C)</t>
    </r>
  </si>
  <si>
    <r>
      <t xml:space="preserve">O&amp;M Savings FERC Account 887 </t>
    </r>
    <r>
      <rPr>
        <vertAlign val="superscript"/>
        <sz val="10"/>
        <rFont val="Arial"/>
        <family val="2"/>
      </rPr>
      <t>(3)</t>
    </r>
  </si>
  <si>
    <r>
      <rPr>
        <vertAlign val="superscript"/>
        <sz val="10"/>
        <rFont val="Arial"/>
        <family val="2"/>
      </rPr>
      <t>(3)</t>
    </r>
    <r>
      <rPr>
        <sz val="10"/>
        <rFont val="Arial"/>
        <family val="2"/>
      </rPr>
      <t xml:space="preserve"> O&amp;M Savings - same as 2021 savings as noted in 2021-00183 DR AG Set 2 No 84 Attachment D</t>
    </r>
  </si>
  <si>
    <t>Rate of Return (4)</t>
  </si>
  <si>
    <r>
      <rPr>
        <vertAlign val="superscript"/>
        <sz val="10"/>
        <rFont val="Arial"/>
        <family val="2"/>
      </rPr>
      <t>(4)</t>
    </r>
    <r>
      <rPr>
        <sz val="10"/>
        <rFont val="Arial"/>
        <family val="2"/>
      </rPr>
      <t xml:space="preserve"> Rate of Return as filed in 2021-00183 Schedule J-1.1 / J-1.2</t>
    </r>
  </si>
  <si>
    <t>Cost of Removal (5)</t>
  </si>
  <si>
    <r>
      <rPr>
        <vertAlign val="superscript"/>
        <sz val="10"/>
        <rFont val="Arial"/>
        <family val="2"/>
      </rPr>
      <t>(5)</t>
    </r>
    <r>
      <rPr>
        <sz val="10"/>
        <rFont val="Arial"/>
        <family val="2"/>
      </rPr>
      <t xml:space="preserve"> Cost of Removal - same as 2021 as noted in 2021-00183 DR AG Set 2 No 84 Attachment D</t>
    </r>
  </si>
  <si>
    <t>NA</t>
  </si>
  <si>
    <t>Mains/Services Depreciation</t>
  </si>
  <si>
    <t>All Other Depreciation</t>
  </si>
  <si>
    <t>2021-00183</t>
  </si>
  <si>
    <t>DR Staff Set 3 No 27</t>
  </si>
  <si>
    <t>Attachment A</t>
  </si>
  <si>
    <t xml:space="preserve">Page 21 of 21 </t>
  </si>
  <si>
    <t>Page 20 of 21</t>
  </si>
  <si>
    <t>Page 19 of 21</t>
  </si>
  <si>
    <t>Page 18 of 21</t>
  </si>
  <si>
    <t>Page 17 of 21</t>
  </si>
  <si>
    <t>Page 16 of 21</t>
  </si>
  <si>
    <t>Page 15 of 21</t>
  </si>
  <si>
    <t>Page 14 of 21</t>
  </si>
  <si>
    <t>Page 13 of 21</t>
  </si>
  <si>
    <t>Page 12 of 21</t>
  </si>
  <si>
    <t>Page 11 of 21</t>
  </si>
  <si>
    <t>Page 10 of 21</t>
  </si>
  <si>
    <t>Page 9 of 21</t>
  </si>
  <si>
    <t>Page 8 of 21</t>
  </si>
  <si>
    <t>Page 7 of 21</t>
  </si>
  <si>
    <t>Page 6 of 21</t>
  </si>
  <si>
    <t>Page 5 of 21</t>
  </si>
  <si>
    <t>Page 4 of 21</t>
  </si>
  <si>
    <t>Page 3 of 21</t>
  </si>
  <si>
    <t>Page 2 of 21</t>
  </si>
  <si>
    <t>Page 1 of 21</t>
  </si>
  <si>
    <t xml:space="preserve">[1] Includes adjustment for state disallowance on 2017 bonus tax depreciation as calculated on Form 2.1 pages 4.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</si>
</sst>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  <numFmt numFmtId="167" formatCode="0_);\(0\)"/>
    <numFmt numFmtId="168" formatCode="[$-409]mmmm\-yy;@"/>
    <numFmt numFmtId="169" formatCode="&quot;$&quot;#,##0\ ;\(&quot;$&quot;#,##0\)"/>
    <numFmt numFmtId="170" formatCode="_([$€-2]* #,##0.00_);_([$€-2]* \(#,##0.00\);_([$€-2]* &quot;-&quot;??_)"/>
    <numFmt numFmtId="171" formatCode="_(* #,##0_);_(* \(#,##0\);_(* &quot;0&quot;_);_(@_)"/>
    <numFmt numFmtId="172" formatCode="[$-409]mmmm\ d\,\ yyyy;@"/>
    <numFmt numFmtId="173" formatCode="0.000%"/>
    <numFmt numFmtId="174" formatCode="[$-409]mmm\-yy;@"/>
    <numFmt numFmtId="175" formatCode="_(* #,##0.000_);_(* \(#,##0.000\);_(* &quot;-&quot;??_);_(@_)"/>
    <numFmt numFmtId="176" formatCode="_(* #,##0.00000_);_(* \(#,##0.00000\);_(* &quot;-&quot;??_);_(@_)"/>
    <numFmt numFmtId="177" formatCode="0.00000"/>
    <numFmt numFmtId="178" formatCode="_(* #,##0.0000_);_(* \(#,##0.0000\);_(* &quot;-&quot;??_);_(@_)"/>
  </numFmts>
  <fonts count="11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theme="1"/>
      <name val="Times New Roman"/>
      <family val="2"/>
    </font>
    <font>
      <sz val="11"/>
      <color indexed="9"/>
      <name val="Calibri"/>
      <family val="2"/>
    </font>
    <font>
      <sz val="11"/>
      <color theme="0"/>
      <name val="Times New Roman"/>
      <family val="2"/>
    </font>
    <font>
      <sz val="11"/>
      <color indexed="20"/>
      <name val="Calibri"/>
      <family val="2"/>
    </font>
    <font>
      <sz val="11"/>
      <color rgb="FF9C0006"/>
      <name val="Times New Roman"/>
      <family val="2"/>
    </font>
    <font>
      <b/>
      <sz val="11"/>
      <color indexed="52"/>
      <name val="Calibri"/>
      <family val="2"/>
    </font>
    <font>
      <b/>
      <sz val="11"/>
      <color rgb="FFFA7D00"/>
      <name val="Times New Roman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theme="0"/>
      <name val="Times New Roman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Arial (W1)"/>
    </font>
    <font>
      <i/>
      <sz val="11"/>
      <color indexed="23"/>
      <name val="Calibri"/>
      <family val="2"/>
    </font>
    <font>
      <i/>
      <sz val="11"/>
      <color rgb="FF7F7F7F"/>
      <name val="Times New Roman"/>
      <family val="2"/>
    </font>
    <font>
      <sz val="10"/>
      <name val="Times New Roman"/>
      <family val="1"/>
    </font>
    <font>
      <b/>
      <sz val="14"/>
      <name val="Arial"/>
      <family val="2"/>
    </font>
    <font>
      <sz val="8"/>
      <name val="Arial"/>
      <family val="2"/>
    </font>
    <font>
      <sz val="6"/>
      <name val="Arial"/>
      <family val="2"/>
    </font>
    <font>
      <sz val="11"/>
      <color indexed="17"/>
      <name val="Calibri"/>
      <family val="2"/>
    </font>
    <font>
      <sz val="11"/>
      <color rgb="FF006100"/>
      <name val="Times New Roman"/>
      <family val="2"/>
    </font>
    <font>
      <b/>
      <sz val="15"/>
      <color indexed="56"/>
      <name val="Calibri"/>
      <family val="2"/>
    </font>
    <font>
      <b/>
      <sz val="15"/>
      <color theme="3"/>
      <name val="Times New Roman"/>
      <family val="2"/>
    </font>
    <font>
      <b/>
      <sz val="18"/>
      <name val="Arial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theme="3"/>
      <name val="Times New Roman"/>
      <family val="2"/>
    </font>
    <font>
      <b/>
      <sz val="12"/>
      <name val="Arial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theme="3"/>
      <name val="Times New Roman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rgb="FF3F3F76"/>
      <name val="Times New Roman"/>
      <family val="2"/>
    </font>
    <font>
      <b/>
      <sz val="10"/>
      <color indexed="8"/>
      <name val="Arial"/>
      <family val="2"/>
    </font>
    <font>
      <sz val="11"/>
      <color indexed="52"/>
      <name val="Calibri"/>
      <family val="2"/>
    </font>
    <font>
      <sz val="11"/>
      <color rgb="FFFA7D00"/>
      <name val="Times New Roman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rgb="FF9C6500"/>
      <name val="Times New Roman"/>
      <family val="2"/>
    </font>
    <font>
      <sz val="11"/>
      <color indexed="19"/>
      <name val="Calibri"/>
      <family val="2"/>
    </font>
    <font>
      <sz val="10"/>
      <name val="MS Sans Serif"/>
      <family val="2"/>
    </font>
    <font>
      <sz val="11"/>
      <color indexed="8"/>
      <name val="Times New Roman"/>
      <family val="2"/>
    </font>
    <font>
      <b/>
      <sz val="11"/>
      <color indexed="63"/>
      <name val="Calibri"/>
      <family val="2"/>
    </font>
    <font>
      <b/>
      <sz val="11"/>
      <color rgb="FF3F3F3F"/>
      <name val="Times New Roman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Times New Roman"/>
      <family val="2"/>
    </font>
    <font>
      <sz val="8"/>
      <color indexed="8"/>
      <name val="Wingdings"/>
      <charset val="2"/>
    </font>
    <font>
      <sz val="11"/>
      <color rgb="FFFF0000"/>
      <name val="Times New Roman"/>
      <family val="2"/>
    </font>
    <font>
      <sz val="12"/>
      <color theme="1"/>
      <name val="Times New Roman"/>
      <family val="2"/>
    </font>
    <font>
      <b/>
      <sz val="16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rgb="FF0000FF"/>
      <name val="Arial"/>
      <family val="2"/>
    </font>
    <font>
      <vertAlign val="superscript"/>
      <sz val="10"/>
      <name val="Arial"/>
      <family val="2"/>
    </font>
    <font>
      <u val="singleAccounting"/>
      <sz val="10"/>
      <name val="Arial"/>
      <family val="2"/>
    </font>
    <font>
      <b/>
      <u/>
      <vertAlign val="superscript"/>
      <sz val="12"/>
      <name val="Arial"/>
      <family val="2"/>
    </font>
    <font>
      <vertAlign val="superscript"/>
      <sz val="12"/>
      <name val="Arial"/>
      <family val="2"/>
    </font>
    <font>
      <u/>
      <sz val="10"/>
      <name val="Arial"/>
      <family val="2"/>
    </font>
    <font>
      <u val="singleAccounting"/>
      <sz val="10"/>
      <color rgb="FF0000FF"/>
      <name val="Arial"/>
      <family val="2"/>
    </font>
    <font>
      <u val="doubleAccounting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b/>
      <u val="singleAccounting"/>
      <sz val="9"/>
      <name val="Arial"/>
      <family val="2"/>
    </font>
    <font>
      <u val="doubleAccounting"/>
      <sz val="9"/>
      <name val="Arial"/>
      <family val="2"/>
    </font>
    <font>
      <sz val="9"/>
      <color rgb="FF0000FF"/>
      <name val="Arial"/>
      <family val="2"/>
    </font>
    <font>
      <b/>
      <sz val="9"/>
      <color rgb="FF0000FF"/>
      <name val="Arial"/>
      <family val="2"/>
    </font>
    <font>
      <u/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sz val="8"/>
      <name val="Helv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405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25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8" fontId="26" fillId="33" borderId="0" applyNumberFormat="0" applyBorder="0" applyAlignment="0" applyProtection="0"/>
    <xf numFmtId="168" fontId="26" fillId="33" borderId="0" applyNumberFormat="0" applyBorder="0" applyAlignment="0" applyProtection="0"/>
    <xf numFmtId="168" fontId="26" fillId="33" borderId="0" applyNumberFormat="0" applyBorder="0" applyAlignment="0" applyProtection="0"/>
    <xf numFmtId="168" fontId="26" fillId="33" borderId="0" applyNumberFormat="0" applyBorder="0" applyAlignment="0" applyProtection="0"/>
    <xf numFmtId="168" fontId="26" fillId="33" borderId="0" applyNumberFormat="0" applyBorder="0" applyAlignment="0" applyProtection="0"/>
    <xf numFmtId="168" fontId="3" fillId="10" borderId="0" applyNumberFormat="0" applyBorder="0" applyAlignment="0" applyProtection="0"/>
    <xf numFmtId="168" fontId="3" fillId="10" borderId="0" applyNumberFormat="0" applyBorder="0" applyAlignment="0" applyProtection="0"/>
    <xf numFmtId="168" fontId="3" fillId="10" borderId="0" applyNumberFormat="0" applyBorder="0" applyAlignment="0" applyProtection="0"/>
    <xf numFmtId="168" fontId="3" fillId="10" borderId="0" applyNumberFormat="0" applyBorder="0" applyAlignment="0" applyProtection="0"/>
    <xf numFmtId="168" fontId="3" fillId="10" borderId="0" applyNumberFormat="0" applyBorder="0" applyAlignment="0" applyProtection="0"/>
    <xf numFmtId="168" fontId="3" fillId="10" borderId="0" applyNumberFormat="0" applyBorder="0" applyAlignment="0" applyProtection="0"/>
    <xf numFmtId="168" fontId="3" fillId="10" borderId="0" applyNumberFormat="0" applyBorder="0" applyAlignment="0" applyProtection="0"/>
    <xf numFmtId="168" fontId="3" fillId="10" borderId="0" applyNumberFormat="0" applyBorder="0" applyAlignment="0" applyProtection="0"/>
    <xf numFmtId="168" fontId="3" fillId="10" borderId="0" applyNumberFormat="0" applyBorder="0" applyAlignment="0" applyProtection="0"/>
    <xf numFmtId="168" fontId="3" fillId="10" borderId="0" applyNumberFormat="0" applyBorder="0" applyAlignment="0" applyProtection="0"/>
    <xf numFmtId="168" fontId="3" fillId="10" borderId="0" applyNumberFormat="0" applyBorder="0" applyAlignment="0" applyProtection="0"/>
    <xf numFmtId="168" fontId="3" fillId="10" borderId="0" applyNumberFormat="0" applyBorder="0" applyAlignment="0" applyProtection="0"/>
    <xf numFmtId="168" fontId="3" fillId="10" borderId="0" applyNumberFormat="0" applyBorder="0" applyAlignment="0" applyProtection="0"/>
    <xf numFmtId="168" fontId="3" fillId="10" borderId="0" applyNumberFormat="0" applyBorder="0" applyAlignment="0" applyProtection="0"/>
    <xf numFmtId="168" fontId="3" fillId="10" borderId="0" applyNumberFormat="0" applyBorder="0" applyAlignment="0" applyProtection="0"/>
    <xf numFmtId="168" fontId="27" fillId="10" borderId="0" applyNumberFormat="0" applyBorder="0" applyAlignment="0" applyProtection="0"/>
    <xf numFmtId="168" fontId="27" fillId="10" borderId="0" applyNumberFormat="0" applyBorder="0" applyAlignment="0" applyProtection="0"/>
    <xf numFmtId="0" fontId="26" fillId="34" borderId="0" applyNumberFormat="0" applyBorder="0" applyAlignment="0" applyProtection="0"/>
    <xf numFmtId="168" fontId="26" fillId="34" borderId="0" applyNumberFormat="0" applyBorder="0" applyAlignment="0" applyProtection="0"/>
    <xf numFmtId="168" fontId="26" fillId="34" borderId="0" applyNumberFormat="0" applyBorder="0" applyAlignment="0" applyProtection="0"/>
    <xf numFmtId="168" fontId="27" fillId="10" borderId="0" applyNumberFormat="0" applyBorder="0" applyAlignment="0" applyProtection="0"/>
    <xf numFmtId="168" fontId="26" fillId="34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168" fontId="26" fillId="34" borderId="0" applyNumberFormat="0" applyBorder="0" applyAlignment="0" applyProtection="0"/>
    <xf numFmtId="168" fontId="26" fillId="34" borderId="0" applyNumberFormat="0" applyBorder="0" applyAlignment="0" applyProtection="0"/>
    <xf numFmtId="168" fontId="26" fillId="34" borderId="0" applyNumberFormat="0" applyBorder="0" applyAlignment="0" applyProtection="0"/>
    <xf numFmtId="168" fontId="26" fillId="34" borderId="0" applyNumberFormat="0" applyBorder="0" applyAlignment="0" applyProtection="0"/>
    <xf numFmtId="168" fontId="27" fillId="10" borderId="0" applyNumberFormat="0" applyBorder="0" applyAlignment="0" applyProtection="0"/>
    <xf numFmtId="0" fontId="3" fillId="10" borderId="0" applyNumberFormat="0" applyBorder="0" applyAlignment="0" applyProtection="0"/>
    <xf numFmtId="168" fontId="26" fillId="34" borderId="0" applyNumberFormat="0" applyBorder="0" applyAlignment="0" applyProtection="0"/>
    <xf numFmtId="168" fontId="26" fillId="34" borderId="0" applyNumberFormat="0" applyBorder="0" applyAlignment="0" applyProtection="0"/>
    <xf numFmtId="168" fontId="26" fillId="34" borderId="0" applyNumberFormat="0" applyBorder="0" applyAlignment="0" applyProtection="0"/>
    <xf numFmtId="168" fontId="27" fillId="10" borderId="0" applyNumberFormat="0" applyBorder="0" applyAlignment="0" applyProtection="0"/>
    <xf numFmtId="168" fontId="27" fillId="10" borderId="0" applyNumberFormat="0" applyBorder="0" applyAlignment="0" applyProtection="0"/>
    <xf numFmtId="168" fontId="27" fillId="10" borderId="0" applyNumberFormat="0" applyBorder="0" applyAlignment="0" applyProtection="0"/>
    <xf numFmtId="168" fontId="27" fillId="10" borderId="0" applyNumberFormat="0" applyBorder="0" applyAlignment="0" applyProtection="0"/>
    <xf numFmtId="168" fontId="27" fillId="10" borderId="0" applyNumberFormat="0" applyBorder="0" applyAlignment="0" applyProtection="0"/>
    <xf numFmtId="168" fontId="27" fillId="10" borderId="0" applyNumberFormat="0" applyBorder="0" applyAlignment="0" applyProtection="0"/>
    <xf numFmtId="168" fontId="27" fillId="10" borderId="0" applyNumberFormat="0" applyBorder="0" applyAlignment="0" applyProtection="0"/>
    <xf numFmtId="168" fontId="27" fillId="10" borderId="0" applyNumberFormat="0" applyBorder="0" applyAlignment="0" applyProtection="0"/>
    <xf numFmtId="168" fontId="27" fillId="10" borderId="0" applyNumberFormat="0" applyBorder="0" applyAlignment="0" applyProtection="0"/>
    <xf numFmtId="168" fontId="27" fillId="10" borderId="0" applyNumberFormat="0" applyBorder="0" applyAlignment="0" applyProtection="0"/>
    <xf numFmtId="168" fontId="27" fillId="10" borderId="0" applyNumberFormat="0" applyBorder="0" applyAlignment="0" applyProtection="0"/>
    <xf numFmtId="168" fontId="27" fillId="10" borderId="0" applyNumberFormat="0" applyBorder="0" applyAlignment="0" applyProtection="0"/>
    <xf numFmtId="168" fontId="27" fillId="10" borderId="0" applyNumberFormat="0" applyBorder="0" applyAlignment="0" applyProtection="0"/>
    <xf numFmtId="168" fontId="26" fillId="34" borderId="0" applyNumberFormat="0" applyBorder="0" applyAlignment="0" applyProtection="0"/>
    <xf numFmtId="168" fontId="27" fillId="10" borderId="0" applyNumberFormat="0" applyBorder="0" applyAlignment="0" applyProtection="0"/>
    <xf numFmtId="168" fontId="27" fillId="10" borderId="0" applyNumberFormat="0" applyBorder="0" applyAlignment="0" applyProtection="0"/>
    <xf numFmtId="168" fontId="27" fillId="10" borderId="0" applyNumberFormat="0" applyBorder="0" applyAlignment="0" applyProtection="0"/>
    <xf numFmtId="168" fontId="27" fillId="10" borderId="0" applyNumberFormat="0" applyBorder="0" applyAlignment="0" applyProtection="0"/>
    <xf numFmtId="168" fontId="27" fillId="10" borderId="0" applyNumberFormat="0" applyBorder="0" applyAlignment="0" applyProtection="0"/>
    <xf numFmtId="168" fontId="27" fillId="10" borderId="0" applyNumberFormat="0" applyBorder="0" applyAlignment="0" applyProtection="0"/>
    <xf numFmtId="0" fontId="26" fillId="34" borderId="0" applyNumberFormat="0" applyBorder="0" applyAlignment="0" applyProtection="0"/>
    <xf numFmtId="168" fontId="26" fillId="34" borderId="0" applyNumberFormat="0" applyBorder="0" applyAlignment="0" applyProtection="0"/>
    <xf numFmtId="168" fontId="26" fillId="33" borderId="0" applyNumberFormat="0" applyBorder="0" applyAlignment="0" applyProtection="0"/>
    <xf numFmtId="168" fontId="26" fillId="33" borderId="0" applyNumberFormat="0" applyBorder="0" applyAlignment="0" applyProtection="0"/>
    <xf numFmtId="168" fontId="26" fillId="33" borderId="0" applyNumberFormat="0" applyBorder="0" applyAlignment="0" applyProtection="0"/>
    <xf numFmtId="168" fontId="26" fillId="33" borderId="0" applyNumberFormat="0" applyBorder="0" applyAlignment="0" applyProtection="0"/>
    <xf numFmtId="168" fontId="26" fillId="33" borderId="0" applyNumberFormat="0" applyBorder="0" applyAlignment="0" applyProtection="0"/>
    <xf numFmtId="168" fontId="26" fillId="35" borderId="0" applyNumberFormat="0" applyBorder="0" applyAlignment="0" applyProtection="0"/>
    <xf numFmtId="168" fontId="26" fillId="35" borderId="0" applyNumberFormat="0" applyBorder="0" applyAlignment="0" applyProtection="0"/>
    <xf numFmtId="168" fontId="26" fillId="35" borderId="0" applyNumberFormat="0" applyBorder="0" applyAlignment="0" applyProtection="0"/>
    <xf numFmtId="168" fontId="26" fillId="35" borderId="0" applyNumberFormat="0" applyBorder="0" applyAlignment="0" applyProtection="0"/>
    <xf numFmtId="168" fontId="26" fillId="35" borderId="0" applyNumberFormat="0" applyBorder="0" applyAlignment="0" applyProtection="0"/>
    <xf numFmtId="168" fontId="3" fillId="14" borderId="0" applyNumberFormat="0" applyBorder="0" applyAlignment="0" applyProtection="0"/>
    <xf numFmtId="168" fontId="3" fillId="14" borderId="0" applyNumberFormat="0" applyBorder="0" applyAlignment="0" applyProtection="0"/>
    <xf numFmtId="168" fontId="3" fillId="14" borderId="0" applyNumberFormat="0" applyBorder="0" applyAlignment="0" applyProtection="0"/>
    <xf numFmtId="168" fontId="3" fillId="14" borderId="0" applyNumberFormat="0" applyBorder="0" applyAlignment="0" applyProtection="0"/>
    <xf numFmtId="168" fontId="3" fillId="14" borderId="0" applyNumberFormat="0" applyBorder="0" applyAlignment="0" applyProtection="0"/>
    <xf numFmtId="168" fontId="3" fillId="14" borderId="0" applyNumberFormat="0" applyBorder="0" applyAlignment="0" applyProtection="0"/>
    <xf numFmtId="168" fontId="3" fillId="14" borderId="0" applyNumberFormat="0" applyBorder="0" applyAlignment="0" applyProtection="0"/>
    <xf numFmtId="168" fontId="3" fillId="14" borderId="0" applyNumberFormat="0" applyBorder="0" applyAlignment="0" applyProtection="0"/>
    <xf numFmtId="168" fontId="3" fillId="14" borderId="0" applyNumberFormat="0" applyBorder="0" applyAlignment="0" applyProtection="0"/>
    <xf numFmtId="168" fontId="3" fillId="14" borderId="0" applyNumberFormat="0" applyBorder="0" applyAlignment="0" applyProtection="0"/>
    <xf numFmtId="168" fontId="3" fillId="14" borderId="0" applyNumberFormat="0" applyBorder="0" applyAlignment="0" applyProtection="0"/>
    <xf numFmtId="168" fontId="3" fillId="14" borderId="0" applyNumberFormat="0" applyBorder="0" applyAlignment="0" applyProtection="0"/>
    <xf numFmtId="168" fontId="3" fillId="14" borderId="0" applyNumberFormat="0" applyBorder="0" applyAlignment="0" applyProtection="0"/>
    <xf numFmtId="168" fontId="3" fillId="14" borderId="0" applyNumberFormat="0" applyBorder="0" applyAlignment="0" applyProtection="0"/>
    <xf numFmtId="168" fontId="3" fillId="14" borderId="0" applyNumberFormat="0" applyBorder="0" applyAlignment="0" applyProtection="0"/>
    <xf numFmtId="168" fontId="27" fillId="14" borderId="0" applyNumberFormat="0" applyBorder="0" applyAlignment="0" applyProtection="0"/>
    <xf numFmtId="168" fontId="27" fillId="14" borderId="0" applyNumberFormat="0" applyBorder="0" applyAlignment="0" applyProtection="0"/>
    <xf numFmtId="0" fontId="26" fillId="36" borderId="0" applyNumberFormat="0" applyBorder="0" applyAlignment="0" applyProtection="0"/>
    <xf numFmtId="168" fontId="26" fillId="36" borderId="0" applyNumberFormat="0" applyBorder="0" applyAlignment="0" applyProtection="0"/>
    <xf numFmtId="168" fontId="26" fillId="36" borderId="0" applyNumberFormat="0" applyBorder="0" applyAlignment="0" applyProtection="0"/>
    <xf numFmtId="168" fontId="27" fillId="14" borderId="0" applyNumberFormat="0" applyBorder="0" applyAlignment="0" applyProtection="0"/>
    <xf numFmtId="168" fontId="26" fillId="36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68" fontId="26" fillId="36" borderId="0" applyNumberFormat="0" applyBorder="0" applyAlignment="0" applyProtection="0"/>
    <xf numFmtId="168" fontId="26" fillId="36" borderId="0" applyNumberFormat="0" applyBorder="0" applyAlignment="0" applyProtection="0"/>
    <xf numFmtId="168" fontId="26" fillId="36" borderId="0" applyNumberFormat="0" applyBorder="0" applyAlignment="0" applyProtection="0"/>
    <xf numFmtId="168" fontId="26" fillId="36" borderId="0" applyNumberFormat="0" applyBorder="0" applyAlignment="0" applyProtection="0"/>
    <xf numFmtId="168" fontId="27" fillId="14" borderId="0" applyNumberFormat="0" applyBorder="0" applyAlignment="0" applyProtection="0"/>
    <xf numFmtId="0" fontId="3" fillId="14" borderId="0" applyNumberFormat="0" applyBorder="0" applyAlignment="0" applyProtection="0"/>
    <xf numFmtId="168" fontId="26" fillId="36" borderId="0" applyNumberFormat="0" applyBorder="0" applyAlignment="0" applyProtection="0"/>
    <xf numFmtId="168" fontId="26" fillId="36" borderId="0" applyNumberFormat="0" applyBorder="0" applyAlignment="0" applyProtection="0"/>
    <xf numFmtId="168" fontId="26" fillId="36" borderId="0" applyNumberFormat="0" applyBorder="0" applyAlignment="0" applyProtection="0"/>
    <xf numFmtId="168" fontId="27" fillId="14" borderId="0" applyNumberFormat="0" applyBorder="0" applyAlignment="0" applyProtection="0"/>
    <xf numFmtId="168" fontId="27" fillId="14" borderId="0" applyNumberFormat="0" applyBorder="0" applyAlignment="0" applyProtection="0"/>
    <xf numFmtId="168" fontId="27" fillId="14" borderId="0" applyNumberFormat="0" applyBorder="0" applyAlignment="0" applyProtection="0"/>
    <xf numFmtId="168" fontId="27" fillId="14" borderId="0" applyNumberFormat="0" applyBorder="0" applyAlignment="0" applyProtection="0"/>
    <xf numFmtId="168" fontId="27" fillId="14" borderId="0" applyNumberFormat="0" applyBorder="0" applyAlignment="0" applyProtection="0"/>
    <xf numFmtId="168" fontId="27" fillId="14" borderId="0" applyNumberFormat="0" applyBorder="0" applyAlignment="0" applyProtection="0"/>
    <xf numFmtId="168" fontId="27" fillId="14" borderId="0" applyNumberFormat="0" applyBorder="0" applyAlignment="0" applyProtection="0"/>
    <xf numFmtId="168" fontId="27" fillId="14" borderId="0" applyNumberFormat="0" applyBorder="0" applyAlignment="0" applyProtection="0"/>
    <xf numFmtId="168" fontId="27" fillId="14" borderId="0" applyNumberFormat="0" applyBorder="0" applyAlignment="0" applyProtection="0"/>
    <xf numFmtId="168" fontId="27" fillId="14" borderId="0" applyNumberFormat="0" applyBorder="0" applyAlignment="0" applyProtection="0"/>
    <xf numFmtId="168" fontId="27" fillId="14" borderId="0" applyNumberFormat="0" applyBorder="0" applyAlignment="0" applyProtection="0"/>
    <xf numFmtId="168" fontId="27" fillId="14" borderId="0" applyNumberFormat="0" applyBorder="0" applyAlignment="0" applyProtection="0"/>
    <xf numFmtId="168" fontId="27" fillId="14" borderId="0" applyNumberFormat="0" applyBorder="0" applyAlignment="0" applyProtection="0"/>
    <xf numFmtId="168" fontId="26" fillId="36" borderId="0" applyNumberFormat="0" applyBorder="0" applyAlignment="0" applyProtection="0"/>
    <xf numFmtId="168" fontId="27" fillId="14" borderId="0" applyNumberFormat="0" applyBorder="0" applyAlignment="0" applyProtection="0"/>
    <xf numFmtId="168" fontId="27" fillId="14" borderId="0" applyNumberFormat="0" applyBorder="0" applyAlignment="0" applyProtection="0"/>
    <xf numFmtId="168" fontId="27" fillId="14" borderId="0" applyNumberFormat="0" applyBorder="0" applyAlignment="0" applyProtection="0"/>
    <xf numFmtId="168" fontId="27" fillId="14" borderId="0" applyNumberFormat="0" applyBorder="0" applyAlignment="0" applyProtection="0"/>
    <xf numFmtId="168" fontId="27" fillId="14" borderId="0" applyNumberFormat="0" applyBorder="0" applyAlignment="0" applyProtection="0"/>
    <xf numFmtId="168" fontId="27" fillId="14" borderId="0" applyNumberFormat="0" applyBorder="0" applyAlignment="0" applyProtection="0"/>
    <xf numFmtId="0" fontId="26" fillId="36" borderId="0" applyNumberFormat="0" applyBorder="0" applyAlignment="0" applyProtection="0"/>
    <xf numFmtId="168" fontId="26" fillId="36" borderId="0" applyNumberFormat="0" applyBorder="0" applyAlignment="0" applyProtection="0"/>
    <xf numFmtId="168" fontId="26" fillId="35" borderId="0" applyNumberFormat="0" applyBorder="0" applyAlignment="0" applyProtection="0"/>
    <xf numFmtId="168" fontId="26" fillId="35" borderId="0" applyNumberFormat="0" applyBorder="0" applyAlignment="0" applyProtection="0"/>
    <xf numFmtId="168" fontId="26" fillId="35" borderId="0" applyNumberFormat="0" applyBorder="0" applyAlignment="0" applyProtection="0"/>
    <xf numFmtId="168" fontId="26" fillId="35" borderId="0" applyNumberFormat="0" applyBorder="0" applyAlignment="0" applyProtection="0"/>
    <xf numFmtId="168" fontId="26" fillId="35" borderId="0" applyNumberFormat="0" applyBorder="0" applyAlignment="0" applyProtection="0"/>
    <xf numFmtId="168" fontId="26" fillId="37" borderId="0" applyNumberFormat="0" applyBorder="0" applyAlignment="0" applyProtection="0"/>
    <xf numFmtId="168" fontId="26" fillId="37" borderId="0" applyNumberFormat="0" applyBorder="0" applyAlignment="0" applyProtection="0"/>
    <xf numFmtId="168" fontId="26" fillId="37" borderId="0" applyNumberFormat="0" applyBorder="0" applyAlignment="0" applyProtection="0"/>
    <xf numFmtId="168" fontId="26" fillId="37" borderId="0" applyNumberFormat="0" applyBorder="0" applyAlignment="0" applyProtection="0"/>
    <xf numFmtId="168" fontId="26" fillId="37" borderId="0" applyNumberFormat="0" applyBorder="0" applyAlignment="0" applyProtection="0"/>
    <xf numFmtId="168" fontId="3" fillId="18" borderId="0" applyNumberFormat="0" applyBorder="0" applyAlignment="0" applyProtection="0"/>
    <xf numFmtId="168" fontId="3" fillId="18" borderId="0" applyNumberFormat="0" applyBorder="0" applyAlignment="0" applyProtection="0"/>
    <xf numFmtId="168" fontId="3" fillId="18" borderId="0" applyNumberFormat="0" applyBorder="0" applyAlignment="0" applyProtection="0"/>
    <xf numFmtId="168" fontId="3" fillId="18" borderId="0" applyNumberFormat="0" applyBorder="0" applyAlignment="0" applyProtection="0"/>
    <xf numFmtId="168" fontId="3" fillId="18" borderId="0" applyNumberFormat="0" applyBorder="0" applyAlignment="0" applyProtection="0"/>
    <xf numFmtId="168" fontId="3" fillId="18" borderId="0" applyNumberFormat="0" applyBorder="0" applyAlignment="0" applyProtection="0"/>
    <xf numFmtId="168" fontId="3" fillId="18" borderId="0" applyNumberFormat="0" applyBorder="0" applyAlignment="0" applyProtection="0"/>
    <xf numFmtId="168" fontId="3" fillId="18" borderId="0" applyNumberFormat="0" applyBorder="0" applyAlignment="0" applyProtection="0"/>
    <xf numFmtId="168" fontId="3" fillId="18" borderId="0" applyNumberFormat="0" applyBorder="0" applyAlignment="0" applyProtection="0"/>
    <xf numFmtId="168" fontId="3" fillId="18" borderId="0" applyNumberFormat="0" applyBorder="0" applyAlignment="0" applyProtection="0"/>
    <xf numFmtId="168" fontId="3" fillId="18" borderId="0" applyNumberFormat="0" applyBorder="0" applyAlignment="0" applyProtection="0"/>
    <xf numFmtId="168" fontId="3" fillId="18" borderId="0" applyNumberFormat="0" applyBorder="0" applyAlignment="0" applyProtection="0"/>
    <xf numFmtId="168" fontId="3" fillId="18" borderId="0" applyNumberFormat="0" applyBorder="0" applyAlignment="0" applyProtection="0"/>
    <xf numFmtId="168" fontId="3" fillId="18" borderId="0" applyNumberFormat="0" applyBorder="0" applyAlignment="0" applyProtection="0"/>
    <xf numFmtId="168" fontId="3" fillId="18" borderId="0" applyNumberFormat="0" applyBorder="0" applyAlignment="0" applyProtection="0"/>
    <xf numFmtId="168" fontId="27" fillId="18" borderId="0" applyNumberFormat="0" applyBorder="0" applyAlignment="0" applyProtection="0"/>
    <xf numFmtId="168" fontId="27" fillId="18" borderId="0" applyNumberFormat="0" applyBorder="0" applyAlignment="0" applyProtection="0"/>
    <xf numFmtId="0" fontId="26" fillId="38" borderId="0" applyNumberFormat="0" applyBorder="0" applyAlignment="0" applyProtection="0"/>
    <xf numFmtId="168" fontId="26" fillId="38" borderId="0" applyNumberFormat="0" applyBorder="0" applyAlignment="0" applyProtection="0"/>
    <xf numFmtId="168" fontId="26" fillId="38" borderId="0" applyNumberFormat="0" applyBorder="0" applyAlignment="0" applyProtection="0"/>
    <xf numFmtId="168" fontId="27" fillId="18" borderId="0" applyNumberFormat="0" applyBorder="0" applyAlignment="0" applyProtection="0"/>
    <xf numFmtId="168" fontId="26" fillId="3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168" fontId="26" fillId="38" borderId="0" applyNumberFormat="0" applyBorder="0" applyAlignment="0" applyProtection="0"/>
    <xf numFmtId="168" fontId="26" fillId="38" borderId="0" applyNumberFormat="0" applyBorder="0" applyAlignment="0" applyProtection="0"/>
    <xf numFmtId="168" fontId="26" fillId="38" borderId="0" applyNumberFormat="0" applyBorder="0" applyAlignment="0" applyProtection="0"/>
    <xf numFmtId="168" fontId="26" fillId="38" borderId="0" applyNumberFormat="0" applyBorder="0" applyAlignment="0" applyProtection="0"/>
    <xf numFmtId="168" fontId="27" fillId="18" borderId="0" applyNumberFormat="0" applyBorder="0" applyAlignment="0" applyProtection="0"/>
    <xf numFmtId="0" fontId="3" fillId="18" borderId="0" applyNumberFormat="0" applyBorder="0" applyAlignment="0" applyProtection="0"/>
    <xf numFmtId="168" fontId="26" fillId="38" borderId="0" applyNumberFormat="0" applyBorder="0" applyAlignment="0" applyProtection="0"/>
    <xf numFmtId="168" fontId="26" fillId="38" borderId="0" applyNumberFormat="0" applyBorder="0" applyAlignment="0" applyProtection="0"/>
    <xf numFmtId="168" fontId="26" fillId="38" borderId="0" applyNumberFormat="0" applyBorder="0" applyAlignment="0" applyProtection="0"/>
    <xf numFmtId="168" fontId="27" fillId="18" borderId="0" applyNumberFormat="0" applyBorder="0" applyAlignment="0" applyProtection="0"/>
    <xf numFmtId="168" fontId="27" fillId="18" borderId="0" applyNumberFormat="0" applyBorder="0" applyAlignment="0" applyProtection="0"/>
    <xf numFmtId="168" fontId="27" fillId="18" borderId="0" applyNumberFormat="0" applyBorder="0" applyAlignment="0" applyProtection="0"/>
    <xf numFmtId="168" fontId="27" fillId="18" borderId="0" applyNumberFormat="0" applyBorder="0" applyAlignment="0" applyProtection="0"/>
    <xf numFmtId="168" fontId="27" fillId="18" borderId="0" applyNumberFormat="0" applyBorder="0" applyAlignment="0" applyProtection="0"/>
    <xf numFmtId="168" fontId="27" fillId="18" borderId="0" applyNumberFormat="0" applyBorder="0" applyAlignment="0" applyProtection="0"/>
    <xf numFmtId="168" fontId="27" fillId="18" borderId="0" applyNumberFormat="0" applyBorder="0" applyAlignment="0" applyProtection="0"/>
    <xf numFmtId="168" fontId="27" fillId="18" borderId="0" applyNumberFormat="0" applyBorder="0" applyAlignment="0" applyProtection="0"/>
    <xf numFmtId="168" fontId="27" fillId="18" borderId="0" applyNumberFormat="0" applyBorder="0" applyAlignment="0" applyProtection="0"/>
    <xf numFmtId="168" fontId="27" fillId="18" borderId="0" applyNumberFormat="0" applyBorder="0" applyAlignment="0" applyProtection="0"/>
    <xf numFmtId="168" fontId="27" fillId="18" borderId="0" applyNumberFormat="0" applyBorder="0" applyAlignment="0" applyProtection="0"/>
    <xf numFmtId="168" fontId="27" fillId="18" borderId="0" applyNumberFormat="0" applyBorder="0" applyAlignment="0" applyProtection="0"/>
    <xf numFmtId="168" fontId="27" fillId="18" borderId="0" applyNumberFormat="0" applyBorder="0" applyAlignment="0" applyProtection="0"/>
    <xf numFmtId="168" fontId="26" fillId="38" borderId="0" applyNumberFormat="0" applyBorder="0" applyAlignment="0" applyProtection="0"/>
    <xf numFmtId="168" fontId="27" fillId="18" borderId="0" applyNumberFormat="0" applyBorder="0" applyAlignment="0" applyProtection="0"/>
    <xf numFmtId="168" fontId="27" fillId="18" borderId="0" applyNumberFormat="0" applyBorder="0" applyAlignment="0" applyProtection="0"/>
    <xf numFmtId="168" fontId="27" fillId="18" borderId="0" applyNumberFormat="0" applyBorder="0" applyAlignment="0" applyProtection="0"/>
    <xf numFmtId="168" fontId="27" fillId="18" borderId="0" applyNumberFormat="0" applyBorder="0" applyAlignment="0" applyProtection="0"/>
    <xf numFmtId="168" fontId="27" fillId="18" borderId="0" applyNumberFormat="0" applyBorder="0" applyAlignment="0" applyProtection="0"/>
    <xf numFmtId="168" fontId="27" fillId="18" borderId="0" applyNumberFormat="0" applyBorder="0" applyAlignment="0" applyProtection="0"/>
    <xf numFmtId="0" fontId="26" fillId="38" borderId="0" applyNumberFormat="0" applyBorder="0" applyAlignment="0" applyProtection="0"/>
    <xf numFmtId="168" fontId="26" fillId="38" borderId="0" applyNumberFormat="0" applyBorder="0" applyAlignment="0" applyProtection="0"/>
    <xf numFmtId="168" fontId="26" fillId="37" borderId="0" applyNumberFormat="0" applyBorder="0" applyAlignment="0" applyProtection="0"/>
    <xf numFmtId="168" fontId="26" fillId="37" borderId="0" applyNumberFormat="0" applyBorder="0" applyAlignment="0" applyProtection="0"/>
    <xf numFmtId="168" fontId="26" fillId="37" borderId="0" applyNumberFormat="0" applyBorder="0" applyAlignment="0" applyProtection="0"/>
    <xf numFmtId="168" fontId="26" fillId="37" borderId="0" applyNumberFormat="0" applyBorder="0" applyAlignment="0" applyProtection="0"/>
    <xf numFmtId="168" fontId="26" fillId="37" borderId="0" applyNumberFormat="0" applyBorder="0" applyAlignment="0" applyProtection="0"/>
    <xf numFmtId="168" fontId="26" fillId="39" borderId="0" applyNumberFormat="0" applyBorder="0" applyAlignment="0" applyProtection="0"/>
    <xf numFmtId="168" fontId="26" fillId="39" borderId="0" applyNumberFormat="0" applyBorder="0" applyAlignment="0" applyProtection="0"/>
    <xf numFmtId="168" fontId="26" fillId="39" borderId="0" applyNumberFormat="0" applyBorder="0" applyAlignment="0" applyProtection="0"/>
    <xf numFmtId="168" fontId="26" fillId="39" borderId="0" applyNumberFormat="0" applyBorder="0" applyAlignment="0" applyProtection="0"/>
    <xf numFmtId="168" fontId="26" fillId="39" borderId="0" applyNumberFormat="0" applyBorder="0" applyAlignment="0" applyProtection="0"/>
    <xf numFmtId="168" fontId="3" fillId="22" borderId="0" applyNumberFormat="0" applyBorder="0" applyAlignment="0" applyProtection="0"/>
    <xf numFmtId="168" fontId="3" fillId="22" borderId="0" applyNumberFormat="0" applyBorder="0" applyAlignment="0" applyProtection="0"/>
    <xf numFmtId="168" fontId="3" fillId="22" borderId="0" applyNumberFormat="0" applyBorder="0" applyAlignment="0" applyProtection="0"/>
    <xf numFmtId="168" fontId="3" fillId="22" borderId="0" applyNumberFormat="0" applyBorder="0" applyAlignment="0" applyProtection="0"/>
    <xf numFmtId="168" fontId="3" fillId="22" borderId="0" applyNumberFormat="0" applyBorder="0" applyAlignment="0" applyProtection="0"/>
    <xf numFmtId="168" fontId="3" fillId="22" borderId="0" applyNumberFormat="0" applyBorder="0" applyAlignment="0" applyProtection="0"/>
    <xf numFmtId="168" fontId="3" fillId="22" borderId="0" applyNumberFormat="0" applyBorder="0" applyAlignment="0" applyProtection="0"/>
    <xf numFmtId="168" fontId="3" fillId="22" borderId="0" applyNumberFormat="0" applyBorder="0" applyAlignment="0" applyProtection="0"/>
    <xf numFmtId="168" fontId="3" fillId="22" borderId="0" applyNumberFormat="0" applyBorder="0" applyAlignment="0" applyProtection="0"/>
    <xf numFmtId="168" fontId="3" fillId="22" borderId="0" applyNumberFormat="0" applyBorder="0" applyAlignment="0" applyProtection="0"/>
    <xf numFmtId="168" fontId="3" fillId="22" borderId="0" applyNumberFormat="0" applyBorder="0" applyAlignment="0" applyProtection="0"/>
    <xf numFmtId="168" fontId="3" fillId="22" borderId="0" applyNumberFormat="0" applyBorder="0" applyAlignment="0" applyProtection="0"/>
    <xf numFmtId="168" fontId="3" fillId="22" borderId="0" applyNumberFormat="0" applyBorder="0" applyAlignment="0" applyProtection="0"/>
    <xf numFmtId="168" fontId="3" fillId="22" borderId="0" applyNumberFormat="0" applyBorder="0" applyAlignment="0" applyProtection="0"/>
    <xf numFmtId="168" fontId="3" fillId="22" borderId="0" applyNumberFormat="0" applyBorder="0" applyAlignment="0" applyProtection="0"/>
    <xf numFmtId="168" fontId="27" fillId="22" borderId="0" applyNumberFormat="0" applyBorder="0" applyAlignment="0" applyProtection="0"/>
    <xf numFmtId="168" fontId="27" fillId="22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168" fontId="26" fillId="40" borderId="0" applyNumberFormat="0" applyBorder="0" applyAlignment="0" applyProtection="0"/>
    <xf numFmtId="168" fontId="27" fillId="22" borderId="0" applyNumberFormat="0" applyBorder="0" applyAlignment="0" applyProtection="0"/>
    <xf numFmtId="168" fontId="26" fillId="40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8" fontId="26" fillId="40" borderId="0" applyNumberFormat="0" applyBorder="0" applyAlignment="0" applyProtection="0"/>
    <xf numFmtId="168" fontId="26" fillId="40" borderId="0" applyNumberFormat="0" applyBorder="0" applyAlignment="0" applyProtection="0"/>
    <xf numFmtId="168" fontId="26" fillId="40" borderId="0" applyNumberFormat="0" applyBorder="0" applyAlignment="0" applyProtection="0"/>
    <xf numFmtId="168" fontId="26" fillId="40" borderId="0" applyNumberFormat="0" applyBorder="0" applyAlignment="0" applyProtection="0"/>
    <xf numFmtId="168" fontId="27" fillId="22" borderId="0" applyNumberFormat="0" applyBorder="0" applyAlignment="0" applyProtection="0"/>
    <xf numFmtId="0" fontId="3" fillId="22" borderId="0" applyNumberFormat="0" applyBorder="0" applyAlignment="0" applyProtection="0"/>
    <xf numFmtId="168" fontId="26" fillId="40" borderId="0" applyNumberFormat="0" applyBorder="0" applyAlignment="0" applyProtection="0"/>
    <xf numFmtId="168" fontId="26" fillId="40" borderId="0" applyNumberFormat="0" applyBorder="0" applyAlignment="0" applyProtection="0"/>
    <xf numFmtId="168" fontId="26" fillId="40" borderId="0" applyNumberFormat="0" applyBorder="0" applyAlignment="0" applyProtection="0"/>
    <xf numFmtId="168" fontId="27" fillId="22" borderId="0" applyNumberFormat="0" applyBorder="0" applyAlignment="0" applyProtection="0"/>
    <xf numFmtId="168" fontId="27" fillId="22" borderId="0" applyNumberFormat="0" applyBorder="0" applyAlignment="0" applyProtection="0"/>
    <xf numFmtId="168" fontId="27" fillId="22" borderId="0" applyNumberFormat="0" applyBorder="0" applyAlignment="0" applyProtection="0"/>
    <xf numFmtId="168" fontId="27" fillId="22" borderId="0" applyNumberFormat="0" applyBorder="0" applyAlignment="0" applyProtection="0"/>
    <xf numFmtId="168" fontId="27" fillId="22" borderId="0" applyNumberFormat="0" applyBorder="0" applyAlignment="0" applyProtection="0"/>
    <xf numFmtId="168" fontId="27" fillId="22" borderId="0" applyNumberFormat="0" applyBorder="0" applyAlignment="0" applyProtection="0"/>
    <xf numFmtId="168" fontId="27" fillId="22" borderId="0" applyNumberFormat="0" applyBorder="0" applyAlignment="0" applyProtection="0"/>
    <xf numFmtId="168" fontId="27" fillId="22" borderId="0" applyNumberFormat="0" applyBorder="0" applyAlignment="0" applyProtection="0"/>
    <xf numFmtId="168" fontId="27" fillId="22" borderId="0" applyNumberFormat="0" applyBorder="0" applyAlignment="0" applyProtection="0"/>
    <xf numFmtId="168" fontId="27" fillId="22" borderId="0" applyNumberFormat="0" applyBorder="0" applyAlignment="0" applyProtection="0"/>
    <xf numFmtId="168" fontId="27" fillId="22" borderId="0" applyNumberFormat="0" applyBorder="0" applyAlignment="0" applyProtection="0"/>
    <xf numFmtId="168" fontId="27" fillId="22" borderId="0" applyNumberFormat="0" applyBorder="0" applyAlignment="0" applyProtection="0"/>
    <xf numFmtId="168" fontId="27" fillId="22" borderId="0" applyNumberFormat="0" applyBorder="0" applyAlignment="0" applyProtection="0"/>
    <xf numFmtId="168" fontId="26" fillId="40" borderId="0" applyNumberFormat="0" applyBorder="0" applyAlignment="0" applyProtection="0"/>
    <xf numFmtId="168" fontId="27" fillId="22" borderId="0" applyNumberFormat="0" applyBorder="0" applyAlignment="0" applyProtection="0"/>
    <xf numFmtId="168" fontId="27" fillId="22" borderId="0" applyNumberFormat="0" applyBorder="0" applyAlignment="0" applyProtection="0"/>
    <xf numFmtId="168" fontId="27" fillId="22" borderId="0" applyNumberFormat="0" applyBorder="0" applyAlignment="0" applyProtection="0"/>
    <xf numFmtId="168" fontId="27" fillId="22" borderId="0" applyNumberFormat="0" applyBorder="0" applyAlignment="0" applyProtection="0"/>
    <xf numFmtId="168" fontId="27" fillId="22" borderId="0" applyNumberFormat="0" applyBorder="0" applyAlignment="0" applyProtection="0"/>
    <xf numFmtId="168" fontId="27" fillId="22" borderId="0" applyNumberFormat="0" applyBorder="0" applyAlignment="0" applyProtection="0"/>
    <xf numFmtId="0" fontId="26" fillId="40" borderId="0" applyNumberFormat="0" applyBorder="0" applyAlignment="0" applyProtection="0"/>
    <xf numFmtId="168" fontId="26" fillId="40" borderId="0" applyNumberFormat="0" applyBorder="0" applyAlignment="0" applyProtection="0"/>
    <xf numFmtId="168" fontId="26" fillId="39" borderId="0" applyNumberFormat="0" applyBorder="0" applyAlignment="0" applyProtection="0"/>
    <xf numFmtId="168" fontId="26" fillId="39" borderId="0" applyNumberFormat="0" applyBorder="0" applyAlignment="0" applyProtection="0"/>
    <xf numFmtId="168" fontId="26" fillId="39" borderId="0" applyNumberFormat="0" applyBorder="0" applyAlignment="0" applyProtection="0"/>
    <xf numFmtId="168" fontId="26" fillId="39" borderId="0" applyNumberFormat="0" applyBorder="0" applyAlignment="0" applyProtection="0"/>
    <xf numFmtId="168" fontId="26" fillId="39" borderId="0" applyNumberFormat="0" applyBorder="0" applyAlignment="0" applyProtection="0"/>
    <xf numFmtId="168" fontId="26" fillId="41" borderId="0" applyNumberFormat="0" applyBorder="0" applyAlignment="0" applyProtection="0"/>
    <xf numFmtId="168" fontId="26" fillId="41" borderId="0" applyNumberFormat="0" applyBorder="0" applyAlignment="0" applyProtection="0"/>
    <xf numFmtId="168" fontId="26" fillId="41" borderId="0" applyNumberFormat="0" applyBorder="0" applyAlignment="0" applyProtection="0"/>
    <xf numFmtId="168" fontId="26" fillId="41" borderId="0" applyNumberFormat="0" applyBorder="0" applyAlignment="0" applyProtection="0"/>
    <xf numFmtId="168" fontId="26" fillId="41" borderId="0" applyNumberFormat="0" applyBorder="0" applyAlignment="0" applyProtection="0"/>
    <xf numFmtId="168" fontId="3" fillId="26" borderId="0" applyNumberFormat="0" applyBorder="0" applyAlignment="0" applyProtection="0"/>
    <xf numFmtId="168" fontId="3" fillId="26" borderId="0" applyNumberFormat="0" applyBorder="0" applyAlignment="0" applyProtection="0"/>
    <xf numFmtId="168" fontId="3" fillId="26" borderId="0" applyNumberFormat="0" applyBorder="0" applyAlignment="0" applyProtection="0"/>
    <xf numFmtId="168" fontId="3" fillId="26" borderId="0" applyNumberFormat="0" applyBorder="0" applyAlignment="0" applyProtection="0"/>
    <xf numFmtId="168" fontId="3" fillId="26" borderId="0" applyNumberFormat="0" applyBorder="0" applyAlignment="0" applyProtection="0"/>
    <xf numFmtId="168" fontId="3" fillId="26" borderId="0" applyNumberFormat="0" applyBorder="0" applyAlignment="0" applyProtection="0"/>
    <xf numFmtId="168" fontId="3" fillId="26" borderId="0" applyNumberFormat="0" applyBorder="0" applyAlignment="0" applyProtection="0"/>
    <xf numFmtId="168" fontId="3" fillId="26" borderId="0" applyNumberFormat="0" applyBorder="0" applyAlignment="0" applyProtection="0"/>
    <xf numFmtId="168" fontId="3" fillId="26" borderId="0" applyNumberFormat="0" applyBorder="0" applyAlignment="0" applyProtection="0"/>
    <xf numFmtId="168" fontId="3" fillId="26" borderId="0" applyNumberFormat="0" applyBorder="0" applyAlignment="0" applyProtection="0"/>
    <xf numFmtId="168" fontId="3" fillId="26" borderId="0" applyNumberFormat="0" applyBorder="0" applyAlignment="0" applyProtection="0"/>
    <xf numFmtId="168" fontId="3" fillId="26" borderId="0" applyNumberFormat="0" applyBorder="0" applyAlignment="0" applyProtection="0"/>
    <xf numFmtId="168" fontId="3" fillId="26" borderId="0" applyNumberFormat="0" applyBorder="0" applyAlignment="0" applyProtection="0"/>
    <xf numFmtId="168" fontId="3" fillId="26" borderId="0" applyNumberFormat="0" applyBorder="0" applyAlignment="0" applyProtection="0"/>
    <xf numFmtId="168" fontId="3" fillId="26" borderId="0" applyNumberFormat="0" applyBorder="0" applyAlignment="0" applyProtection="0"/>
    <xf numFmtId="168" fontId="27" fillId="26" borderId="0" applyNumberFormat="0" applyBorder="0" applyAlignment="0" applyProtection="0"/>
    <xf numFmtId="168" fontId="27" fillId="26" borderId="0" applyNumberFormat="0" applyBorder="0" applyAlignment="0" applyProtection="0"/>
    <xf numFmtId="0" fontId="26" fillId="41" borderId="0" applyNumberFormat="0" applyBorder="0" applyAlignment="0" applyProtection="0"/>
    <xf numFmtId="168" fontId="26" fillId="41" borderId="0" applyNumberFormat="0" applyBorder="0" applyAlignment="0" applyProtection="0"/>
    <xf numFmtId="168" fontId="26" fillId="41" borderId="0" applyNumberFormat="0" applyBorder="0" applyAlignment="0" applyProtection="0"/>
    <xf numFmtId="168" fontId="27" fillId="26" borderId="0" applyNumberFormat="0" applyBorder="0" applyAlignment="0" applyProtection="0"/>
    <xf numFmtId="168" fontId="26" fillId="41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68" fontId="26" fillId="41" borderId="0" applyNumberFormat="0" applyBorder="0" applyAlignment="0" applyProtection="0"/>
    <xf numFmtId="168" fontId="26" fillId="41" borderId="0" applyNumberFormat="0" applyBorder="0" applyAlignment="0" applyProtection="0"/>
    <xf numFmtId="168" fontId="26" fillId="41" borderId="0" applyNumberFormat="0" applyBorder="0" applyAlignment="0" applyProtection="0"/>
    <xf numFmtId="168" fontId="26" fillId="41" borderId="0" applyNumberFormat="0" applyBorder="0" applyAlignment="0" applyProtection="0"/>
    <xf numFmtId="168" fontId="27" fillId="26" borderId="0" applyNumberFormat="0" applyBorder="0" applyAlignment="0" applyProtection="0"/>
    <xf numFmtId="0" fontId="3" fillId="26" borderId="0" applyNumberFormat="0" applyBorder="0" applyAlignment="0" applyProtection="0"/>
    <xf numFmtId="168" fontId="26" fillId="41" borderId="0" applyNumberFormat="0" applyBorder="0" applyAlignment="0" applyProtection="0"/>
    <xf numFmtId="168" fontId="26" fillId="41" borderId="0" applyNumberFormat="0" applyBorder="0" applyAlignment="0" applyProtection="0"/>
    <xf numFmtId="168" fontId="26" fillId="41" borderId="0" applyNumberFormat="0" applyBorder="0" applyAlignment="0" applyProtection="0"/>
    <xf numFmtId="168" fontId="27" fillId="26" borderId="0" applyNumberFormat="0" applyBorder="0" applyAlignment="0" applyProtection="0"/>
    <xf numFmtId="168" fontId="27" fillId="26" borderId="0" applyNumberFormat="0" applyBorder="0" applyAlignment="0" applyProtection="0"/>
    <xf numFmtId="168" fontId="27" fillId="26" borderId="0" applyNumberFormat="0" applyBorder="0" applyAlignment="0" applyProtection="0"/>
    <xf numFmtId="168" fontId="27" fillId="26" borderId="0" applyNumberFormat="0" applyBorder="0" applyAlignment="0" applyProtection="0"/>
    <xf numFmtId="168" fontId="27" fillId="26" borderId="0" applyNumberFormat="0" applyBorder="0" applyAlignment="0" applyProtection="0"/>
    <xf numFmtId="168" fontId="27" fillId="26" borderId="0" applyNumberFormat="0" applyBorder="0" applyAlignment="0" applyProtection="0"/>
    <xf numFmtId="168" fontId="27" fillId="26" borderId="0" applyNumberFormat="0" applyBorder="0" applyAlignment="0" applyProtection="0"/>
    <xf numFmtId="168" fontId="27" fillId="26" borderId="0" applyNumberFormat="0" applyBorder="0" applyAlignment="0" applyProtection="0"/>
    <xf numFmtId="168" fontId="27" fillId="26" borderId="0" applyNumberFormat="0" applyBorder="0" applyAlignment="0" applyProtection="0"/>
    <xf numFmtId="168" fontId="27" fillId="26" borderId="0" applyNumberFormat="0" applyBorder="0" applyAlignment="0" applyProtection="0"/>
    <xf numFmtId="168" fontId="27" fillId="26" borderId="0" applyNumberFormat="0" applyBorder="0" applyAlignment="0" applyProtection="0"/>
    <xf numFmtId="168" fontId="27" fillId="26" borderId="0" applyNumberFormat="0" applyBorder="0" applyAlignment="0" applyProtection="0"/>
    <xf numFmtId="168" fontId="27" fillId="26" borderId="0" applyNumberFormat="0" applyBorder="0" applyAlignment="0" applyProtection="0"/>
    <xf numFmtId="168" fontId="26" fillId="41" borderId="0" applyNumberFormat="0" applyBorder="0" applyAlignment="0" applyProtection="0"/>
    <xf numFmtId="168" fontId="27" fillId="26" borderId="0" applyNumberFormat="0" applyBorder="0" applyAlignment="0" applyProtection="0"/>
    <xf numFmtId="168" fontId="27" fillId="26" borderId="0" applyNumberFormat="0" applyBorder="0" applyAlignment="0" applyProtection="0"/>
    <xf numFmtId="168" fontId="27" fillId="26" borderId="0" applyNumberFormat="0" applyBorder="0" applyAlignment="0" applyProtection="0"/>
    <xf numFmtId="168" fontId="27" fillId="26" borderId="0" applyNumberFormat="0" applyBorder="0" applyAlignment="0" applyProtection="0"/>
    <xf numFmtId="168" fontId="27" fillId="26" borderId="0" applyNumberFormat="0" applyBorder="0" applyAlignment="0" applyProtection="0"/>
    <xf numFmtId="168" fontId="27" fillId="26" borderId="0" applyNumberFormat="0" applyBorder="0" applyAlignment="0" applyProtection="0"/>
    <xf numFmtId="0" fontId="26" fillId="41" borderId="0" applyNumberFormat="0" applyBorder="0" applyAlignment="0" applyProtection="0"/>
    <xf numFmtId="168" fontId="26" fillId="41" borderId="0" applyNumberFormat="0" applyBorder="0" applyAlignment="0" applyProtection="0"/>
    <xf numFmtId="168" fontId="26" fillId="41" borderId="0" applyNumberFormat="0" applyBorder="0" applyAlignment="0" applyProtection="0"/>
    <xf numFmtId="168" fontId="26" fillId="41" borderId="0" applyNumberFormat="0" applyBorder="0" applyAlignment="0" applyProtection="0"/>
    <xf numFmtId="168" fontId="26" fillId="41" borderId="0" applyNumberFormat="0" applyBorder="0" applyAlignment="0" applyProtection="0"/>
    <xf numFmtId="168" fontId="26" fillId="41" borderId="0" applyNumberFormat="0" applyBorder="0" applyAlignment="0" applyProtection="0"/>
    <xf numFmtId="168" fontId="26" fillId="41" borderId="0" applyNumberFormat="0" applyBorder="0" applyAlignment="0" applyProtection="0"/>
    <xf numFmtId="168" fontId="26" fillId="40" borderId="0" applyNumberFormat="0" applyBorder="0" applyAlignment="0" applyProtection="0"/>
    <xf numFmtId="168" fontId="26" fillId="40" borderId="0" applyNumberFormat="0" applyBorder="0" applyAlignment="0" applyProtection="0"/>
    <xf numFmtId="168" fontId="26" fillId="40" borderId="0" applyNumberFormat="0" applyBorder="0" applyAlignment="0" applyProtection="0"/>
    <xf numFmtId="168" fontId="26" fillId="40" borderId="0" applyNumberFormat="0" applyBorder="0" applyAlignment="0" applyProtection="0"/>
    <xf numFmtId="168" fontId="26" fillId="40" borderId="0" applyNumberFormat="0" applyBorder="0" applyAlignment="0" applyProtection="0"/>
    <xf numFmtId="168" fontId="3" fillId="30" borderId="0" applyNumberFormat="0" applyBorder="0" applyAlignment="0" applyProtection="0"/>
    <xf numFmtId="168" fontId="3" fillId="30" borderId="0" applyNumberFormat="0" applyBorder="0" applyAlignment="0" applyProtection="0"/>
    <xf numFmtId="168" fontId="3" fillId="30" borderId="0" applyNumberFormat="0" applyBorder="0" applyAlignment="0" applyProtection="0"/>
    <xf numFmtId="168" fontId="3" fillId="30" borderId="0" applyNumberFormat="0" applyBorder="0" applyAlignment="0" applyProtection="0"/>
    <xf numFmtId="168" fontId="3" fillId="30" borderId="0" applyNumberFormat="0" applyBorder="0" applyAlignment="0" applyProtection="0"/>
    <xf numFmtId="168" fontId="3" fillId="30" borderId="0" applyNumberFormat="0" applyBorder="0" applyAlignment="0" applyProtection="0"/>
    <xf numFmtId="168" fontId="3" fillId="30" borderId="0" applyNumberFormat="0" applyBorder="0" applyAlignment="0" applyProtection="0"/>
    <xf numFmtId="168" fontId="3" fillId="30" borderId="0" applyNumberFormat="0" applyBorder="0" applyAlignment="0" applyProtection="0"/>
    <xf numFmtId="168" fontId="3" fillId="30" borderId="0" applyNumberFormat="0" applyBorder="0" applyAlignment="0" applyProtection="0"/>
    <xf numFmtId="168" fontId="3" fillId="30" borderId="0" applyNumberFormat="0" applyBorder="0" applyAlignment="0" applyProtection="0"/>
    <xf numFmtId="168" fontId="3" fillId="30" borderId="0" applyNumberFormat="0" applyBorder="0" applyAlignment="0" applyProtection="0"/>
    <xf numFmtId="168" fontId="3" fillId="30" borderId="0" applyNumberFormat="0" applyBorder="0" applyAlignment="0" applyProtection="0"/>
    <xf numFmtId="168" fontId="3" fillId="30" borderId="0" applyNumberFormat="0" applyBorder="0" applyAlignment="0" applyProtection="0"/>
    <xf numFmtId="168" fontId="3" fillId="30" borderId="0" applyNumberFormat="0" applyBorder="0" applyAlignment="0" applyProtection="0"/>
    <xf numFmtId="168" fontId="3" fillId="30" borderId="0" applyNumberFormat="0" applyBorder="0" applyAlignment="0" applyProtection="0"/>
    <xf numFmtId="168" fontId="27" fillId="30" borderId="0" applyNumberFormat="0" applyBorder="0" applyAlignment="0" applyProtection="0"/>
    <xf numFmtId="168" fontId="27" fillId="30" borderId="0" applyNumberFormat="0" applyBorder="0" applyAlignment="0" applyProtection="0"/>
    <xf numFmtId="0" fontId="26" fillId="38" borderId="0" applyNumberFormat="0" applyBorder="0" applyAlignment="0" applyProtection="0"/>
    <xf numFmtId="168" fontId="26" fillId="38" borderId="0" applyNumberFormat="0" applyBorder="0" applyAlignment="0" applyProtection="0"/>
    <xf numFmtId="168" fontId="26" fillId="38" borderId="0" applyNumberFormat="0" applyBorder="0" applyAlignment="0" applyProtection="0"/>
    <xf numFmtId="168" fontId="27" fillId="30" borderId="0" applyNumberFormat="0" applyBorder="0" applyAlignment="0" applyProtection="0"/>
    <xf numFmtId="168" fontId="26" fillId="3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8" fontId="26" fillId="38" borderId="0" applyNumberFormat="0" applyBorder="0" applyAlignment="0" applyProtection="0"/>
    <xf numFmtId="168" fontId="26" fillId="38" borderId="0" applyNumberFormat="0" applyBorder="0" applyAlignment="0" applyProtection="0"/>
    <xf numFmtId="168" fontId="26" fillId="38" borderId="0" applyNumberFormat="0" applyBorder="0" applyAlignment="0" applyProtection="0"/>
    <xf numFmtId="168" fontId="26" fillId="38" borderId="0" applyNumberFormat="0" applyBorder="0" applyAlignment="0" applyProtection="0"/>
    <xf numFmtId="168" fontId="27" fillId="30" borderId="0" applyNumberFormat="0" applyBorder="0" applyAlignment="0" applyProtection="0"/>
    <xf numFmtId="0" fontId="3" fillId="30" borderId="0" applyNumberFormat="0" applyBorder="0" applyAlignment="0" applyProtection="0"/>
    <xf numFmtId="168" fontId="26" fillId="38" borderId="0" applyNumberFormat="0" applyBorder="0" applyAlignment="0" applyProtection="0"/>
    <xf numFmtId="168" fontId="26" fillId="38" borderId="0" applyNumberFormat="0" applyBorder="0" applyAlignment="0" applyProtection="0"/>
    <xf numFmtId="168" fontId="26" fillId="38" borderId="0" applyNumberFormat="0" applyBorder="0" applyAlignment="0" applyProtection="0"/>
    <xf numFmtId="168" fontId="27" fillId="30" borderId="0" applyNumberFormat="0" applyBorder="0" applyAlignment="0" applyProtection="0"/>
    <xf numFmtId="168" fontId="27" fillId="30" borderId="0" applyNumberFormat="0" applyBorder="0" applyAlignment="0" applyProtection="0"/>
    <xf numFmtId="168" fontId="27" fillId="30" borderId="0" applyNumberFormat="0" applyBorder="0" applyAlignment="0" applyProtection="0"/>
    <xf numFmtId="168" fontId="27" fillId="30" borderId="0" applyNumberFormat="0" applyBorder="0" applyAlignment="0" applyProtection="0"/>
    <xf numFmtId="168" fontId="27" fillId="30" borderId="0" applyNumberFormat="0" applyBorder="0" applyAlignment="0" applyProtection="0"/>
    <xf numFmtId="168" fontId="27" fillId="30" borderId="0" applyNumberFormat="0" applyBorder="0" applyAlignment="0" applyProtection="0"/>
    <xf numFmtId="168" fontId="27" fillId="30" borderId="0" applyNumberFormat="0" applyBorder="0" applyAlignment="0" applyProtection="0"/>
    <xf numFmtId="168" fontId="27" fillId="30" borderId="0" applyNumberFormat="0" applyBorder="0" applyAlignment="0" applyProtection="0"/>
    <xf numFmtId="168" fontId="27" fillId="30" borderId="0" applyNumberFormat="0" applyBorder="0" applyAlignment="0" applyProtection="0"/>
    <xf numFmtId="168" fontId="27" fillId="30" borderId="0" applyNumberFormat="0" applyBorder="0" applyAlignment="0" applyProtection="0"/>
    <xf numFmtId="168" fontId="27" fillId="30" borderId="0" applyNumberFormat="0" applyBorder="0" applyAlignment="0" applyProtection="0"/>
    <xf numFmtId="168" fontId="27" fillId="30" borderId="0" applyNumberFormat="0" applyBorder="0" applyAlignment="0" applyProtection="0"/>
    <xf numFmtId="168" fontId="27" fillId="30" borderId="0" applyNumberFormat="0" applyBorder="0" applyAlignment="0" applyProtection="0"/>
    <xf numFmtId="168" fontId="26" fillId="38" borderId="0" applyNumberFormat="0" applyBorder="0" applyAlignment="0" applyProtection="0"/>
    <xf numFmtId="168" fontId="27" fillId="30" borderId="0" applyNumberFormat="0" applyBorder="0" applyAlignment="0" applyProtection="0"/>
    <xf numFmtId="168" fontId="27" fillId="30" borderId="0" applyNumberFormat="0" applyBorder="0" applyAlignment="0" applyProtection="0"/>
    <xf numFmtId="168" fontId="27" fillId="30" borderId="0" applyNumberFormat="0" applyBorder="0" applyAlignment="0" applyProtection="0"/>
    <xf numFmtId="168" fontId="27" fillId="30" borderId="0" applyNumberFormat="0" applyBorder="0" applyAlignment="0" applyProtection="0"/>
    <xf numFmtId="168" fontId="27" fillId="30" borderId="0" applyNumberFormat="0" applyBorder="0" applyAlignment="0" applyProtection="0"/>
    <xf numFmtId="168" fontId="27" fillId="30" borderId="0" applyNumberFormat="0" applyBorder="0" applyAlignment="0" applyProtection="0"/>
    <xf numFmtId="0" fontId="26" fillId="38" borderId="0" applyNumberFormat="0" applyBorder="0" applyAlignment="0" applyProtection="0"/>
    <xf numFmtId="168" fontId="26" fillId="38" borderId="0" applyNumberFormat="0" applyBorder="0" applyAlignment="0" applyProtection="0"/>
    <xf numFmtId="168" fontId="26" fillId="40" borderId="0" applyNumberFormat="0" applyBorder="0" applyAlignment="0" applyProtection="0"/>
    <xf numFmtId="168" fontId="26" fillId="40" borderId="0" applyNumberFormat="0" applyBorder="0" applyAlignment="0" applyProtection="0"/>
    <xf numFmtId="168" fontId="26" fillId="40" borderId="0" applyNumberFormat="0" applyBorder="0" applyAlignment="0" applyProtection="0"/>
    <xf numFmtId="168" fontId="26" fillId="40" borderId="0" applyNumberFormat="0" applyBorder="0" applyAlignment="0" applyProtection="0"/>
    <xf numFmtId="168" fontId="26" fillId="40" borderId="0" applyNumberFormat="0" applyBorder="0" applyAlignment="0" applyProtection="0"/>
    <xf numFmtId="168" fontId="26" fillId="34" borderId="0" applyNumberFormat="0" applyBorder="0" applyAlignment="0" applyProtection="0"/>
    <xf numFmtId="168" fontId="26" fillId="34" borderId="0" applyNumberFormat="0" applyBorder="0" applyAlignment="0" applyProtection="0"/>
    <xf numFmtId="168" fontId="26" fillId="34" borderId="0" applyNumberFormat="0" applyBorder="0" applyAlignment="0" applyProtection="0"/>
    <xf numFmtId="168" fontId="26" fillId="34" borderId="0" applyNumberFormat="0" applyBorder="0" applyAlignment="0" applyProtection="0"/>
    <xf numFmtId="168" fontId="26" fillId="34" borderId="0" applyNumberFormat="0" applyBorder="0" applyAlignment="0" applyProtection="0"/>
    <xf numFmtId="168" fontId="3" fillId="11" borderId="0" applyNumberFormat="0" applyBorder="0" applyAlignment="0" applyProtection="0"/>
    <xf numFmtId="168" fontId="3" fillId="11" borderId="0" applyNumberFormat="0" applyBorder="0" applyAlignment="0" applyProtection="0"/>
    <xf numFmtId="168" fontId="3" fillId="11" borderId="0" applyNumberFormat="0" applyBorder="0" applyAlignment="0" applyProtection="0"/>
    <xf numFmtId="168" fontId="3" fillId="11" borderId="0" applyNumberFormat="0" applyBorder="0" applyAlignment="0" applyProtection="0"/>
    <xf numFmtId="168" fontId="3" fillId="11" borderId="0" applyNumberFormat="0" applyBorder="0" applyAlignment="0" applyProtection="0"/>
    <xf numFmtId="168" fontId="3" fillId="11" borderId="0" applyNumberFormat="0" applyBorder="0" applyAlignment="0" applyProtection="0"/>
    <xf numFmtId="168" fontId="3" fillId="11" borderId="0" applyNumberFormat="0" applyBorder="0" applyAlignment="0" applyProtection="0"/>
    <xf numFmtId="168" fontId="3" fillId="11" borderId="0" applyNumberFormat="0" applyBorder="0" applyAlignment="0" applyProtection="0"/>
    <xf numFmtId="168" fontId="3" fillId="11" borderId="0" applyNumberFormat="0" applyBorder="0" applyAlignment="0" applyProtection="0"/>
    <xf numFmtId="168" fontId="3" fillId="11" borderId="0" applyNumberFormat="0" applyBorder="0" applyAlignment="0" applyProtection="0"/>
    <xf numFmtId="168" fontId="3" fillId="11" borderId="0" applyNumberFormat="0" applyBorder="0" applyAlignment="0" applyProtection="0"/>
    <xf numFmtId="168" fontId="3" fillId="11" borderId="0" applyNumberFormat="0" applyBorder="0" applyAlignment="0" applyProtection="0"/>
    <xf numFmtId="168" fontId="3" fillId="11" borderId="0" applyNumberFormat="0" applyBorder="0" applyAlignment="0" applyProtection="0"/>
    <xf numFmtId="168" fontId="3" fillId="11" borderId="0" applyNumberFormat="0" applyBorder="0" applyAlignment="0" applyProtection="0"/>
    <xf numFmtId="168" fontId="3" fillId="11" borderId="0" applyNumberFormat="0" applyBorder="0" applyAlignment="0" applyProtection="0"/>
    <xf numFmtId="168" fontId="27" fillId="11" borderId="0" applyNumberFormat="0" applyBorder="0" applyAlignment="0" applyProtection="0"/>
    <xf numFmtId="168" fontId="27" fillId="11" borderId="0" applyNumberFormat="0" applyBorder="0" applyAlignment="0" applyProtection="0"/>
    <xf numFmtId="0" fontId="26" fillId="41" borderId="0" applyNumberFormat="0" applyBorder="0" applyAlignment="0" applyProtection="0"/>
    <xf numFmtId="168" fontId="26" fillId="41" borderId="0" applyNumberFormat="0" applyBorder="0" applyAlignment="0" applyProtection="0"/>
    <xf numFmtId="168" fontId="26" fillId="41" borderId="0" applyNumberFormat="0" applyBorder="0" applyAlignment="0" applyProtection="0"/>
    <xf numFmtId="168" fontId="27" fillId="11" borderId="0" applyNumberFormat="0" applyBorder="0" applyAlignment="0" applyProtection="0"/>
    <xf numFmtId="168" fontId="26" fillId="4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168" fontId="26" fillId="41" borderId="0" applyNumberFormat="0" applyBorder="0" applyAlignment="0" applyProtection="0"/>
    <xf numFmtId="168" fontId="26" fillId="41" borderId="0" applyNumberFormat="0" applyBorder="0" applyAlignment="0" applyProtection="0"/>
    <xf numFmtId="168" fontId="26" fillId="41" borderId="0" applyNumberFormat="0" applyBorder="0" applyAlignment="0" applyProtection="0"/>
    <xf numFmtId="168" fontId="26" fillId="41" borderId="0" applyNumberFormat="0" applyBorder="0" applyAlignment="0" applyProtection="0"/>
    <xf numFmtId="168" fontId="27" fillId="11" borderId="0" applyNumberFormat="0" applyBorder="0" applyAlignment="0" applyProtection="0"/>
    <xf numFmtId="0" fontId="3" fillId="11" borderId="0" applyNumberFormat="0" applyBorder="0" applyAlignment="0" applyProtection="0"/>
    <xf numFmtId="168" fontId="26" fillId="41" borderId="0" applyNumberFormat="0" applyBorder="0" applyAlignment="0" applyProtection="0"/>
    <xf numFmtId="168" fontId="26" fillId="41" borderId="0" applyNumberFormat="0" applyBorder="0" applyAlignment="0" applyProtection="0"/>
    <xf numFmtId="168" fontId="26" fillId="41" borderId="0" applyNumberFormat="0" applyBorder="0" applyAlignment="0" applyProtection="0"/>
    <xf numFmtId="168" fontId="27" fillId="11" borderId="0" applyNumberFormat="0" applyBorder="0" applyAlignment="0" applyProtection="0"/>
    <xf numFmtId="168" fontId="27" fillId="11" borderId="0" applyNumberFormat="0" applyBorder="0" applyAlignment="0" applyProtection="0"/>
    <xf numFmtId="168" fontId="27" fillId="11" borderId="0" applyNumberFormat="0" applyBorder="0" applyAlignment="0" applyProtection="0"/>
    <xf numFmtId="168" fontId="27" fillId="11" borderId="0" applyNumberFormat="0" applyBorder="0" applyAlignment="0" applyProtection="0"/>
    <xf numFmtId="168" fontId="27" fillId="11" borderId="0" applyNumberFormat="0" applyBorder="0" applyAlignment="0" applyProtection="0"/>
    <xf numFmtId="168" fontId="27" fillId="11" borderId="0" applyNumberFormat="0" applyBorder="0" applyAlignment="0" applyProtection="0"/>
    <xf numFmtId="168" fontId="27" fillId="11" borderId="0" applyNumberFormat="0" applyBorder="0" applyAlignment="0" applyProtection="0"/>
    <xf numFmtId="168" fontId="27" fillId="11" borderId="0" applyNumberFormat="0" applyBorder="0" applyAlignment="0" applyProtection="0"/>
    <xf numFmtId="168" fontId="27" fillId="11" borderId="0" applyNumberFormat="0" applyBorder="0" applyAlignment="0" applyProtection="0"/>
    <xf numFmtId="168" fontId="27" fillId="11" borderId="0" applyNumberFormat="0" applyBorder="0" applyAlignment="0" applyProtection="0"/>
    <xf numFmtId="168" fontId="27" fillId="11" borderId="0" applyNumberFormat="0" applyBorder="0" applyAlignment="0" applyProtection="0"/>
    <xf numFmtId="168" fontId="27" fillId="11" borderId="0" applyNumberFormat="0" applyBorder="0" applyAlignment="0" applyProtection="0"/>
    <xf numFmtId="168" fontId="27" fillId="11" borderId="0" applyNumberFormat="0" applyBorder="0" applyAlignment="0" applyProtection="0"/>
    <xf numFmtId="168" fontId="26" fillId="41" borderId="0" applyNumberFormat="0" applyBorder="0" applyAlignment="0" applyProtection="0"/>
    <xf numFmtId="168" fontId="27" fillId="11" borderId="0" applyNumberFormat="0" applyBorder="0" applyAlignment="0" applyProtection="0"/>
    <xf numFmtId="168" fontId="27" fillId="11" borderId="0" applyNumberFormat="0" applyBorder="0" applyAlignment="0" applyProtection="0"/>
    <xf numFmtId="168" fontId="27" fillId="11" borderId="0" applyNumberFormat="0" applyBorder="0" applyAlignment="0" applyProtection="0"/>
    <xf numFmtId="168" fontId="27" fillId="11" borderId="0" applyNumberFormat="0" applyBorder="0" applyAlignment="0" applyProtection="0"/>
    <xf numFmtId="168" fontId="27" fillId="11" borderId="0" applyNumberFormat="0" applyBorder="0" applyAlignment="0" applyProtection="0"/>
    <xf numFmtId="168" fontId="27" fillId="11" borderId="0" applyNumberFormat="0" applyBorder="0" applyAlignment="0" applyProtection="0"/>
    <xf numFmtId="0" fontId="26" fillId="41" borderId="0" applyNumberFormat="0" applyBorder="0" applyAlignment="0" applyProtection="0"/>
    <xf numFmtId="168" fontId="26" fillId="41" borderId="0" applyNumberFormat="0" applyBorder="0" applyAlignment="0" applyProtection="0"/>
    <xf numFmtId="168" fontId="26" fillId="34" borderId="0" applyNumberFormat="0" applyBorder="0" applyAlignment="0" applyProtection="0"/>
    <xf numFmtId="168" fontId="26" fillId="34" borderId="0" applyNumberFormat="0" applyBorder="0" applyAlignment="0" applyProtection="0"/>
    <xf numFmtId="168" fontId="26" fillId="34" borderId="0" applyNumberFormat="0" applyBorder="0" applyAlignment="0" applyProtection="0"/>
    <xf numFmtId="168" fontId="26" fillId="34" borderId="0" applyNumberFormat="0" applyBorder="0" applyAlignment="0" applyProtection="0"/>
    <xf numFmtId="168" fontId="26" fillId="34" borderId="0" applyNumberFormat="0" applyBorder="0" applyAlignment="0" applyProtection="0"/>
    <xf numFmtId="168" fontId="26" fillId="36" borderId="0" applyNumberFormat="0" applyBorder="0" applyAlignment="0" applyProtection="0"/>
    <xf numFmtId="168" fontId="26" fillId="36" borderId="0" applyNumberFormat="0" applyBorder="0" applyAlignment="0" applyProtection="0"/>
    <xf numFmtId="168" fontId="26" fillId="36" borderId="0" applyNumberFormat="0" applyBorder="0" applyAlignment="0" applyProtection="0"/>
    <xf numFmtId="168" fontId="26" fillId="36" borderId="0" applyNumberFormat="0" applyBorder="0" applyAlignment="0" applyProtection="0"/>
    <xf numFmtId="168" fontId="26" fillId="36" borderId="0" applyNumberFormat="0" applyBorder="0" applyAlignment="0" applyProtection="0"/>
    <xf numFmtId="168" fontId="3" fillId="15" borderId="0" applyNumberFormat="0" applyBorder="0" applyAlignment="0" applyProtection="0"/>
    <xf numFmtId="168" fontId="3" fillId="15" borderId="0" applyNumberFormat="0" applyBorder="0" applyAlignment="0" applyProtection="0"/>
    <xf numFmtId="168" fontId="3" fillId="15" borderId="0" applyNumberFormat="0" applyBorder="0" applyAlignment="0" applyProtection="0"/>
    <xf numFmtId="168" fontId="3" fillId="15" borderId="0" applyNumberFormat="0" applyBorder="0" applyAlignment="0" applyProtection="0"/>
    <xf numFmtId="168" fontId="3" fillId="15" borderId="0" applyNumberFormat="0" applyBorder="0" applyAlignment="0" applyProtection="0"/>
    <xf numFmtId="168" fontId="3" fillId="15" borderId="0" applyNumberFormat="0" applyBorder="0" applyAlignment="0" applyProtection="0"/>
    <xf numFmtId="168" fontId="3" fillId="15" borderId="0" applyNumberFormat="0" applyBorder="0" applyAlignment="0" applyProtection="0"/>
    <xf numFmtId="168" fontId="3" fillId="15" borderId="0" applyNumberFormat="0" applyBorder="0" applyAlignment="0" applyProtection="0"/>
    <xf numFmtId="168" fontId="3" fillId="15" borderId="0" applyNumberFormat="0" applyBorder="0" applyAlignment="0" applyProtection="0"/>
    <xf numFmtId="168" fontId="3" fillId="15" borderId="0" applyNumberFormat="0" applyBorder="0" applyAlignment="0" applyProtection="0"/>
    <xf numFmtId="168" fontId="3" fillId="15" borderId="0" applyNumberFormat="0" applyBorder="0" applyAlignment="0" applyProtection="0"/>
    <xf numFmtId="168" fontId="3" fillId="15" borderId="0" applyNumberFormat="0" applyBorder="0" applyAlignment="0" applyProtection="0"/>
    <xf numFmtId="168" fontId="3" fillId="15" borderId="0" applyNumberFormat="0" applyBorder="0" applyAlignment="0" applyProtection="0"/>
    <xf numFmtId="168" fontId="3" fillId="15" borderId="0" applyNumberFormat="0" applyBorder="0" applyAlignment="0" applyProtection="0"/>
    <xf numFmtId="168" fontId="3" fillId="15" borderId="0" applyNumberFormat="0" applyBorder="0" applyAlignment="0" applyProtection="0"/>
    <xf numFmtId="168" fontId="27" fillId="15" borderId="0" applyNumberFormat="0" applyBorder="0" applyAlignment="0" applyProtection="0"/>
    <xf numFmtId="168" fontId="27" fillId="15" borderId="0" applyNumberFormat="0" applyBorder="0" applyAlignment="0" applyProtection="0"/>
    <xf numFmtId="0" fontId="26" fillId="36" borderId="0" applyNumberFormat="0" applyBorder="0" applyAlignment="0" applyProtection="0"/>
    <xf numFmtId="168" fontId="26" fillId="36" borderId="0" applyNumberFormat="0" applyBorder="0" applyAlignment="0" applyProtection="0"/>
    <xf numFmtId="168" fontId="26" fillId="36" borderId="0" applyNumberFormat="0" applyBorder="0" applyAlignment="0" applyProtection="0"/>
    <xf numFmtId="168" fontId="27" fillId="15" borderId="0" applyNumberFormat="0" applyBorder="0" applyAlignment="0" applyProtection="0"/>
    <xf numFmtId="168" fontId="26" fillId="36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168" fontId="26" fillId="36" borderId="0" applyNumberFormat="0" applyBorder="0" applyAlignment="0" applyProtection="0"/>
    <xf numFmtId="168" fontId="26" fillId="36" borderId="0" applyNumberFormat="0" applyBorder="0" applyAlignment="0" applyProtection="0"/>
    <xf numFmtId="168" fontId="26" fillId="36" borderId="0" applyNumberFormat="0" applyBorder="0" applyAlignment="0" applyProtection="0"/>
    <xf numFmtId="168" fontId="26" fillId="36" borderId="0" applyNumberFormat="0" applyBorder="0" applyAlignment="0" applyProtection="0"/>
    <xf numFmtId="168" fontId="27" fillId="15" borderId="0" applyNumberFormat="0" applyBorder="0" applyAlignment="0" applyProtection="0"/>
    <xf numFmtId="0" fontId="3" fillId="15" borderId="0" applyNumberFormat="0" applyBorder="0" applyAlignment="0" applyProtection="0"/>
    <xf numFmtId="168" fontId="26" fillId="36" borderId="0" applyNumberFormat="0" applyBorder="0" applyAlignment="0" applyProtection="0"/>
    <xf numFmtId="168" fontId="26" fillId="36" borderId="0" applyNumberFormat="0" applyBorder="0" applyAlignment="0" applyProtection="0"/>
    <xf numFmtId="168" fontId="26" fillId="36" borderId="0" applyNumberFormat="0" applyBorder="0" applyAlignment="0" applyProtection="0"/>
    <xf numFmtId="168" fontId="27" fillId="15" borderId="0" applyNumberFormat="0" applyBorder="0" applyAlignment="0" applyProtection="0"/>
    <xf numFmtId="168" fontId="27" fillId="15" borderId="0" applyNumberFormat="0" applyBorder="0" applyAlignment="0" applyProtection="0"/>
    <xf numFmtId="168" fontId="27" fillId="15" borderId="0" applyNumberFormat="0" applyBorder="0" applyAlignment="0" applyProtection="0"/>
    <xf numFmtId="168" fontId="27" fillId="15" borderId="0" applyNumberFormat="0" applyBorder="0" applyAlignment="0" applyProtection="0"/>
    <xf numFmtId="168" fontId="27" fillId="15" borderId="0" applyNumberFormat="0" applyBorder="0" applyAlignment="0" applyProtection="0"/>
    <xf numFmtId="168" fontId="27" fillId="15" borderId="0" applyNumberFormat="0" applyBorder="0" applyAlignment="0" applyProtection="0"/>
    <xf numFmtId="168" fontId="27" fillId="15" borderId="0" applyNumberFormat="0" applyBorder="0" applyAlignment="0" applyProtection="0"/>
    <xf numFmtId="168" fontId="27" fillId="15" borderId="0" applyNumberFormat="0" applyBorder="0" applyAlignment="0" applyProtection="0"/>
    <xf numFmtId="168" fontId="27" fillId="15" borderId="0" applyNumberFormat="0" applyBorder="0" applyAlignment="0" applyProtection="0"/>
    <xf numFmtId="168" fontId="27" fillId="15" borderId="0" applyNumberFormat="0" applyBorder="0" applyAlignment="0" applyProtection="0"/>
    <xf numFmtId="168" fontId="27" fillId="15" borderId="0" applyNumberFormat="0" applyBorder="0" applyAlignment="0" applyProtection="0"/>
    <xf numFmtId="168" fontId="27" fillId="15" borderId="0" applyNumberFormat="0" applyBorder="0" applyAlignment="0" applyProtection="0"/>
    <xf numFmtId="168" fontId="27" fillId="15" borderId="0" applyNumberFormat="0" applyBorder="0" applyAlignment="0" applyProtection="0"/>
    <xf numFmtId="168" fontId="26" fillId="36" borderId="0" applyNumberFormat="0" applyBorder="0" applyAlignment="0" applyProtection="0"/>
    <xf numFmtId="168" fontId="27" fillId="15" borderId="0" applyNumberFormat="0" applyBorder="0" applyAlignment="0" applyProtection="0"/>
    <xf numFmtId="168" fontId="27" fillId="15" borderId="0" applyNumberFormat="0" applyBorder="0" applyAlignment="0" applyProtection="0"/>
    <xf numFmtId="168" fontId="27" fillId="15" borderId="0" applyNumberFormat="0" applyBorder="0" applyAlignment="0" applyProtection="0"/>
    <xf numFmtId="168" fontId="27" fillId="15" borderId="0" applyNumberFormat="0" applyBorder="0" applyAlignment="0" applyProtection="0"/>
    <xf numFmtId="168" fontId="27" fillId="15" borderId="0" applyNumberFormat="0" applyBorder="0" applyAlignment="0" applyProtection="0"/>
    <xf numFmtId="168" fontId="27" fillId="15" borderId="0" applyNumberFormat="0" applyBorder="0" applyAlignment="0" applyProtection="0"/>
    <xf numFmtId="0" fontId="26" fillId="36" borderId="0" applyNumberFormat="0" applyBorder="0" applyAlignment="0" applyProtection="0"/>
    <xf numFmtId="168" fontId="26" fillId="36" borderId="0" applyNumberFormat="0" applyBorder="0" applyAlignment="0" applyProtection="0"/>
    <xf numFmtId="168" fontId="26" fillId="36" borderId="0" applyNumberFormat="0" applyBorder="0" applyAlignment="0" applyProtection="0"/>
    <xf numFmtId="168" fontId="26" fillId="36" borderId="0" applyNumberFormat="0" applyBorder="0" applyAlignment="0" applyProtection="0"/>
    <xf numFmtId="168" fontId="26" fillId="36" borderId="0" applyNumberFormat="0" applyBorder="0" applyAlignment="0" applyProtection="0"/>
    <xf numFmtId="168" fontId="26" fillId="36" borderId="0" applyNumberFormat="0" applyBorder="0" applyAlignment="0" applyProtection="0"/>
    <xf numFmtId="168" fontId="26" fillId="36" borderId="0" applyNumberFormat="0" applyBorder="0" applyAlignment="0" applyProtection="0"/>
    <xf numFmtId="168" fontId="26" fillId="42" borderId="0" applyNumberFormat="0" applyBorder="0" applyAlignment="0" applyProtection="0"/>
    <xf numFmtId="168" fontId="26" fillId="42" borderId="0" applyNumberFormat="0" applyBorder="0" applyAlignment="0" applyProtection="0"/>
    <xf numFmtId="168" fontId="26" fillId="42" borderId="0" applyNumberFormat="0" applyBorder="0" applyAlignment="0" applyProtection="0"/>
    <xf numFmtId="168" fontId="26" fillId="42" borderId="0" applyNumberFormat="0" applyBorder="0" applyAlignment="0" applyProtection="0"/>
    <xf numFmtId="168" fontId="26" fillId="42" borderId="0" applyNumberFormat="0" applyBorder="0" applyAlignment="0" applyProtection="0"/>
    <xf numFmtId="168" fontId="3" fillId="19" borderId="0" applyNumberFormat="0" applyBorder="0" applyAlignment="0" applyProtection="0"/>
    <xf numFmtId="168" fontId="3" fillId="19" borderId="0" applyNumberFormat="0" applyBorder="0" applyAlignment="0" applyProtection="0"/>
    <xf numFmtId="168" fontId="3" fillId="19" borderId="0" applyNumberFormat="0" applyBorder="0" applyAlignment="0" applyProtection="0"/>
    <xf numFmtId="168" fontId="3" fillId="19" borderId="0" applyNumberFormat="0" applyBorder="0" applyAlignment="0" applyProtection="0"/>
    <xf numFmtId="168" fontId="3" fillId="19" borderId="0" applyNumberFormat="0" applyBorder="0" applyAlignment="0" applyProtection="0"/>
    <xf numFmtId="168" fontId="3" fillId="19" borderId="0" applyNumberFormat="0" applyBorder="0" applyAlignment="0" applyProtection="0"/>
    <xf numFmtId="168" fontId="3" fillId="19" borderId="0" applyNumberFormat="0" applyBorder="0" applyAlignment="0" applyProtection="0"/>
    <xf numFmtId="168" fontId="3" fillId="19" borderId="0" applyNumberFormat="0" applyBorder="0" applyAlignment="0" applyProtection="0"/>
    <xf numFmtId="168" fontId="3" fillId="19" borderId="0" applyNumberFormat="0" applyBorder="0" applyAlignment="0" applyProtection="0"/>
    <xf numFmtId="168" fontId="3" fillId="19" borderId="0" applyNumberFormat="0" applyBorder="0" applyAlignment="0" applyProtection="0"/>
    <xf numFmtId="168" fontId="3" fillId="19" borderId="0" applyNumberFormat="0" applyBorder="0" applyAlignment="0" applyProtection="0"/>
    <xf numFmtId="168" fontId="3" fillId="19" borderId="0" applyNumberFormat="0" applyBorder="0" applyAlignment="0" applyProtection="0"/>
    <xf numFmtId="168" fontId="3" fillId="19" borderId="0" applyNumberFormat="0" applyBorder="0" applyAlignment="0" applyProtection="0"/>
    <xf numFmtId="168" fontId="3" fillId="19" borderId="0" applyNumberFormat="0" applyBorder="0" applyAlignment="0" applyProtection="0"/>
    <xf numFmtId="168" fontId="3" fillId="19" borderId="0" applyNumberFormat="0" applyBorder="0" applyAlignment="0" applyProtection="0"/>
    <xf numFmtId="168" fontId="27" fillId="19" borderId="0" applyNumberFormat="0" applyBorder="0" applyAlignment="0" applyProtection="0"/>
    <xf numFmtId="168" fontId="27" fillId="19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168" fontId="26" fillId="43" borderId="0" applyNumberFormat="0" applyBorder="0" applyAlignment="0" applyProtection="0"/>
    <xf numFmtId="168" fontId="27" fillId="19" borderId="0" applyNumberFormat="0" applyBorder="0" applyAlignment="0" applyProtection="0"/>
    <xf numFmtId="168" fontId="26" fillId="43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168" fontId="26" fillId="43" borderId="0" applyNumberFormat="0" applyBorder="0" applyAlignment="0" applyProtection="0"/>
    <xf numFmtId="168" fontId="26" fillId="43" borderId="0" applyNumberFormat="0" applyBorder="0" applyAlignment="0" applyProtection="0"/>
    <xf numFmtId="168" fontId="26" fillId="43" borderId="0" applyNumberFormat="0" applyBorder="0" applyAlignment="0" applyProtection="0"/>
    <xf numFmtId="168" fontId="26" fillId="43" borderId="0" applyNumberFormat="0" applyBorder="0" applyAlignment="0" applyProtection="0"/>
    <xf numFmtId="168" fontId="27" fillId="19" borderId="0" applyNumberFormat="0" applyBorder="0" applyAlignment="0" applyProtection="0"/>
    <xf numFmtId="0" fontId="3" fillId="19" borderId="0" applyNumberFormat="0" applyBorder="0" applyAlignment="0" applyProtection="0"/>
    <xf numFmtId="168" fontId="26" fillId="43" borderId="0" applyNumberFormat="0" applyBorder="0" applyAlignment="0" applyProtection="0"/>
    <xf numFmtId="168" fontId="26" fillId="43" borderId="0" applyNumberFormat="0" applyBorder="0" applyAlignment="0" applyProtection="0"/>
    <xf numFmtId="168" fontId="26" fillId="43" borderId="0" applyNumberFormat="0" applyBorder="0" applyAlignment="0" applyProtection="0"/>
    <xf numFmtId="168" fontId="27" fillId="19" borderId="0" applyNumberFormat="0" applyBorder="0" applyAlignment="0" applyProtection="0"/>
    <xf numFmtId="168" fontId="27" fillId="19" borderId="0" applyNumberFormat="0" applyBorder="0" applyAlignment="0" applyProtection="0"/>
    <xf numFmtId="168" fontId="27" fillId="19" borderId="0" applyNumberFormat="0" applyBorder="0" applyAlignment="0" applyProtection="0"/>
    <xf numFmtId="168" fontId="27" fillId="19" borderId="0" applyNumberFormat="0" applyBorder="0" applyAlignment="0" applyProtection="0"/>
    <xf numFmtId="168" fontId="27" fillId="19" borderId="0" applyNumberFormat="0" applyBorder="0" applyAlignment="0" applyProtection="0"/>
    <xf numFmtId="168" fontId="27" fillId="19" borderId="0" applyNumberFormat="0" applyBorder="0" applyAlignment="0" applyProtection="0"/>
    <xf numFmtId="168" fontId="27" fillId="19" borderId="0" applyNumberFormat="0" applyBorder="0" applyAlignment="0" applyProtection="0"/>
    <xf numFmtId="168" fontId="27" fillId="19" borderId="0" applyNumberFormat="0" applyBorder="0" applyAlignment="0" applyProtection="0"/>
    <xf numFmtId="168" fontId="27" fillId="19" borderId="0" applyNumberFormat="0" applyBorder="0" applyAlignment="0" applyProtection="0"/>
    <xf numFmtId="168" fontId="27" fillId="19" borderId="0" applyNumberFormat="0" applyBorder="0" applyAlignment="0" applyProtection="0"/>
    <xf numFmtId="168" fontId="27" fillId="19" borderId="0" applyNumberFormat="0" applyBorder="0" applyAlignment="0" applyProtection="0"/>
    <xf numFmtId="168" fontId="27" fillId="19" borderId="0" applyNumberFormat="0" applyBorder="0" applyAlignment="0" applyProtection="0"/>
    <xf numFmtId="168" fontId="27" fillId="19" borderId="0" applyNumberFormat="0" applyBorder="0" applyAlignment="0" applyProtection="0"/>
    <xf numFmtId="168" fontId="26" fillId="43" borderId="0" applyNumberFormat="0" applyBorder="0" applyAlignment="0" applyProtection="0"/>
    <xf numFmtId="168" fontId="27" fillId="19" borderId="0" applyNumberFormat="0" applyBorder="0" applyAlignment="0" applyProtection="0"/>
    <xf numFmtId="168" fontId="27" fillId="19" borderId="0" applyNumberFormat="0" applyBorder="0" applyAlignment="0" applyProtection="0"/>
    <xf numFmtId="168" fontId="27" fillId="19" borderId="0" applyNumberFormat="0" applyBorder="0" applyAlignment="0" applyProtection="0"/>
    <xf numFmtId="168" fontId="27" fillId="19" borderId="0" applyNumberFormat="0" applyBorder="0" applyAlignment="0" applyProtection="0"/>
    <xf numFmtId="168" fontId="27" fillId="19" borderId="0" applyNumberFormat="0" applyBorder="0" applyAlignment="0" applyProtection="0"/>
    <xf numFmtId="168" fontId="27" fillId="19" borderId="0" applyNumberFormat="0" applyBorder="0" applyAlignment="0" applyProtection="0"/>
    <xf numFmtId="0" fontId="26" fillId="43" borderId="0" applyNumberFormat="0" applyBorder="0" applyAlignment="0" applyProtection="0"/>
    <xf numFmtId="168" fontId="26" fillId="43" borderId="0" applyNumberFormat="0" applyBorder="0" applyAlignment="0" applyProtection="0"/>
    <xf numFmtId="168" fontId="26" fillId="42" borderId="0" applyNumberFormat="0" applyBorder="0" applyAlignment="0" applyProtection="0"/>
    <xf numFmtId="168" fontId="26" fillId="42" borderId="0" applyNumberFormat="0" applyBorder="0" applyAlignment="0" applyProtection="0"/>
    <xf numFmtId="168" fontId="26" fillId="42" borderId="0" applyNumberFormat="0" applyBorder="0" applyAlignment="0" applyProtection="0"/>
    <xf numFmtId="168" fontId="26" fillId="42" borderId="0" applyNumberFormat="0" applyBorder="0" applyAlignment="0" applyProtection="0"/>
    <xf numFmtId="168" fontId="26" fillId="42" borderId="0" applyNumberFormat="0" applyBorder="0" applyAlignment="0" applyProtection="0"/>
    <xf numFmtId="168" fontId="26" fillId="39" borderId="0" applyNumberFormat="0" applyBorder="0" applyAlignment="0" applyProtection="0"/>
    <xf numFmtId="168" fontId="26" fillId="39" borderId="0" applyNumberFormat="0" applyBorder="0" applyAlignment="0" applyProtection="0"/>
    <xf numFmtId="168" fontId="26" fillId="39" borderId="0" applyNumberFormat="0" applyBorder="0" applyAlignment="0" applyProtection="0"/>
    <xf numFmtId="168" fontId="26" fillId="39" borderId="0" applyNumberFormat="0" applyBorder="0" applyAlignment="0" applyProtection="0"/>
    <xf numFmtId="168" fontId="26" fillId="39" borderId="0" applyNumberFormat="0" applyBorder="0" applyAlignment="0" applyProtection="0"/>
    <xf numFmtId="168" fontId="3" fillId="23" borderId="0" applyNumberFormat="0" applyBorder="0" applyAlignment="0" applyProtection="0"/>
    <xf numFmtId="168" fontId="3" fillId="23" borderId="0" applyNumberFormat="0" applyBorder="0" applyAlignment="0" applyProtection="0"/>
    <xf numFmtId="168" fontId="3" fillId="23" borderId="0" applyNumberFormat="0" applyBorder="0" applyAlignment="0" applyProtection="0"/>
    <xf numFmtId="168" fontId="3" fillId="23" borderId="0" applyNumberFormat="0" applyBorder="0" applyAlignment="0" applyProtection="0"/>
    <xf numFmtId="168" fontId="3" fillId="23" borderId="0" applyNumberFormat="0" applyBorder="0" applyAlignment="0" applyProtection="0"/>
    <xf numFmtId="168" fontId="3" fillId="23" borderId="0" applyNumberFormat="0" applyBorder="0" applyAlignment="0" applyProtection="0"/>
    <xf numFmtId="168" fontId="3" fillId="23" borderId="0" applyNumberFormat="0" applyBorder="0" applyAlignment="0" applyProtection="0"/>
    <xf numFmtId="168" fontId="3" fillId="23" borderId="0" applyNumberFormat="0" applyBorder="0" applyAlignment="0" applyProtection="0"/>
    <xf numFmtId="168" fontId="3" fillId="23" borderId="0" applyNumberFormat="0" applyBorder="0" applyAlignment="0" applyProtection="0"/>
    <xf numFmtId="168" fontId="3" fillId="23" borderId="0" applyNumberFormat="0" applyBorder="0" applyAlignment="0" applyProtection="0"/>
    <xf numFmtId="168" fontId="3" fillId="23" borderId="0" applyNumberFormat="0" applyBorder="0" applyAlignment="0" applyProtection="0"/>
    <xf numFmtId="168" fontId="3" fillId="23" borderId="0" applyNumberFormat="0" applyBorder="0" applyAlignment="0" applyProtection="0"/>
    <xf numFmtId="168" fontId="3" fillId="23" borderId="0" applyNumberFormat="0" applyBorder="0" applyAlignment="0" applyProtection="0"/>
    <xf numFmtId="168" fontId="3" fillId="23" borderId="0" applyNumberFormat="0" applyBorder="0" applyAlignment="0" applyProtection="0"/>
    <xf numFmtId="168" fontId="3" fillId="23" borderId="0" applyNumberFormat="0" applyBorder="0" applyAlignment="0" applyProtection="0"/>
    <xf numFmtId="168" fontId="27" fillId="23" borderId="0" applyNumberFormat="0" applyBorder="0" applyAlignment="0" applyProtection="0"/>
    <xf numFmtId="168" fontId="27" fillId="23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168" fontId="26" fillId="35" borderId="0" applyNumberFormat="0" applyBorder="0" applyAlignment="0" applyProtection="0"/>
    <xf numFmtId="168" fontId="27" fillId="23" borderId="0" applyNumberFormat="0" applyBorder="0" applyAlignment="0" applyProtection="0"/>
    <xf numFmtId="168" fontId="26" fillId="3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168" fontId="26" fillId="35" borderId="0" applyNumberFormat="0" applyBorder="0" applyAlignment="0" applyProtection="0"/>
    <xf numFmtId="168" fontId="26" fillId="35" borderId="0" applyNumberFormat="0" applyBorder="0" applyAlignment="0" applyProtection="0"/>
    <xf numFmtId="168" fontId="26" fillId="35" borderId="0" applyNumberFormat="0" applyBorder="0" applyAlignment="0" applyProtection="0"/>
    <xf numFmtId="168" fontId="26" fillId="35" borderId="0" applyNumberFormat="0" applyBorder="0" applyAlignment="0" applyProtection="0"/>
    <xf numFmtId="168" fontId="27" fillId="23" borderId="0" applyNumberFormat="0" applyBorder="0" applyAlignment="0" applyProtection="0"/>
    <xf numFmtId="0" fontId="3" fillId="23" borderId="0" applyNumberFormat="0" applyBorder="0" applyAlignment="0" applyProtection="0"/>
    <xf numFmtId="168" fontId="26" fillId="35" borderId="0" applyNumberFormat="0" applyBorder="0" applyAlignment="0" applyProtection="0"/>
    <xf numFmtId="168" fontId="26" fillId="35" borderId="0" applyNumberFormat="0" applyBorder="0" applyAlignment="0" applyProtection="0"/>
    <xf numFmtId="168" fontId="26" fillId="35" borderId="0" applyNumberFormat="0" applyBorder="0" applyAlignment="0" applyProtection="0"/>
    <xf numFmtId="168" fontId="27" fillId="23" borderId="0" applyNumberFormat="0" applyBorder="0" applyAlignment="0" applyProtection="0"/>
    <xf numFmtId="168" fontId="27" fillId="23" borderId="0" applyNumberFormat="0" applyBorder="0" applyAlignment="0" applyProtection="0"/>
    <xf numFmtId="168" fontId="27" fillId="23" borderId="0" applyNumberFormat="0" applyBorder="0" applyAlignment="0" applyProtection="0"/>
    <xf numFmtId="168" fontId="27" fillId="23" borderId="0" applyNumberFormat="0" applyBorder="0" applyAlignment="0" applyProtection="0"/>
    <xf numFmtId="168" fontId="27" fillId="23" borderId="0" applyNumberFormat="0" applyBorder="0" applyAlignment="0" applyProtection="0"/>
    <xf numFmtId="168" fontId="27" fillId="23" borderId="0" applyNumberFormat="0" applyBorder="0" applyAlignment="0" applyProtection="0"/>
    <xf numFmtId="168" fontId="27" fillId="23" borderId="0" applyNumberFormat="0" applyBorder="0" applyAlignment="0" applyProtection="0"/>
    <xf numFmtId="168" fontId="27" fillId="23" borderId="0" applyNumberFormat="0" applyBorder="0" applyAlignment="0" applyProtection="0"/>
    <xf numFmtId="168" fontId="27" fillId="23" borderId="0" applyNumberFormat="0" applyBorder="0" applyAlignment="0" applyProtection="0"/>
    <xf numFmtId="168" fontId="27" fillId="23" borderId="0" applyNumberFormat="0" applyBorder="0" applyAlignment="0" applyProtection="0"/>
    <xf numFmtId="168" fontId="27" fillId="23" borderId="0" applyNumberFormat="0" applyBorder="0" applyAlignment="0" applyProtection="0"/>
    <xf numFmtId="168" fontId="27" fillId="23" borderId="0" applyNumberFormat="0" applyBorder="0" applyAlignment="0" applyProtection="0"/>
    <xf numFmtId="168" fontId="27" fillId="23" borderId="0" applyNumberFormat="0" applyBorder="0" applyAlignment="0" applyProtection="0"/>
    <xf numFmtId="168" fontId="26" fillId="35" borderId="0" applyNumberFormat="0" applyBorder="0" applyAlignment="0" applyProtection="0"/>
    <xf numFmtId="168" fontId="27" fillId="23" borderId="0" applyNumberFormat="0" applyBorder="0" applyAlignment="0" applyProtection="0"/>
    <xf numFmtId="168" fontId="27" fillId="23" borderId="0" applyNumberFormat="0" applyBorder="0" applyAlignment="0" applyProtection="0"/>
    <xf numFmtId="168" fontId="27" fillId="23" borderId="0" applyNumberFormat="0" applyBorder="0" applyAlignment="0" applyProtection="0"/>
    <xf numFmtId="168" fontId="27" fillId="23" borderId="0" applyNumberFormat="0" applyBorder="0" applyAlignment="0" applyProtection="0"/>
    <xf numFmtId="168" fontId="27" fillId="23" borderId="0" applyNumberFormat="0" applyBorder="0" applyAlignment="0" applyProtection="0"/>
    <xf numFmtId="168" fontId="27" fillId="23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168" fontId="26" fillId="39" borderId="0" applyNumberFormat="0" applyBorder="0" applyAlignment="0" applyProtection="0"/>
    <xf numFmtId="168" fontId="26" fillId="39" borderId="0" applyNumberFormat="0" applyBorder="0" applyAlignment="0" applyProtection="0"/>
    <xf numFmtId="168" fontId="26" fillId="39" borderId="0" applyNumberFormat="0" applyBorder="0" applyAlignment="0" applyProtection="0"/>
    <xf numFmtId="168" fontId="26" fillId="39" borderId="0" applyNumberFormat="0" applyBorder="0" applyAlignment="0" applyProtection="0"/>
    <xf numFmtId="168" fontId="26" fillId="39" borderId="0" applyNumberFormat="0" applyBorder="0" applyAlignment="0" applyProtection="0"/>
    <xf numFmtId="168" fontId="26" fillId="34" borderId="0" applyNumberFormat="0" applyBorder="0" applyAlignment="0" applyProtection="0"/>
    <xf numFmtId="168" fontId="26" fillId="34" borderId="0" applyNumberFormat="0" applyBorder="0" applyAlignment="0" applyProtection="0"/>
    <xf numFmtId="168" fontId="26" fillId="34" borderId="0" applyNumberFormat="0" applyBorder="0" applyAlignment="0" applyProtection="0"/>
    <xf numFmtId="168" fontId="26" fillId="34" borderId="0" applyNumberFormat="0" applyBorder="0" applyAlignment="0" applyProtection="0"/>
    <xf numFmtId="168" fontId="26" fillId="34" borderId="0" applyNumberFormat="0" applyBorder="0" applyAlignment="0" applyProtection="0"/>
    <xf numFmtId="168" fontId="3" fillId="27" borderId="0" applyNumberFormat="0" applyBorder="0" applyAlignment="0" applyProtection="0"/>
    <xf numFmtId="168" fontId="3" fillId="27" borderId="0" applyNumberFormat="0" applyBorder="0" applyAlignment="0" applyProtection="0"/>
    <xf numFmtId="168" fontId="3" fillId="27" borderId="0" applyNumberFormat="0" applyBorder="0" applyAlignment="0" applyProtection="0"/>
    <xf numFmtId="168" fontId="3" fillId="27" borderId="0" applyNumberFormat="0" applyBorder="0" applyAlignment="0" applyProtection="0"/>
    <xf numFmtId="168" fontId="3" fillId="27" borderId="0" applyNumberFormat="0" applyBorder="0" applyAlignment="0" applyProtection="0"/>
    <xf numFmtId="168" fontId="3" fillId="27" borderId="0" applyNumberFormat="0" applyBorder="0" applyAlignment="0" applyProtection="0"/>
    <xf numFmtId="168" fontId="3" fillId="27" borderId="0" applyNumberFormat="0" applyBorder="0" applyAlignment="0" applyProtection="0"/>
    <xf numFmtId="168" fontId="3" fillId="27" borderId="0" applyNumberFormat="0" applyBorder="0" applyAlignment="0" applyProtection="0"/>
    <xf numFmtId="168" fontId="3" fillId="27" borderId="0" applyNumberFormat="0" applyBorder="0" applyAlignment="0" applyProtection="0"/>
    <xf numFmtId="168" fontId="3" fillId="27" borderId="0" applyNumberFormat="0" applyBorder="0" applyAlignment="0" applyProtection="0"/>
    <xf numFmtId="168" fontId="3" fillId="27" borderId="0" applyNumberFormat="0" applyBorder="0" applyAlignment="0" applyProtection="0"/>
    <xf numFmtId="168" fontId="3" fillId="27" borderId="0" applyNumberFormat="0" applyBorder="0" applyAlignment="0" applyProtection="0"/>
    <xf numFmtId="168" fontId="3" fillId="27" borderId="0" applyNumberFormat="0" applyBorder="0" applyAlignment="0" applyProtection="0"/>
    <xf numFmtId="168" fontId="3" fillId="27" borderId="0" applyNumberFormat="0" applyBorder="0" applyAlignment="0" applyProtection="0"/>
    <xf numFmtId="168" fontId="3" fillId="27" borderId="0" applyNumberFormat="0" applyBorder="0" applyAlignment="0" applyProtection="0"/>
    <xf numFmtId="168" fontId="27" fillId="27" borderId="0" applyNumberFormat="0" applyBorder="0" applyAlignment="0" applyProtection="0"/>
    <xf numFmtId="168" fontId="27" fillId="27" borderId="0" applyNumberFormat="0" applyBorder="0" applyAlignment="0" applyProtection="0"/>
    <xf numFmtId="0" fontId="26" fillId="41" borderId="0" applyNumberFormat="0" applyBorder="0" applyAlignment="0" applyProtection="0"/>
    <xf numFmtId="168" fontId="26" fillId="41" borderId="0" applyNumberFormat="0" applyBorder="0" applyAlignment="0" applyProtection="0"/>
    <xf numFmtId="168" fontId="26" fillId="41" borderId="0" applyNumberFormat="0" applyBorder="0" applyAlignment="0" applyProtection="0"/>
    <xf numFmtId="168" fontId="27" fillId="27" borderId="0" applyNumberFormat="0" applyBorder="0" applyAlignment="0" applyProtection="0"/>
    <xf numFmtId="168" fontId="26" fillId="41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168" fontId="26" fillId="41" borderId="0" applyNumberFormat="0" applyBorder="0" applyAlignment="0" applyProtection="0"/>
    <xf numFmtId="168" fontId="26" fillId="41" borderId="0" applyNumberFormat="0" applyBorder="0" applyAlignment="0" applyProtection="0"/>
    <xf numFmtId="168" fontId="26" fillId="41" borderId="0" applyNumberFormat="0" applyBorder="0" applyAlignment="0" applyProtection="0"/>
    <xf numFmtId="168" fontId="26" fillId="41" borderId="0" applyNumberFormat="0" applyBorder="0" applyAlignment="0" applyProtection="0"/>
    <xf numFmtId="168" fontId="27" fillId="27" borderId="0" applyNumberFormat="0" applyBorder="0" applyAlignment="0" applyProtection="0"/>
    <xf numFmtId="0" fontId="3" fillId="27" borderId="0" applyNumberFormat="0" applyBorder="0" applyAlignment="0" applyProtection="0"/>
    <xf numFmtId="168" fontId="26" fillId="41" borderId="0" applyNumberFormat="0" applyBorder="0" applyAlignment="0" applyProtection="0"/>
    <xf numFmtId="168" fontId="26" fillId="41" borderId="0" applyNumberFormat="0" applyBorder="0" applyAlignment="0" applyProtection="0"/>
    <xf numFmtId="168" fontId="26" fillId="41" borderId="0" applyNumberFormat="0" applyBorder="0" applyAlignment="0" applyProtection="0"/>
    <xf numFmtId="168" fontId="27" fillId="27" borderId="0" applyNumberFormat="0" applyBorder="0" applyAlignment="0" applyProtection="0"/>
    <xf numFmtId="168" fontId="27" fillId="27" borderId="0" applyNumberFormat="0" applyBorder="0" applyAlignment="0" applyProtection="0"/>
    <xf numFmtId="168" fontId="27" fillId="27" borderId="0" applyNumberFormat="0" applyBorder="0" applyAlignment="0" applyProtection="0"/>
    <xf numFmtId="168" fontId="27" fillId="27" borderId="0" applyNumberFormat="0" applyBorder="0" applyAlignment="0" applyProtection="0"/>
    <xf numFmtId="168" fontId="27" fillId="27" borderId="0" applyNumberFormat="0" applyBorder="0" applyAlignment="0" applyProtection="0"/>
    <xf numFmtId="168" fontId="27" fillId="27" borderId="0" applyNumberFormat="0" applyBorder="0" applyAlignment="0" applyProtection="0"/>
    <xf numFmtId="168" fontId="27" fillId="27" borderId="0" applyNumberFormat="0" applyBorder="0" applyAlignment="0" applyProtection="0"/>
    <xf numFmtId="168" fontId="27" fillId="27" borderId="0" applyNumberFormat="0" applyBorder="0" applyAlignment="0" applyProtection="0"/>
    <xf numFmtId="168" fontId="27" fillId="27" borderId="0" applyNumberFormat="0" applyBorder="0" applyAlignment="0" applyProtection="0"/>
    <xf numFmtId="168" fontId="27" fillId="27" borderId="0" applyNumberFormat="0" applyBorder="0" applyAlignment="0" applyProtection="0"/>
    <xf numFmtId="168" fontId="27" fillId="27" borderId="0" applyNumberFormat="0" applyBorder="0" applyAlignment="0" applyProtection="0"/>
    <xf numFmtId="168" fontId="27" fillId="27" borderId="0" applyNumberFormat="0" applyBorder="0" applyAlignment="0" applyProtection="0"/>
    <xf numFmtId="168" fontId="27" fillId="27" borderId="0" applyNumberFormat="0" applyBorder="0" applyAlignment="0" applyProtection="0"/>
    <xf numFmtId="168" fontId="26" fillId="41" borderId="0" applyNumberFormat="0" applyBorder="0" applyAlignment="0" applyProtection="0"/>
    <xf numFmtId="168" fontId="27" fillId="27" borderId="0" applyNumberFormat="0" applyBorder="0" applyAlignment="0" applyProtection="0"/>
    <xf numFmtId="168" fontId="27" fillId="27" borderId="0" applyNumberFormat="0" applyBorder="0" applyAlignment="0" applyProtection="0"/>
    <xf numFmtId="168" fontId="27" fillId="27" borderId="0" applyNumberFormat="0" applyBorder="0" applyAlignment="0" applyProtection="0"/>
    <xf numFmtId="168" fontId="27" fillId="27" borderId="0" applyNumberFormat="0" applyBorder="0" applyAlignment="0" applyProtection="0"/>
    <xf numFmtId="168" fontId="27" fillId="27" borderId="0" applyNumberFormat="0" applyBorder="0" applyAlignment="0" applyProtection="0"/>
    <xf numFmtId="168" fontId="27" fillId="27" borderId="0" applyNumberFormat="0" applyBorder="0" applyAlignment="0" applyProtection="0"/>
    <xf numFmtId="0" fontId="26" fillId="41" borderId="0" applyNumberFormat="0" applyBorder="0" applyAlignment="0" applyProtection="0"/>
    <xf numFmtId="168" fontId="26" fillId="41" borderId="0" applyNumberFormat="0" applyBorder="0" applyAlignment="0" applyProtection="0"/>
    <xf numFmtId="168" fontId="26" fillId="34" borderId="0" applyNumberFormat="0" applyBorder="0" applyAlignment="0" applyProtection="0"/>
    <xf numFmtId="168" fontId="26" fillId="34" borderId="0" applyNumberFormat="0" applyBorder="0" applyAlignment="0" applyProtection="0"/>
    <xf numFmtId="168" fontId="26" fillId="34" borderId="0" applyNumberFormat="0" applyBorder="0" applyAlignment="0" applyProtection="0"/>
    <xf numFmtId="168" fontId="26" fillId="34" borderId="0" applyNumberFormat="0" applyBorder="0" applyAlignment="0" applyProtection="0"/>
    <xf numFmtId="168" fontId="26" fillId="34" borderId="0" applyNumberFormat="0" applyBorder="0" applyAlignment="0" applyProtection="0"/>
    <xf numFmtId="168" fontId="26" fillId="44" borderId="0" applyNumberFormat="0" applyBorder="0" applyAlignment="0" applyProtection="0"/>
    <xf numFmtId="168" fontId="26" fillId="44" borderId="0" applyNumberFormat="0" applyBorder="0" applyAlignment="0" applyProtection="0"/>
    <xf numFmtId="168" fontId="26" fillId="44" borderId="0" applyNumberFormat="0" applyBorder="0" applyAlignment="0" applyProtection="0"/>
    <xf numFmtId="168" fontId="26" fillId="44" borderId="0" applyNumberFormat="0" applyBorder="0" applyAlignment="0" applyProtection="0"/>
    <xf numFmtId="168" fontId="26" fillId="44" borderId="0" applyNumberFormat="0" applyBorder="0" applyAlignment="0" applyProtection="0"/>
    <xf numFmtId="168" fontId="3" fillId="31" borderId="0" applyNumberFormat="0" applyBorder="0" applyAlignment="0" applyProtection="0"/>
    <xf numFmtId="168" fontId="3" fillId="31" borderId="0" applyNumberFormat="0" applyBorder="0" applyAlignment="0" applyProtection="0"/>
    <xf numFmtId="168" fontId="3" fillId="31" borderId="0" applyNumberFormat="0" applyBorder="0" applyAlignment="0" applyProtection="0"/>
    <xf numFmtId="168" fontId="3" fillId="31" borderId="0" applyNumberFormat="0" applyBorder="0" applyAlignment="0" applyProtection="0"/>
    <xf numFmtId="168" fontId="3" fillId="31" borderId="0" applyNumberFormat="0" applyBorder="0" applyAlignment="0" applyProtection="0"/>
    <xf numFmtId="168" fontId="3" fillId="31" borderId="0" applyNumberFormat="0" applyBorder="0" applyAlignment="0" applyProtection="0"/>
    <xf numFmtId="168" fontId="3" fillId="31" borderId="0" applyNumberFormat="0" applyBorder="0" applyAlignment="0" applyProtection="0"/>
    <xf numFmtId="168" fontId="3" fillId="31" borderId="0" applyNumberFormat="0" applyBorder="0" applyAlignment="0" applyProtection="0"/>
    <xf numFmtId="168" fontId="3" fillId="31" borderId="0" applyNumberFormat="0" applyBorder="0" applyAlignment="0" applyProtection="0"/>
    <xf numFmtId="168" fontId="3" fillId="31" borderId="0" applyNumberFormat="0" applyBorder="0" applyAlignment="0" applyProtection="0"/>
    <xf numFmtId="168" fontId="3" fillId="31" borderId="0" applyNumberFormat="0" applyBorder="0" applyAlignment="0" applyProtection="0"/>
    <xf numFmtId="168" fontId="3" fillId="31" borderId="0" applyNumberFormat="0" applyBorder="0" applyAlignment="0" applyProtection="0"/>
    <xf numFmtId="168" fontId="3" fillId="31" borderId="0" applyNumberFormat="0" applyBorder="0" applyAlignment="0" applyProtection="0"/>
    <xf numFmtId="168" fontId="3" fillId="31" borderId="0" applyNumberFormat="0" applyBorder="0" applyAlignment="0" applyProtection="0"/>
    <xf numFmtId="168" fontId="3" fillId="31" borderId="0" applyNumberFormat="0" applyBorder="0" applyAlignment="0" applyProtection="0"/>
    <xf numFmtId="168" fontId="27" fillId="31" borderId="0" applyNumberFormat="0" applyBorder="0" applyAlignment="0" applyProtection="0"/>
    <xf numFmtId="168" fontId="27" fillId="31" borderId="0" applyNumberFormat="0" applyBorder="0" applyAlignment="0" applyProtection="0"/>
    <xf numFmtId="0" fontId="26" fillId="38" borderId="0" applyNumberFormat="0" applyBorder="0" applyAlignment="0" applyProtection="0"/>
    <xf numFmtId="168" fontId="26" fillId="38" borderId="0" applyNumberFormat="0" applyBorder="0" applyAlignment="0" applyProtection="0"/>
    <xf numFmtId="168" fontId="26" fillId="38" borderId="0" applyNumberFormat="0" applyBorder="0" applyAlignment="0" applyProtection="0"/>
    <xf numFmtId="168" fontId="27" fillId="31" borderId="0" applyNumberFormat="0" applyBorder="0" applyAlignment="0" applyProtection="0"/>
    <xf numFmtId="168" fontId="26" fillId="38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168" fontId="26" fillId="38" borderId="0" applyNumberFormat="0" applyBorder="0" applyAlignment="0" applyProtection="0"/>
    <xf numFmtId="168" fontId="26" fillId="38" borderId="0" applyNumberFormat="0" applyBorder="0" applyAlignment="0" applyProtection="0"/>
    <xf numFmtId="168" fontId="26" fillId="38" borderId="0" applyNumberFormat="0" applyBorder="0" applyAlignment="0" applyProtection="0"/>
    <xf numFmtId="168" fontId="26" fillId="38" borderId="0" applyNumberFormat="0" applyBorder="0" applyAlignment="0" applyProtection="0"/>
    <xf numFmtId="168" fontId="27" fillId="31" borderId="0" applyNumberFormat="0" applyBorder="0" applyAlignment="0" applyProtection="0"/>
    <xf numFmtId="0" fontId="3" fillId="31" borderId="0" applyNumberFormat="0" applyBorder="0" applyAlignment="0" applyProtection="0"/>
    <xf numFmtId="168" fontId="26" fillId="38" borderId="0" applyNumberFormat="0" applyBorder="0" applyAlignment="0" applyProtection="0"/>
    <xf numFmtId="168" fontId="26" fillId="38" borderId="0" applyNumberFormat="0" applyBorder="0" applyAlignment="0" applyProtection="0"/>
    <xf numFmtId="168" fontId="26" fillId="38" borderId="0" applyNumberFormat="0" applyBorder="0" applyAlignment="0" applyProtection="0"/>
    <xf numFmtId="168" fontId="27" fillId="31" borderId="0" applyNumberFormat="0" applyBorder="0" applyAlignment="0" applyProtection="0"/>
    <xf numFmtId="168" fontId="27" fillId="31" borderId="0" applyNumberFormat="0" applyBorder="0" applyAlignment="0" applyProtection="0"/>
    <xf numFmtId="168" fontId="27" fillId="31" borderId="0" applyNumberFormat="0" applyBorder="0" applyAlignment="0" applyProtection="0"/>
    <xf numFmtId="168" fontId="27" fillId="31" borderId="0" applyNumberFormat="0" applyBorder="0" applyAlignment="0" applyProtection="0"/>
    <xf numFmtId="168" fontId="27" fillId="31" borderId="0" applyNumberFormat="0" applyBorder="0" applyAlignment="0" applyProtection="0"/>
    <xf numFmtId="168" fontId="27" fillId="31" borderId="0" applyNumberFormat="0" applyBorder="0" applyAlignment="0" applyProtection="0"/>
    <xf numFmtId="168" fontId="27" fillId="31" borderId="0" applyNumberFormat="0" applyBorder="0" applyAlignment="0" applyProtection="0"/>
    <xf numFmtId="168" fontId="27" fillId="31" borderId="0" applyNumberFormat="0" applyBorder="0" applyAlignment="0" applyProtection="0"/>
    <xf numFmtId="168" fontId="27" fillId="31" borderId="0" applyNumberFormat="0" applyBorder="0" applyAlignment="0" applyProtection="0"/>
    <xf numFmtId="168" fontId="27" fillId="31" borderId="0" applyNumberFormat="0" applyBorder="0" applyAlignment="0" applyProtection="0"/>
    <xf numFmtId="168" fontId="27" fillId="31" borderId="0" applyNumberFormat="0" applyBorder="0" applyAlignment="0" applyProtection="0"/>
    <xf numFmtId="168" fontId="27" fillId="31" borderId="0" applyNumberFormat="0" applyBorder="0" applyAlignment="0" applyProtection="0"/>
    <xf numFmtId="168" fontId="27" fillId="31" borderId="0" applyNumberFormat="0" applyBorder="0" applyAlignment="0" applyProtection="0"/>
    <xf numFmtId="168" fontId="26" fillId="38" borderId="0" applyNumberFormat="0" applyBorder="0" applyAlignment="0" applyProtection="0"/>
    <xf numFmtId="168" fontId="27" fillId="31" borderId="0" applyNumberFormat="0" applyBorder="0" applyAlignment="0" applyProtection="0"/>
    <xf numFmtId="168" fontId="27" fillId="31" borderId="0" applyNumberFormat="0" applyBorder="0" applyAlignment="0" applyProtection="0"/>
    <xf numFmtId="168" fontId="27" fillId="31" borderId="0" applyNumberFormat="0" applyBorder="0" applyAlignment="0" applyProtection="0"/>
    <xf numFmtId="168" fontId="27" fillId="31" borderId="0" applyNumberFormat="0" applyBorder="0" applyAlignment="0" applyProtection="0"/>
    <xf numFmtId="168" fontId="27" fillId="31" borderId="0" applyNumberFormat="0" applyBorder="0" applyAlignment="0" applyProtection="0"/>
    <xf numFmtId="168" fontId="27" fillId="31" borderId="0" applyNumberFormat="0" applyBorder="0" applyAlignment="0" applyProtection="0"/>
    <xf numFmtId="0" fontId="26" fillId="38" borderId="0" applyNumberFormat="0" applyBorder="0" applyAlignment="0" applyProtection="0"/>
    <xf numFmtId="168" fontId="26" fillId="38" borderId="0" applyNumberFormat="0" applyBorder="0" applyAlignment="0" applyProtection="0"/>
    <xf numFmtId="168" fontId="26" fillId="44" borderId="0" applyNumberFormat="0" applyBorder="0" applyAlignment="0" applyProtection="0"/>
    <xf numFmtId="168" fontId="26" fillId="44" borderId="0" applyNumberFormat="0" applyBorder="0" applyAlignment="0" applyProtection="0"/>
    <xf numFmtId="168" fontId="26" fillId="44" borderId="0" applyNumberFormat="0" applyBorder="0" applyAlignment="0" applyProtection="0"/>
    <xf numFmtId="168" fontId="26" fillId="44" borderId="0" applyNumberFormat="0" applyBorder="0" applyAlignment="0" applyProtection="0"/>
    <xf numFmtId="168" fontId="26" fillId="44" borderId="0" applyNumberFormat="0" applyBorder="0" applyAlignment="0" applyProtection="0"/>
    <xf numFmtId="168" fontId="28" fillId="45" borderId="0" applyNumberFormat="0" applyBorder="0" applyAlignment="0" applyProtection="0"/>
    <xf numFmtId="168" fontId="28" fillId="45" borderId="0" applyNumberFormat="0" applyBorder="0" applyAlignment="0" applyProtection="0"/>
    <xf numFmtId="168" fontId="28" fillId="45" borderId="0" applyNumberFormat="0" applyBorder="0" applyAlignment="0" applyProtection="0"/>
    <xf numFmtId="168" fontId="28" fillId="45" borderId="0" applyNumberFormat="0" applyBorder="0" applyAlignment="0" applyProtection="0"/>
    <xf numFmtId="168" fontId="28" fillId="45" borderId="0" applyNumberFormat="0" applyBorder="0" applyAlignment="0" applyProtection="0"/>
    <xf numFmtId="168" fontId="24" fillId="12" borderId="0" applyNumberFormat="0" applyBorder="0" applyAlignment="0" applyProtection="0"/>
    <xf numFmtId="168" fontId="24" fillId="12" borderId="0" applyNumberFormat="0" applyBorder="0" applyAlignment="0" applyProtection="0"/>
    <xf numFmtId="168" fontId="24" fillId="12" borderId="0" applyNumberFormat="0" applyBorder="0" applyAlignment="0" applyProtection="0"/>
    <xf numFmtId="168" fontId="29" fillId="12" borderId="0" applyNumberFormat="0" applyBorder="0" applyAlignment="0" applyProtection="0"/>
    <xf numFmtId="168" fontId="29" fillId="12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168" fontId="28" fillId="41" borderId="0" applyNumberFormat="0" applyBorder="0" applyAlignment="0" applyProtection="0"/>
    <xf numFmtId="168" fontId="29" fillId="12" borderId="0" applyNumberFormat="0" applyBorder="0" applyAlignment="0" applyProtection="0"/>
    <xf numFmtId="168" fontId="28" fillId="4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168" fontId="28" fillId="41" borderId="0" applyNumberFormat="0" applyBorder="0" applyAlignment="0" applyProtection="0"/>
    <xf numFmtId="168" fontId="28" fillId="41" borderId="0" applyNumberFormat="0" applyBorder="0" applyAlignment="0" applyProtection="0"/>
    <xf numFmtId="168" fontId="28" fillId="41" borderId="0" applyNumberFormat="0" applyBorder="0" applyAlignment="0" applyProtection="0"/>
    <xf numFmtId="168" fontId="28" fillId="41" borderId="0" applyNumberFormat="0" applyBorder="0" applyAlignment="0" applyProtection="0"/>
    <xf numFmtId="168" fontId="29" fillId="12" borderId="0" applyNumberFormat="0" applyBorder="0" applyAlignment="0" applyProtection="0"/>
    <xf numFmtId="0" fontId="24" fillId="12" borderId="0" applyNumberFormat="0" applyBorder="0" applyAlignment="0" applyProtection="0"/>
    <xf numFmtId="168" fontId="28" fillId="41" borderId="0" applyNumberFormat="0" applyBorder="0" applyAlignment="0" applyProtection="0"/>
    <xf numFmtId="168" fontId="28" fillId="41" borderId="0" applyNumberFormat="0" applyBorder="0" applyAlignment="0" applyProtection="0"/>
    <xf numFmtId="168" fontId="28" fillId="41" borderId="0" applyNumberFormat="0" applyBorder="0" applyAlignment="0" applyProtection="0"/>
    <xf numFmtId="168" fontId="29" fillId="12" borderId="0" applyNumberFormat="0" applyBorder="0" applyAlignment="0" applyProtection="0"/>
    <xf numFmtId="168" fontId="29" fillId="12" borderId="0" applyNumberFormat="0" applyBorder="0" applyAlignment="0" applyProtection="0"/>
    <xf numFmtId="168" fontId="29" fillId="12" borderId="0" applyNumberFormat="0" applyBorder="0" applyAlignment="0" applyProtection="0"/>
    <xf numFmtId="168" fontId="29" fillId="12" borderId="0" applyNumberFormat="0" applyBorder="0" applyAlignment="0" applyProtection="0"/>
    <xf numFmtId="168" fontId="29" fillId="12" borderId="0" applyNumberFormat="0" applyBorder="0" applyAlignment="0" applyProtection="0"/>
    <xf numFmtId="168" fontId="29" fillId="12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168" fontId="28" fillId="41" borderId="0" applyNumberFormat="0" applyBorder="0" applyAlignment="0" applyProtection="0"/>
    <xf numFmtId="168" fontId="28" fillId="45" borderId="0" applyNumberFormat="0" applyBorder="0" applyAlignment="0" applyProtection="0"/>
    <xf numFmtId="168" fontId="28" fillId="45" borderId="0" applyNumberFormat="0" applyBorder="0" applyAlignment="0" applyProtection="0"/>
    <xf numFmtId="168" fontId="28" fillId="45" borderId="0" applyNumberFormat="0" applyBorder="0" applyAlignment="0" applyProtection="0"/>
    <xf numFmtId="168" fontId="28" fillId="45" borderId="0" applyNumberFormat="0" applyBorder="0" applyAlignment="0" applyProtection="0"/>
    <xf numFmtId="168" fontId="28" fillId="45" borderId="0" applyNumberFormat="0" applyBorder="0" applyAlignment="0" applyProtection="0"/>
    <xf numFmtId="168" fontId="28" fillId="36" borderId="0" applyNumberFormat="0" applyBorder="0" applyAlignment="0" applyProtection="0"/>
    <xf numFmtId="168" fontId="28" fillId="36" borderId="0" applyNumberFormat="0" applyBorder="0" applyAlignment="0" applyProtection="0"/>
    <xf numFmtId="168" fontId="28" fillId="36" borderId="0" applyNumberFormat="0" applyBorder="0" applyAlignment="0" applyProtection="0"/>
    <xf numFmtId="168" fontId="28" fillId="36" borderId="0" applyNumberFormat="0" applyBorder="0" applyAlignment="0" applyProtection="0"/>
    <xf numFmtId="168" fontId="28" fillId="36" borderId="0" applyNumberFormat="0" applyBorder="0" applyAlignment="0" applyProtection="0"/>
    <xf numFmtId="168" fontId="24" fillId="16" borderId="0" applyNumberFormat="0" applyBorder="0" applyAlignment="0" applyProtection="0"/>
    <xf numFmtId="168" fontId="24" fillId="16" borderId="0" applyNumberFormat="0" applyBorder="0" applyAlignment="0" applyProtection="0"/>
    <xf numFmtId="168" fontId="24" fillId="16" borderId="0" applyNumberFormat="0" applyBorder="0" applyAlignment="0" applyProtection="0"/>
    <xf numFmtId="168" fontId="29" fillId="16" borderId="0" applyNumberFormat="0" applyBorder="0" applyAlignment="0" applyProtection="0"/>
    <xf numFmtId="168" fontId="29" fillId="16" borderId="0" applyNumberFormat="0" applyBorder="0" applyAlignment="0" applyProtection="0"/>
    <xf numFmtId="0" fontId="28" fillId="46" borderId="0" applyNumberFormat="0" applyBorder="0" applyAlignment="0" applyProtection="0"/>
    <xf numFmtId="168" fontId="28" fillId="46" borderId="0" applyNumberFormat="0" applyBorder="0" applyAlignment="0" applyProtection="0"/>
    <xf numFmtId="168" fontId="28" fillId="46" borderId="0" applyNumberFormat="0" applyBorder="0" applyAlignment="0" applyProtection="0"/>
    <xf numFmtId="168" fontId="29" fillId="16" borderId="0" applyNumberFormat="0" applyBorder="0" applyAlignment="0" applyProtection="0"/>
    <xf numFmtId="168" fontId="28" fillId="4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168" fontId="28" fillId="46" borderId="0" applyNumberFormat="0" applyBorder="0" applyAlignment="0" applyProtection="0"/>
    <xf numFmtId="168" fontId="28" fillId="46" borderId="0" applyNumberFormat="0" applyBorder="0" applyAlignment="0" applyProtection="0"/>
    <xf numFmtId="168" fontId="28" fillId="46" borderId="0" applyNumberFormat="0" applyBorder="0" applyAlignment="0" applyProtection="0"/>
    <xf numFmtId="168" fontId="28" fillId="46" borderId="0" applyNumberFormat="0" applyBorder="0" applyAlignment="0" applyProtection="0"/>
    <xf numFmtId="168" fontId="29" fillId="16" borderId="0" applyNumberFormat="0" applyBorder="0" applyAlignment="0" applyProtection="0"/>
    <xf numFmtId="0" fontId="24" fillId="16" borderId="0" applyNumberFormat="0" applyBorder="0" applyAlignment="0" applyProtection="0"/>
    <xf numFmtId="168" fontId="28" fillId="46" borderId="0" applyNumberFormat="0" applyBorder="0" applyAlignment="0" applyProtection="0"/>
    <xf numFmtId="168" fontId="28" fillId="46" borderId="0" applyNumberFormat="0" applyBorder="0" applyAlignment="0" applyProtection="0"/>
    <xf numFmtId="168" fontId="28" fillId="46" borderId="0" applyNumberFormat="0" applyBorder="0" applyAlignment="0" applyProtection="0"/>
    <xf numFmtId="168" fontId="29" fillId="16" borderId="0" applyNumberFormat="0" applyBorder="0" applyAlignment="0" applyProtection="0"/>
    <xf numFmtId="168" fontId="29" fillId="16" borderId="0" applyNumberFormat="0" applyBorder="0" applyAlignment="0" applyProtection="0"/>
    <xf numFmtId="168" fontId="29" fillId="16" borderId="0" applyNumberFormat="0" applyBorder="0" applyAlignment="0" applyProtection="0"/>
    <xf numFmtId="168" fontId="29" fillId="16" borderId="0" applyNumberFormat="0" applyBorder="0" applyAlignment="0" applyProtection="0"/>
    <xf numFmtId="168" fontId="29" fillId="16" borderId="0" applyNumberFormat="0" applyBorder="0" applyAlignment="0" applyProtection="0"/>
    <xf numFmtId="168" fontId="29" fillId="16" borderId="0" applyNumberFormat="0" applyBorder="0" applyAlignment="0" applyProtection="0"/>
    <xf numFmtId="0" fontId="28" fillId="46" borderId="0" applyNumberFormat="0" applyBorder="0" applyAlignment="0" applyProtection="0"/>
    <xf numFmtId="168" fontId="28" fillId="46" borderId="0" applyNumberFormat="0" applyBorder="0" applyAlignment="0" applyProtection="0"/>
    <xf numFmtId="168" fontId="28" fillId="46" borderId="0" applyNumberFormat="0" applyBorder="0" applyAlignment="0" applyProtection="0"/>
    <xf numFmtId="168" fontId="28" fillId="36" borderId="0" applyNumberFormat="0" applyBorder="0" applyAlignment="0" applyProtection="0"/>
    <xf numFmtId="168" fontId="28" fillId="36" borderId="0" applyNumberFormat="0" applyBorder="0" applyAlignment="0" applyProtection="0"/>
    <xf numFmtId="168" fontId="28" fillId="36" borderId="0" applyNumberFormat="0" applyBorder="0" applyAlignment="0" applyProtection="0"/>
    <xf numFmtId="168" fontId="28" fillId="36" borderId="0" applyNumberFormat="0" applyBorder="0" applyAlignment="0" applyProtection="0"/>
    <xf numFmtId="168" fontId="28" fillId="36" borderId="0" applyNumberFormat="0" applyBorder="0" applyAlignment="0" applyProtection="0"/>
    <xf numFmtId="168" fontId="28" fillId="42" borderId="0" applyNumberFormat="0" applyBorder="0" applyAlignment="0" applyProtection="0"/>
    <xf numFmtId="168" fontId="28" fillId="42" borderId="0" applyNumberFormat="0" applyBorder="0" applyAlignment="0" applyProtection="0"/>
    <xf numFmtId="168" fontId="28" fillId="42" borderId="0" applyNumberFormat="0" applyBorder="0" applyAlignment="0" applyProtection="0"/>
    <xf numFmtId="168" fontId="28" fillId="42" borderId="0" applyNumberFormat="0" applyBorder="0" applyAlignment="0" applyProtection="0"/>
    <xf numFmtId="168" fontId="28" fillId="42" borderId="0" applyNumberFormat="0" applyBorder="0" applyAlignment="0" applyProtection="0"/>
    <xf numFmtId="168" fontId="24" fillId="20" borderId="0" applyNumberFormat="0" applyBorder="0" applyAlignment="0" applyProtection="0"/>
    <xf numFmtId="168" fontId="24" fillId="20" borderId="0" applyNumberFormat="0" applyBorder="0" applyAlignment="0" applyProtection="0"/>
    <xf numFmtId="168" fontId="24" fillId="20" borderId="0" applyNumberFormat="0" applyBorder="0" applyAlignment="0" applyProtection="0"/>
    <xf numFmtId="168" fontId="29" fillId="20" borderId="0" applyNumberFormat="0" applyBorder="0" applyAlignment="0" applyProtection="0"/>
    <xf numFmtId="168" fontId="29" fillId="20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168" fontId="28" fillId="44" borderId="0" applyNumberFormat="0" applyBorder="0" applyAlignment="0" applyProtection="0"/>
    <xf numFmtId="168" fontId="29" fillId="20" borderId="0" applyNumberFormat="0" applyBorder="0" applyAlignment="0" applyProtection="0"/>
    <xf numFmtId="168" fontId="28" fillId="44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68" fontId="28" fillId="44" borderId="0" applyNumberFormat="0" applyBorder="0" applyAlignment="0" applyProtection="0"/>
    <xf numFmtId="168" fontId="28" fillId="44" borderId="0" applyNumberFormat="0" applyBorder="0" applyAlignment="0" applyProtection="0"/>
    <xf numFmtId="168" fontId="28" fillId="44" borderId="0" applyNumberFormat="0" applyBorder="0" applyAlignment="0" applyProtection="0"/>
    <xf numFmtId="168" fontId="28" fillId="44" borderId="0" applyNumberFormat="0" applyBorder="0" applyAlignment="0" applyProtection="0"/>
    <xf numFmtId="168" fontId="29" fillId="20" borderId="0" applyNumberFormat="0" applyBorder="0" applyAlignment="0" applyProtection="0"/>
    <xf numFmtId="0" fontId="24" fillId="20" borderId="0" applyNumberFormat="0" applyBorder="0" applyAlignment="0" applyProtection="0"/>
    <xf numFmtId="168" fontId="28" fillId="44" borderId="0" applyNumberFormat="0" applyBorder="0" applyAlignment="0" applyProtection="0"/>
    <xf numFmtId="168" fontId="28" fillId="44" borderId="0" applyNumberFormat="0" applyBorder="0" applyAlignment="0" applyProtection="0"/>
    <xf numFmtId="168" fontId="28" fillId="44" borderId="0" applyNumberFormat="0" applyBorder="0" applyAlignment="0" applyProtection="0"/>
    <xf numFmtId="168" fontId="29" fillId="20" borderId="0" applyNumberFormat="0" applyBorder="0" applyAlignment="0" applyProtection="0"/>
    <xf numFmtId="168" fontId="29" fillId="20" borderId="0" applyNumberFormat="0" applyBorder="0" applyAlignment="0" applyProtection="0"/>
    <xf numFmtId="168" fontId="29" fillId="20" borderId="0" applyNumberFormat="0" applyBorder="0" applyAlignment="0" applyProtection="0"/>
    <xf numFmtId="168" fontId="29" fillId="20" borderId="0" applyNumberFormat="0" applyBorder="0" applyAlignment="0" applyProtection="0"/>
    <xf numFmtId="168" fontId="29" fillId="20" borderId="0" applyNumberFormat="0" applyBorder="0" applyAlignment="0" applyProtection="0"/>
    <xf numFmtId="168" fontId="29" fillId="20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168" fontId="28" fillId="44" borderId="0" applyNumberFormat="0" applyBorder="0" applyAlignment="0" applyProtection="0"/>
    <xf numFmtId="168" fontId="28" fillId="42" borderId="0" applyNumberFormat="0" applyBorder="0" applyAlignment="0" applyProtection="0"/>
    <xf numFmtId="168" fontId="28" fillId="42" borderId="0" applyNumberFormat="0" applyBorder="0" applyAlignment="0" applyProtection="0"/>
    <xf numFmtId="168" fontId="28" fillId="42" borderId="0" applyNumberFormat="0" applyBorder="0" applyAlignment="0" applyProtection="0"/>
    <xf numFmtId="168" fontId="28" fillId="42" borderId="0" applyNumberFormat="0" applyBorder="0" applyAlignment="0" applyProtection="0"/>
    <xf numFmtId="168" fontId="28" fillId="42" borderId="0" applyNumberFormat="0" applyBorder="0" applyAlignment="0" applyProtection="0"/>
    <xf numFmtId="168" fontId="28" fillId="47" borderId="0" applyNumberFormat="0" applyBorder="0" applyAlignment="0" applyProtection="0"/>
    <xf numFmtId="168" fontId="28" fillId="47" borderId="0" applyNumberFormat="0" applyBorder="0" applyAlignment="0" applyProtection="0"/>
    <xf numFmtId="168" fontId="28" fillId="47" borderId="0" applyNumberFormat="0" applyBorder="0" applyAlignment="0" applyProtection="0"/>
    <xf numFmtId="168" fontId="28" fillId="47" borderId="0" applyNumberFormat="0" applyBorder="0" applyAlignment="0" applyProtection="0"/>
    <xf numFmtId="168" fontId="28" fillId="47" borderId="0" applyNumberFormat="0" applyBorder="0" applyAlignment="0" applyProtection="0"/>
    <xf numFmtId="168" fontId="24" fillId="24" borderId="0" applyNumberFormat="0" applyBorder="0" applyAlignment="0" applyProtection="0"/>
    <xf numFmtId="168" fontId="24" fillId="24" borderId="0" applyNumberFormat="0" applyBorder="0" applyAlignment="0" applyProtection="0"/>
    <xf numFmtId="168" fontId="24" fillId="24" borderId="0" applyNumberFormat="0" applyBorder="0" applyAlignment="0" applyProtection="0"/>
    <xf numFmtId="168" fontId="29" fillId="24" borderId="0" applyNumberFormat="0" applyBorder="0" applyAlignment="0" applyProtection="0"/>
    <xf numFmtId="168" fontId="29" fillId="24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168" fontId="28" fillId="35" borderId="0" applyNumberFormat="0" applyBorder="0" applyAlignment="0" applyProtection="0"/>
    <xf numFmtId="168" fontId="29" fillId="24" borderId="0" applyNumberFormat="0" applyBorder="0" applyAlignment="0" applyProtection="0"/>
    <xf numFmtId="168" fontId="28" fillId="35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168" fontId="28" fillId="35" borderId="0" applyNumberFormat="0" applyBorder="0" applyAlignment="0" applyProtection="0"/>
    <xf numFmtId="168" fontId="28" fillId="35" borderId="0" applyNumberFormat="0" applyBorder="0" applyAlignment="0" applyProtection="0"/>
    <xf numFmtId="168" fontId="28" fillId="35" borderId="0" applyNumberFormat="0" applyBorder="0" applyAlignment="0" applyProtection="0"/>
    <xf numFmtId="168" fontId="28" fillId="35" borderId="0" applyNumberFormat="0" applyBorder="0" applyAlignment="0" applyProtection="0"/>
    <xf numFmtId="168" fontId="29" fillId="24" borderId="0" applyNumberFormat="0" applyBorder="0" applyAlignment="0" applyProtection="0"/>
    <xf numFmtId="0" fontId="24" fillId="24" borderId="0" applyNumberFormat="0" applyBorder="0" applyAlignment="0" applyProtection="0"/>
    <xf numFmtId="168" fontId="28" fillId="35" borderId="0" applyNumberFormat="0" applyBorder="0" applyAlignment="0" applyProtection="0"/>
    <xf numFmtId="168" fontId="28" fillId="35" borderId="0" applyNumberFormat="0" applyBorder="0" applyAlignment="0" applyProtection="0"/>
    <xf numFmtId="168" fontId="28" fillId="35" borderId="0" applyNumberFormat="0" applyBorder="0" applyAlignment="0" applyProtection="0"/>
    <xf numFmtId="168" fontId="29" fillId="24" borderId="0" applyNumberFormat="0" applyBorder="0" applyAlignment="0" applyProtection="0"/>
    <xf numFmtId="168" fontId="29" fillId="24" borderId="0" applyNumberFormat="0" applyBorder="0" applyAlignment="0" applyProtection="0"/>
    <xf numFmtId="168" fontId="29" fillId="24" borderId="0" applyNumberFormat="0" applyBorder="0" applyAlignment="0" applyProtection="0"/>
    <xf numFmtId="168" fontId="29" fillId="24" borderId="0" applyNumberFormat="0" applyBorder="0" applyAlignment="0" applyProtection="0"/>
    <xf numFmtId="168" fontId="29" fillId="24" borderId="0" applyNumberFormat="0" applyBorder="0" applyAlignment="0" applyProtection="0"/>
    <xf numFmtId="168" fontId="29" fillId="24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168" fontId="28" fillId="35" borderId="0" applyNumberFormat="0" applyBorder="0" applyAlignment="0" applyProtection="0"/>
    <xf numFmtId="168" fontId="28" fillId="47" borderId="0" applyNumberFormat="0" applyBorder="0" applyAlignment="0" applyProtection="0"/>
    <xf numFmtId="168" fontId="28" fillId="47" borderId="0" applyNumberFormat="0" applyBorder="0" applyAlignment="0" applyProtection="0"/>
    <xf numFmtId="168" fontId="28" fillId="47" borderId="0" applyNumberFormat="0" applyBorder="0" applyAlignment="0" applyProtection="0"/>
    <xf numFmtId="168" fontId="28" fillId="47" borderId="0" applyNumberFormat="0" applyBorder="0" applyAlignment="0" applyProtection="0"/>
    <xf numFmtId="168" fontId="28" fillId="47" borderId="0" applyNumberFormat="0" applyBorder="0" applyAlignment="0" applyProtection="0"/>
    <xf numFmtId="168" fontId="28" fillId="48" borderId="0" applyNumberFormat="0" applyBorder="0" applyAlignment="0" applyProtection="0"/>
    <xf numFmtId="168" fontId="28" fillId="48" borderId="0" applyNumberFormat="0" applyBorder="0" applyAlignment="0" applyProtection="0"/>
    <xf numFmtId="168" fontId="28" fillId="48" borderId="0" applyNumberFormat="0" applyBorder="0" applyAlignment="0" applyProtection="0"/>
    <xf numFmtId="168" fontId="28" fillId="48" borderId="0" applyNumberFormat="0" applyBorder="0" applyAlignment="0" applyProtection="0"/>
    <xf numFmtId="168" fontId="28" fillId="48" borderId="0" applyNumberFormat="0" applyBorder="0" applyAlignment="0" applyProtection="0"/>
    <xf numFmtId="168" fontId="24" fillId="28" borderId="0" applyNumberFormat="0" applyBorder="0" applyAlignment="0" applyProtection="0"/>
    <xf numFmtId="168" fontId="24" fillId="28" borderId="0" applyNumberFormat="0" applyBorder="0" applyAlignment="0" applyProtection="0"/>
    <xf numFmtId="168" fontId="24" fillId="28" borderId="0" applyNumberFormat="0" applyBorder="0" applyAlignment="0" applyProtection="0"/>
    <xf numFmtId="168" fontId="29" fillId="28" borderId="0" applyNumberFormat="0" applyBorder="0" applyAlignment="0" applyProtection="0"/>
    <xf numFmtId="168" fontId="29" fillId="28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168" fontId="28" fillId="41" borderId="0" applyNumberFormat="0" applyBorder="0" applyAlignment="0" applyProtection="0"/>
    <xf numFmtId="168" fontId="29" fillId="28" borderId="0" applyNumberFormat="0" applyBorder="0" applyAlignment="0" applyProtection="0"/>
    <xf numFmtId="168" fontId="28" fillId="41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168" fontId="28" fillId="41" borderId="0" applyNumberFormat="0" applyBorder="0" applyAlignment="0" applyProtection="0"/>
    <xf numFmtId="168" fontId="28" fillId="41" borderId="0" applyNumberFormat="0" applyBorder="0" applyAlignment="0" applyProtection="0"/>
    <xf numFmtId="168" fontId="28" fillId="41" borderId="0" applyNumberFormat="0" applyBorder="0" applyAlignment="0" applyProtection="0"/>
    <xf numFmtId="168" fontId="28" fillId="41" borderId="0" applyNumberFormat="0" applyBorder="0" applyAlignment="0" applyProtection="0"/>
    <xf numFmtId="168" fontId="29" fillId="28" borderId="0" applyNumberFormat="0" applyBorder="0" applyAlignment="0" applyProtection="0"/>
    <xf numFmtId="0" fontId="24" fillId="28" borderId="0" applyNumberFormat="0" applyBorder="0" applyAlignment="0" applyProtection="0"/>
    <xf numFmtId="168" fontId="28" fillId="41" borderId="0" applyNumberFormat="0" applyBorder="0" applyAlignment="0" applyProtection="0"/>
    <xf numFmtId="168" fontId="28" fillId="41" borderId="0" applyNumberFormat="0" applyBorder="0" applyAlignment="0" applyProtection="0"/>
    <xf numFmtId="168" fontId="28" fillId="41" borderId="0" applyNumberFormat="0" applyBorder="0" applyAlignment="0" applyProtection="0"/>
    <xf numFmtId="168" fontId="29" fillId="28" borderId="0" applyNumberFormat="0" applyBorder="0" applyAlignment="0" applyProtection="0"/>
    <xf numFmtId="168" fontId="29" fillId="28" borderId="0" applyNumberFormat="0" applyBorder="0" applyAlignment="0" applyProtection="0"/>
    <xf numFmtId="168" fontId="29" fillId="28" borderId="0" applyNumberFormat="0" applyBorder="0" applyAlignment="0" applyProtection="0"/>
    <xf numFmtId="168" fontId="29" fillId="28" borderId="0" applyNumberFormat="0" applyBorder="0" applyAlignment="0" applyProtection="0"/>
    <xf numFmtId="168" fontId="29" fillId="28" borderId="0" applyNumberFormat="0" applyBorder="0" applyAlignment="0" applyProtection="0"/>
    <xf numFmtId="168" fontId="29" fillId="28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168" fontId="28" fillId="41" borderId="0" applyNumberFormat="0" applyBorder="0" applyAlignment="0" applyProtection="0"/>
    <xf numFmtId="168" fontId="28" fillId="48" borderId="0" applyNumberFormat="0" applyBorder="0" applyAlignment="0" applyProtection="0"/>
    <xf numFmtId="168" fontId="28" fillId="48" borderId="0" applyNumberFormat="0" applyBorder="0" applyAlignment="0" applyProtection="0"/>
    <xf numFmtId="168" fontId="28" fillId="48" borderId="0" applyNumberFormat="0" applyBorder="0" applyAlignment="0" applyProtection="0"/>
    <xf numFmtId="168" fontId="28" fillId="48" borderId="0" applyNumberFormat="0" applyBorder="0" applyAlignment="0" applyProtection="0"/>
    <xf numFmtId="168" fontId="28" fillId="48" borderId="0" applyNumberFormat="0" applyBorder="0" applyAlignment="0" applyProtection="0"/>
    <xf numFmtId="168" fontId="28" fillId="49" borderId="0" applyNumberFormat="0" applyBorder="0" applyAlignment="0" applyProtection="0"/>
    <xf numFmtId="168" fontId="28" fillId="49" borderId="0" applyNumberFormat="0" applyBorder="0" applyAlignment="0" applyProtection="0"/>
    <xf numFmtId="168" fontId="28" fillId="49" borderId="0" applyNumberFormat="0" applyBorder="0" applyAlignment="0" applyProtection="0"/>
    <xf numFmtId="168" fontId="28" fillId="49" borderId="0" applyNumberFormat="0" applyBorder="0" applyAlignment="0" applyProtection="0"/>
    <xf numFmtId="168" fontId="28" fillId="49" borderId="0" applyNumberFormat="0" applyBorder="0" applyAlignment="0" applyProtection="0"/>
    <xf numFmtId="168" fontId="24" fillId="32" borderId="0" applyNumberFormat="0" applyBorder="0" applyAlignment="0" applyProtection="0"/>
    <xf numFmtId="168" fontId="24" fillId="32" borderId="0" applyNumberFormat="0" applyBorder="0" applyAlignment="0" applyProtection="0"/>
    <xf numFmtId="168" fontId="24" fillId="32" borderId="0" applyNumberFormat="0" applyBorder="0" applyAlignment="0" applyProtection="0"/>
    <xf numFmtId="168" fontId="29" fillId="32" borderId="0" applyNumberFormat="0" applyBorder="0" applyAlignment="0" applyProtection="0"/>
    <xf numFmtId="168" fontId="29" fillId="32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168" fontId="28" fillId="36" borderId="0" applyNumberFormat="0" applyBorder="0" applyAlignment="0" applyProtection="0"/>
    <xf numFmtId="168" fontId="29" fillId="32" borderId="0" applyNumberFormat="0" applyBorder="0" applyAlignment="0" applyProtection="0"/>
    <xf numFmtId="168" fontId="28" fillId="36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168" fontId="28" fillId="36" borderId="0" applyNumberFormat="0" applyBorder="0" applyAlignment="0" applyProtection="0"/>
    <xf numFmtId="168" fontId="28" fillId="36" borderId="0" applyNumberFormat="0" applyBorder="0" applyAlignment="0" applyProtection="0"/>
    <xf numFmtId="168" fontId="28" fillId="36" borderId="0" applyNumberFormat="0" applyBorder="0" applyAlignment="0" applyProtection="0"/>
    <xf numFmtId="168" fontId="28" fillId="36" borderId="0" applyNumberFormat="0" applyBorder="0" applyAlignment="0" applyProtection="0"/>
    <xf numFmtId="168" fontId="29" fillId="32" borderId="0" applyNumberFormat="0" applyBorder="0" applyAlignment="0" applyProtection="0"/>
    <xf numFmtId="0" fontId="24" fillId="32" borderId="0" applyNumberFormat="0" applyBorder="0" applyAlignment="0" applyProtection="0"/>
    <xf numFmtId="168" fontId="28" fillId="36" borderId="0" applyNumberFormat="0" applyBorder="0" applyAlignment="0" applyProtection="0"/>
    <xf numFmtId="168" fontId="28" fillId="36" borderId="0" applyNumberFormat="0" applyBorder="0" applyAlignment="0" applyProtection="0"/>
    <xf numFmtId="168" fontId="28" fillId="36" borderId="0" applyNumberFormat="0" applyBorder="0" applyAlignment="0" applyProtection="0"/>
    <xf numFmtId="168" fontId="29" fillId="32" borderId="0" applyNumberFormat="0" applyBorder="0" applyAlignment="0" applyProtection="0"/>
    <xf numFmtId="168" fontId="29" fillId="32" borderId="0" applyNumberFormat="0" applyBorder="0" applyAlignment="0" applyProtection="0"/>
    <xf numFmtId="168" fontId="29" fillId="32" borderId="0" applyNumberFormat="0" applyBorder="0" applyAlignment="0" applyProtection="0"/>
    <xf numFmtId="168" fontId="29" fillId="32" borderId="0" applyNumberFormat="0" applyBorder="0" applyAlignment="0" applyProtection="0"/>
    <xf numFmtId="168" fontId="29" fillId="32" borderId="0" applyNumberFormat="0" applyBorder="0" applyAlignment="0" applyProtection="0"/>
    <xf numFmtId="168" fontId="29" fillId="32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168" fontId="28" fillId="36" borderId="0" applyNumberFormat="0" applyBorder="0" applyAlignment="0" applyProtection="0"/>
    <xf numFmtId="168" fontId="28" fillId="49" borderId="0" applyNumberFormat="0" applyBorder="0" applyAlignment="0" applyProtection="0"/>
    <xf numFmtId="168" fontId="28" fillId="49" borderId="0" applyNumberFormat="0" applyBorder="0" applyAlignment="0" applyProtection="0"/>
    <xf numFmtId="168" fontId="28" fillId="49" borderId="0" applyNumberFormat="0" applyBorder="0" applyAlignment="0" applyProtection="0"/>
    <xf numFmtId="168" fontId="28" fillId="49" borderId="0" applyNumberFormat="0" applyBorder="0" applyAlignment="0" applyProtection="0"/>
    <xf numFmtId="168" fontId="28" fillId="49" borderId="0" applyNumberFormat="0" applyBorder="0" applyAlignment="0" applyProtection="0"/>
    <xf numFmtId="168" fontId="28" fillId="50" borderId="0" applyNumberFormat="0" applyBorder="0" applyAlignment="0" applyProtection="0"/>
    <xf numFmtId="168" fontId="28" fillId="50" borderId="0" applyNumberFormat="0" applyBorder="0" applyAlignment="0" applyProtection="0"/>
    <xf numFmtId="168" fontId="28" fillId="50" borderId="0" applyNumberFormat="0" applyBorder="0" applyAlignment="0" applyProtection="0"/>
    <xf numFmtId="168" fontId="28" fillId="50" borderId="0" applyNumberFormat="0" applyBorder="0" applyAlignment="0" applyProtection="0"/>
    <xf numFmtId="168" fontId="28" fillId="50" borderId="0" applyNumberFormat="0" applyBorder="0" applyAlignment="0" applyProtection="0"/>
    <xf numFmtId="168" fontId="24" fillId="9" borderId="0" applyNumberFormat="0" applyBorder="0" applyAlignment="0" applyProtection="0"/>
    <xf numFmtId="168" fontId="24" fillId="9" borderId="0" applyNumberFormat="0" applyBorder="0" applyAlignment="0" applyProtection="0"/>
    <xf numFmtId="168" fontId="24" fillId="9" borderId="0" applyNumberFormat="0" applyBorder="0" applyAlignment="0" applyProtection="0"/>
    <xf numFmtId="168" fontId="29" fillId="9" borderId="0" applyNumberFormat="0" applyBorder="0" applyAlignment="0" applyProtection="0"/>
    <xf numFmtId="168" fontId="29" fillId="9" borderId="0" applyNumberFormat="0" applyBorder="0" applyAlignment="0" applyProtection="0"/>
    <xf numFmtId="0" fontId="28" fillId="51" borderId="0" applyNumberFormat="0" applyBorder="0" applyAlignment="0" applyProtection="0"/>
    <xf numFmtId="168" fontId="28" fillId="51" borderId="0" applyNumberFormat="0" applyBorder="0" applyAlignment="0" applyProtection="0"/>
    <xf numFmtId="168" fontId="28" fillId="51" borderId="0" applyNumberFormat="0" applyBorder="0" applyAlignment="0" applyProtection="0"/>
    <xf numFmtId="168" fontId="29" fillId="9" borderId="0" applyNumberFormat="0" applyBorder="0" applyAlignment="0" applyProtection="0"/>
    <xf numFmtId="168" fontId="28" fillId="51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168" fontId="28" fillId="51" borderId="0" applyNumberFormat="0" applyBorder="0" applyAlignment="0" applyProtection="0"/>
    <xf numFmtId="168" fontId="28" fillId="51" borderId="0" applyNumberFormat="0" applyBorder="0" applyAlignment="0" applyProtection="0"/>
    <xf numFmtId="168" fontId="28" fillId="51" borderId="0" applyNumberFormat="0" applyBorder="0" applyAlignment="0" applyProtection="0"/>
    <xf numFmtId="168" fontId="28" fillId="51" borderId="0" applyNumberFormat="0" applyBorder="0" applyAlignment="0" applyProtection="0"/>
    <xf numFmtId="168" fontId="29" fillId="9" borderId="0" applyNumberFormat="0" applyBorder="0" applyAlignment="0" applyProtection="0"/>
    <xf numFmtId="0" fontId="24" fillId="9" borderId="0" applyNumberFormat="0" applyBorder="0" applyAlignment="0" applyProtection="0"/>
    <xf numFmtId="168" fontId="28" fillId="51" borderId="0" applyNumberFormat="0" applyBorder="0" applyAlignment="0" applyProtection="0"/>
    <xf numFmtId="168" fontId="28" fillId="51" borderId="0" applyNumberFormat="0" applyBorder="0" applyAlignment="0" applyProtection="0"/>
    <xf numFmtId="168" fontId="28" fillId="51" borderId="0" applyNumberFormat="0" applyBorder="0" applyAlignment="0" applyProtection="0"/>
    <xf numFmtId="168" fontId="29" fillId="9" borderId="0" applyNumberFormat="0" applyBorder="0" applyAlignment="0" applyProtection="0"/>
    <xf numFmtId="168" fontId="29" fillId="9" borderId="0" applyNumberFormat="0" applyBorder="0" applyAlignment="0" applyProtection="0"/>
    <xf numFmtId="168" fontId="29" fillId="9" borderId="0" applyNumberFormat="0" applyBorder="0" applyAlignment="0" applyProtection="0"/>
    <xf numFmtId="168" fontId="29" fillId="9" borderId="0" applyNumberFormat="0" applyBorder="0" applyAlignment="0" applyProtection="0"/>
    <xf numFmtId="168" fontId="29" fillId="9" borderId="0" applyNumberFormat="0" applyBorder="0" applyAlignment="0" applyProtection="0"/>
    <xf numFmtId="168" fontId="29" fillId="9" borderId="0" applyNumberFormat="0" applyBorder="0" applyAlignment="0" applyProtection="0"/>
    <xf numFmtId="0" fontId="28" fillId="51" borderId="0" applyNumberFormat="0" applyBorder="0" applyAlignment="0" applyProtection="0"/>
    <xf numFmtId="168" fontId="28" fillId="51" borderId="0" applyNumberFormat="0" applyBorder="0" applyAlignment="0" applyProtection="0"/>
    <xf numFmtId="168" fontId="28" fillId="51" borderId="0" applyNumberFormat="0" applyBorder="0" applyAlignment="0" applyProtection="0"/>
    <xf numFmtId="168" fontId="28" fillId="50" borderId="0" applyNumberFormat="0" applyBorder="0" applyAlignment="0" applyProtection="0"/>
    <xf numFmtId="168" fontId="28" fillId="50" borderId="0" applyNumberFormat="0" applyBorder="0" applyAlignment="0" applyProtection="0"/>
    <xf numFmtId="168" fontId="28" fillId="50" borderId="0" applyNumberFormat="0" applyBorder="0" applyAlignment="0" applyProtection="0"/>
    <xf numFmtId="168" fontId="28" fillId="50" borderId="0" applyNumberFormat="0" applyBorder="0" applyAlignment="0" applyProtection="0"/>
    <xf numFmtId="168" fontId="28" fillId="50" borderId="0" applyNumberFormat="0" applyBorder="0" applyAlignment="0" applyProtection="0"/>
    <xf numFmtId="168" fontId="28" fillId="52" borderId="0" applyNumberFormat="0" applyBorder="0" applyAlignment="0" applyProtection="0"/>
    <xf numFmtId="168" fontId="28" fillId="52" borderId="0" applyNumberFormat="0" applyBorder="0" applyAlignment="0" applyProtection="0"/>
    <xf numFmtId="168" fontId="28" fillId="52" borderId="0" applyNumberFormat="0" applyBorder="0" applyAlignment="0" applyProtection="0"/>
    <xf numFmtId="168" fontId="28" fillId="52" borderId="0" applyNumberFormat="0" applyBorder="0" applyAlignment="0" applyProtection="0"/>
    <xf numFmtId="168" fontId="28" fillId="52" borderId="0" applyNumberFormat="0" applyBorder="0" applyAlignment="0" applyProtection="0"/>
    <xf numFmtId="168" fontId="24" fillId="13" borderId="0" applyNumberFormat="0" applyBorder="0" applyAlignment="0" applyProtection="0"/>
    <xf numFmtId="168" fontId="24" fillId="13" borderId="0" applyNumberFormat="0" applyBorder="0" applyAlignment="0" applyProtection="0"/>
    <xf numFmtId="168" fontId="24" fillId="13" borderId="0" applyNumberFormat="0" applyBorder="0" applyAlignment="0" applyProtection="0"/>
    <xf numFmtId="168" fontId="29" fillId="13" borderId="0" applyNumberFormat="0" applyBorder="0" applyAlignment="0" applyProtection="0"/>
    <xf numFmtId="168" fontId="29" fillId="13" borderId="0" applyNumberFormat="0" applyBorder="0" applyAlignment="0" applyProtection="0"/>
    <xf numFmtId="0" fontId="28" fillId="46" borderId="0" applyNumberFormat="0" applyBorder="0" applyAlignment="0" applyProtection="0"/>
    <xf numFmtId="168" fontId="28" fillId="46" borderId="0" applyNumberFormat="0" applyBorder="0" applyAlignment="0" applyProtection="0"/>
    <xf numFmtId="168" fontId="28" fillId="46" borderId="0" applyNumberFormat="0" applyBorder="0" applyAlignment="0" applyProtection="0"/>
    <xf numFmtId="168" fontId="29" fillId="13" borderId="0" applyNumberFormat="0" applyBorder="0" applyAlignment="0" applyProtection="0"/>
    <xf numFmtId="168" fontId="28" fillId="4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168" fontId="28" fillId="46" borderId="0" applyNumberFormat="0" applyBorder="0" applyAlignment="0" applyProtection="0"/>
    <xf numFmtId="168" fontId="28" fillId="46" borderId="0" applyNumberFormat="0" applyBorder="0" applyAlignment="0" applyProtection="0"/>
    <xf numFmtId="168" fontId="28" fillId="46" borderId="0" applyNumberFormat="0" applyBorder="0" applyAlignment="0" applyProtection="0"/>
    <xf numFmtId="168" fontId="28" fillId="46" borderId="0" applyNumberFormat="0" applyBorder="0" applyAlignment="0" applyProtection="0"/>
    <xf numFmtId="168" fontId="29" fillId="13" borderId="0" applyNumberFormat="0" applyBorder="0" applyAlignment="0" applyProtection="0"/>
    <xf numFmtId="0" fontId="24" fillId="13" borderId="0" applyNumberFormat="0" applyBorder="0" applyAlignment="0" applyProtection="0"/>
    <xf numFmtId="168" fontId="28" fillId="46" borderId="0" applyNumberFormat="0" applyBorder="0" applyAlignment="0" applyProtection="0"/>
    <xf numFmtId="168" fontId="28" fillId="46" borderId="0" applyNumberFormat="0" applyBorder="0" applyAlignment="0" applyProtection="0"/>
    <xf numFmtId="168" fontId="28" fillId="46" borderId="0" applyNumberFormat="0" applyBorder="0" applyAlignment="0" applyProtection="0"/>
    <xf numFmtId="168" fontId="29" fillId="13" borderId="0" applyNumberFormat="0" applyBorder="0" applyAlignment="0" applyProtection="0"/>
    <xf numFmtId="168" fontId="29" fillId="13" borderId="0" applyNumberFormat="0" applyBorder="0" applyAlignment="0" applyProtection="0"/>
    <xf numFmtId="168" fontId="29" fillId="13" borderId="0" applyNumberFormat="0" applyBorder="0" applyAlignment="0" applyProtection="0"/>
    <xf numFmtId="168" fontId="29" fillId="13" borderId="0" applyNumberFormat="0" applyBorder="0" applyAlignment="0" applyProtection="0"/>
    <xf numFmtId="168" fontId="29" fillId="13" borderId="0" applyNumberFormat="0" applyBorder="0" applyAlignment="0" applyProtection="0"/>
    <xf numFmtId="168" fontId="29" fillId="13" borderId="0" applyNumberFormat="0" applyBorder="0" applyAlignment="0" applyProtection="0"/>
    <xf numFmtId="0" fontId="28" fillId="46" borderId="0" applyNumberFormat="0" applyBorder="0" applyAlignment="0" applyProtection="0"/>
    <xf numFmtId="168" fontId="28" fillId="46" borderId="0" applyNumberFormat="0" applyBorder="0" applyAlignment="0" applyProtection="0"/>
    <xf numFmtId="168" fontId="28" fillId="46" borderId="0" applyNumberFormat="0" applyBorder="0" applyAlignment="0" applyProtection="0"/>
    <xf numFmtId="168" fontId="28" fillId="52" borderId="0" applyNumberFormat="0" applyBorder="0" applyAlignment="0" applyProtection="0"/>
    <xf numFmtId="168" fontId="28" fillId="52" borderId="0" applyNumberFormat="0" applyBorder="0" applyAlignment="0" applyProtection="0"/>
    <xf numFmtId="168" fontId="28" fillId="52" borderId="0" applyNumberFormat="0" applyBorder="0" applyAlignment="0" applyProtection="0"/>
    <xf numFmtId="168" fontId="28" fillId="52" borderId="0" applyNumberFormat="0" applyBorder="0" applyAlignment="0" applyProtection="0"/>
    <xf numFmtId="168" fontId="28" fillId="52" borderId="0" applyNumberFormat="0" applyBorder="0" applyAlignment="0" applyProtection="0"/>
    <xf numFmtId="168" fontId="28" fillId="53" borderId="0" applyNumberFormat="0" applyBorder="0" applyAlignment="0" applyProtection="0"/>
    <xf numFmtId="168" fontId="28" fillId="53" borderId="0" applyNumberFormat="0" applyBorder="0" applyAlignment="0" applyProtection="0"/>
    <xf numFmtId="168" fontId="28" fillId="53" borderId="0" applyNumberFormat="0" applyBorder="0" applyAlignment="0" applyProtection="0"/>
    <xf numFmtId="168" fontId="28" fillId="53" borderId="0" applyNumberFormat="0" applyBorder="0" applyAlignment="0" applyProtection="0"/>
    <xf numFmtId="168" fontId="28" fillId="53" borderId="0" applyNumberFormat="0" applyBorder="0" applyAlignment="0" applyProtection="0"/>
    <xf numFmtId="168" fontId="24" fillId="17" borderId="0" applyNumberFormat="0" applyBorder="0" applyAlignment="0" applyProtection="0"/>
    <xf numFmtId="168" fontId="24" fillId="17" borderId="0" applyNumberFormat="0" applyBorder="0" applyAlignment="0" applyProtection="0"/>
    <xf numFmtId="168" fontId="24" fillId="17" borderId="0" applyNumberFormat="0" applyBorder="0" applyAlignment="0" applyProtection="0"/>
    <xf numFmtId="168" fontId="29" fillId="17" borderId="0" applyNumberFormat="0" applyBorder="0" applyAlignment="0" applyProtection="0"/>
    <xf numFmtId="168" fontId="29" fillId="17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168" fontId="28" fillId="44" borderId="0" applyNumberFormat="0" applyBorder="0" applyAlignment="0" applyProtection="0"/>
    <xf numFmtId="168" fontId="29" fillId="17" borderId="0" applyNumberFormat="0" applyBorder="0" applyAlignment="0" applyProtection="0"/>
    <xf numFmtId="168" fontId="28" fillId="44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168" fontId="28" fillId="44" borderId="0" applyNumberFormat="0" applyBorder="0" applyAlignment="0" applyProtection="0"/>
    <xf numFmtId="168" fontId="28" fillId="44" borderId="0" applyNumberFormat="0" applyBorder="0" applyAlignment="0" applyProtection="0"/>
    <xf numFmtId="168" fontId="28" fillId="44" borderId="0" applyNumberFormat="0" applyBorder="0" applyAlignment="0" applyProtection="0"/>
    <xf numFmtId="168" fontId="28" fillId="44" borderId="0" applyNumberFormat="0" applyBorder="0" applyAlignment="0" applyProtection="0"/>
    <xf numFmtId="168" fontId="29" fillId="17" borderId="0" applyNumberFormat="0" applyBorder="0" applyAlignment="0" applyProtection="0"/>
    <xf numFmtId="0" fontId="24" fillId="17" borderId="0" applyNumberFormat="0" applyBorder="0" applyAlignment="0" applyProtection="0"/>
    <xf numFmtId="168" fontId="28" fillId="44" borderId="0" applyNumberFormat="0" applyBorder="0" applyAlignment="0" applyProtection="0"/>
    <xf numFmtId="168" fontId="28" fillId="44" borderId="0" applyNumberFormat="0" applyBorder="0" applyAlignment="0" applyProtection="0"/>
    <xf numFmtId="168" fontId="28" fillId="44" borderId="0" applyNumberFormat="0" applyBorder="0" applyAlignment="0" applyProtection="0"/>
    <xf numFmtId="168" fontId="29" fillId="17" borderId="0" applyNumberFormat="0" applyBorder="0" applyAlignment="0" applyProtection="0"/>
    <xf numFmtId="168" fontId="29" fillId="17" borderId="0" applyNumberFormat="0" applyBorder="0" applyAlignment="0" applyProtection="0"/>
    <xf numFmtId="168" fontId="29" fillId="17" borderId="0" applyNumberFormat="0" applyBorder="0" applyAlignment="0" applyProtection="0"/>
    <xf numFmtId="168" fontId="29" fillId="17" borderId="0" applyNumberFormat="0" applyBorder="0" applyAlignment="0" applyProtection="0"/>
    <xf numFmtId="168" fontId="29" fillId="17" borderId="0" applyNumberFormat="0" applyBorder="0" applyAlignment="0" applyProtection="0"/>
    <xf numFmtId="168" fontId="29" fillId="17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168" fontId="28" fillId="44" borderId="0" applyNumberFormat="0" applyBorder="0" applyAlignment="0" applyProtection="0"/>
    <xf numFmtId="168" fontId="28" fillId="53" borderId="0" applyNumberFormat="0" applyBorder="0" applyAlignment="0" applyProtection="0"/>
    <xf numFmtId="168" fontId="28" fillId="53" borderId="0" applyNumberFormat="0" applyBorder="0" applyAlignment="0" applyProtection="0"/>
    <xf numFmtId="168" fontId="28" fillId="53" borderId="0" applyNumberFormat="0" applyBorder="0" applyAlignment="0" applyProtection="0"/>
    <xf numFmtId="168" fontId="28" fillId="53" borderId="0" applyNumberFormat="0" applyBorder="0" applyAlignment="0" applyProtection="0"/>
    <xf numFmtId="168" fontId="28" fillId="53" borderId="0" applyNumberFormat="0" applyBorder="0" applyAlignment="0" applyProtection="0"/>
    <xf numFmtId="168" fontId="28" fillId="47" borderId="0" applyNumberFormat="0" applyBorder="0" applyAlignment="0" applyProtection="0"/>
    <xf numFmtId="168" fontId="28" fillId="47" borderId="0" applyNumberFormat="0" applyBorder="0" applyAlignment="0" applyProtection="0"/>
    <xf numFmtId="168" fontId="28" fillId="47" borderId="0" applyNumberFormat="0" applyBorder="0" applyAlignment="0" applyProtection="0"/>
    <xf numFmtId="168" fontId="28" fillId="47" borderId="0" applyNumberFormat="0" applyBorder="0" applyAlignment="0" applyProtection="0"/>
    <xf numFmtId="168" fontId="28" fillId="47" borderId="0" applyNumberFormat="0" applyBorder="0" applyAlignment="0" applyProtection="0"/>
    <xf numFmtId="168" fontId="24" fillId="21" borderId="0" applyNumberFormat="0" applyBorder="0" applyAlignment="0" applyProtection="0"/>
    <xf numFmtId="168" fontId="24" fillId="21" borderId="0" applyNumberFormat="0" applyBorder="0" applyAlignment="0" applyProtection="0"/>
    <xf numFmtId="168" fontId="24" fillId="21" borderId="0" applyNumberFormat="0" applyBorder="0" applyAlignment="0" applyProtection="0"/>
    <xf numFmtId="168" fontId="29" fillId="21" borderId="0" applyNumberFormat="0" applyBorder="0" applyAlignment="0" applyProtection="0"/>
    <xf numFmtId="168" fontId="29" fillId="21" borderId="0" applyNumberFormat="0" applyBorder="0" applyAlignment="0" applyProtection="0"/>
    <xf numFmtId="0" fontId="28" fillId="54" borderId="0" applyNumberFormat="0" applyBorder="0" applyAlignment="0" applyProtection="0"/>
    <xf numFmtId="168" fontId="28" fillId="54" borderId="0" applyNumberFormat="0" applyBorder="0" applyAlignment="0" applyProtection="0"/>
    <xf numFmtId="168" fontId="28" fillId="54" borderId="0" applyNumberFormat="0" applyBorder="0" applyAlignment="0" applyProtection="0"/>
    <xf numFmtId="168" fontId="29" fillId="21" borderId="0" applyNumberFormat="0" applyBorder="0" applyAlignment="0" applyProtection="0"/>
    <xf numFmtId="168" fontId="28" fillId="54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168" fontId="28" fillId="54" borderId="0" applyNumberFormat="0" applyBorder="0" applyAlignment="0" applyProtection="0"/>
    <xf numFmtId="168" fontId="28" fillId="54" borderId="0" applyNumberFormat="0" applyBorder="0" applyAlignment="0" applyProtection="0"/>
    <xf numFmtId="168" fontId="28" fillId="54" borderId="0" applyNumberFormat="0" applyBorder="0" applyAlignment="0" applyProtection="0"/>
    <xf numFmtId="168" fontId="28" fillId="54" borderId="0" applyNumberFormat="0" applyBorder="0" applyAlignment="0" applyProtection="0"/>
    <xf numFmtId="168" fontId="29" fillId="21" borderId="0" applyNumberFormat="0" applyBorder="0" applyAlignment="0" applyProtection="0"/>
    <xf numFmtId="0" fontId="24" fillId="21" borderId="0" applyNumberFormat="0" applyBorder="0" applyAlignment="0" applyProtection="0"/>
    <xf numFmtId="168" fontId="28" fillId="54" borderId="0" applyNumberFormat="0" applyBorder="0" applyAlignment="0" applyProtection="0"/>
    <xf numFmtId="168" fontId="28" fillId="54" borderId="0" applyNumberFormat="0" applyBorder="0" applyAlignment="0" applyProtection="0"/>
    <xf numFmtId="168" fontId="28" fillId="54" borderId="0" applyNumberFormat="0" applyBorder="0" applyAlignment="0" applyProtection="0"/>
    <xf numFmtId="168" fontId="29" fillId="21" borderId="0" applyNumberFormat="0" applyBorder="0" applyAlignment="0" applyProtection="0"/>
    <xf numFmtId="168" fontId="29" fillId="21" borderId="0" applyNumberFormat="0" applyBorder="0" applyAlignment="0" applyProtection="0"/>
    <xf numFmtId="168" fontId="29" fillId="21" borderId="0" applyNumberFormat="0" applyBorder="0" applyAlignment="0" applyProtection="0"/>
    <xf numFmtId="168" fontId="29" fillId="21" borderId="0" applyNumberFormat="0" applyBorder="0" applyAlignment="0" applyProtection="0"/>
    <xf numFmtId="168" fontId="29" fillId="21" borderId="0" applyNumberFormat="0" applyBorder="0" applyAlignment="0" applyProtection="0"/>
    <xf numFmtId="168" fontId="29" fillId="21" borderId="0" applyNumberFormat="0" applyBorder="0" applyAlignment="0" applyProtection="0"/>
    <xf numFmtId="0" fontId="28" fillId="54" borderId="0" applyNumberFormat="0" applyBorder="0" applyAlignment="0" applyProtection="0"/>
    <xf numFmtId="168" fontId="28" fillId="54" borderId="0" applyNumberFormat="0" applyBorder="0" applyAlignment="0" applyProtection="0"/>
    <xf numFmtId="168" fontId="28" fillId="54" borderId="0" applyNumberFormat="0" applyBorder="0" applyAlignment="0" applyProtection="0"/>
    <xf numFmtId="168" fontId="28" fillId="47" borderId="0" applyNumberFormat="0" applyBorder="0" applyAlignment="0" applyProtection="0"/>
    <xf numFmtId="168" fontId="28" fillId="47" borderId="0" applyNumberFormat="0" applyBorder="0" applyAlignment="0" applyProtection="0"/>
    <xf numFmtId="168" fontId="28" fillId="47" borderId="0" applyNumberFormat="0" applyBorder="0" applyAlignment="0" applyProtection="0"/>
    <xf numFmtId="168" fontId="28" fillId="47" borderId="0" applyNumberFormat="0" applyBorder="0" applyAlignment="0" applyProtection="0"/>
    <xf numFmtId="168" fontId="28" fillId="47" borderId="0" applyNumberFormat="0" applyBorder="0" applyAlignment="0" applyProtection="0"/>
    <xf numFmtId="168" fontId="28" fillId="48" borderId="0" applyNumberFormat="0" applyBorder="0" applyAlignment="0" applyProtection="0"/>
    <xf numFmtId="168" fontId="28" fillId="48" borderId="0" applyNumberFormat="0" applyBorder="0" applyAlignment="0" applyProtection="0"/>
    <xf numFmtId="168" fontId="28" fillId="48" borderId="0" applyNumberFormat="0" applyBorder="0" applyAlignment="0" applyProtection="0"/>
    <xf numFmtId="168" fontId="28" fillId="48" borderId="0" applyNumberFormat="0" applyBorder="0" applyAlignment="0" applyProtection="0"/>
    <xf numFmtId="168" fontId="28" fillId="48" borderId="0" applyNumberFormat="0" applyBorder="0" applyAlignment="0" applyProtection="0"/>
    <xf numFmtId="168" fontId="24" fillId="25" borderId="0" applyNumberFormat="0" applyBorder="0" applyAlignment="0" applyProtection="0"/>
    <xf numFmtId="168" fontId="24" fillId="25" borderId="0" applyNumberFormat="0" applyBorder="0" applyAlignment="0" applyProtection="0"/>
    <xf numFmtId="168" fontId="24" fillId="25" borderId="0" applyNumberFormat="0" applyBorder="0" applyAlignment="0" applyProtection="0"/>
    <xf numFmtId="168" fontId="29" fillId="25" borderId="0" applyNumberFormat="0" applyBorder="0" applyAlignment="0" applyProtection="0"/>
    <xf numFmtId="168" fontId="29" fillId="25" borderId="0" applyNumberFormat="0" applyBorder="0" applyAlignment="0" applyProtection="0"/>
    <xf numFmtId="0" fontId="28" fillId="48" borderId="0" applyNumberFormat="0" applyBorder="0" applyAlignment="0" applyProtection="0"/>
    <xf numFmtId="168" fontId="28" fillId="48" borderId="0" applyNumberFormat="0" applyBorder="0" applyAlignment="0" applyProtection="0"/>
    <xf numFmtId="168" fontId="28" fillId="48" borderId="0" applyNumberFormat="0" applyBorder="0" applyAlignment="0" applyProtection="0"/>
    <xf numFmtId="168" fontId="29" fillId="25" borderId="0" applyNumberFormat="0" applyBorder="0" applyAlignment="0" applyProtection="0"/>
    <xf numFmtId="168" fontId="28" fillId="48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168" fontId="28" fillId="48" borderId="0" applyNumberFormat="0" applyBorder="0" applyAlignment="0" applyProtection="0"/>
    <xf numFmtId="168" fontId="28" fillId="48" borderId="0" applyNumberFormat="0" applyBorder="0" applyAlignment="0" applyProtection="0"/>
    <xf numFmtId="168" fontId="28" fillId="48" borderId="0" applyNumberFormat="0" applyBorder="0" applyAlignment="0" applyProtection="0"/>
    <xf numFmtId="168" fontId="28" fillId="48" borderId="0" applyNumberFormat="0" applyBorder="0" applyAlignment="0" applyProtection="0"/>
    <xf numFmtId="168" fontId="29" fillId="25" borderId="0" applyNumberFormat="0" applyBorder="0" applyAlignment="0" applyProtection="0"/>
    <xf numFmtId="0" fontId="24" fillId="25" borderId="0" applyNumberFormat="0" applyBorder="0" applyAlignment="0" applyProtection="0"/>
    <xf numFmtId="168" fontId="28" fillId="48" borderId="0" applyNumberFormat="0" applyBorder="0" applyAlignment="0" applyProtection="0"/>
    <xf numFmtId="168" fontId="28" fillId="48" borderId="0" applyNumberFormat="0" applyBorder="0" applyAlignment="0" applyProtection="0"/>
    <xf numFmtId="168" fontId="28" fillId="48" borderId="0" applyNumberFormat="0" applyBorder="0" applyAlignment="0" applyProtection="0"/>
    <xf numFmtId="168" fontId="29" fillId="25" borderId="0" applyNumberFormat="0" applyBorder="0" applyAlignment="0" applyProtection="0"/>
    <xf numFmtId="168" fontId="29" fillId="25" borderId="0" applyNumberFormat="0" applyBorder="0" applyAlignment="0" applyProtection="0"/>
    <xf numFmtId="168" fontId="29" fillId="25" borderId="0" applyNumberFormat="0" applyBorder="0" applyAlignment="0" applyProtection="0"/>
    <xf numFmtId="168" fontId="29" fillId="25" borderId="0" applyNumberFormat="0" applyBorder="0" applyAlignment="0" applyProtection="0"/>
    <xf numFmtId="168" fontId="29" fillId="25" borderId="0" applyNumberFormat="0" applyBorder="0" applyAlignment="0" applyProtection="0"/>
    <xf numFmtId="168" fontId="29" fillId="25" borderId="0" applyNumberFormat="0" applyBorder="0" applyAlignment="0" applyProtection="0"/>
    <xf numFmtId="0" fontId="28" fillId="48" borderId="0" applyNumberFormat="0" applyBorder="0" applyAlignment="0" applyProtection="0"/>
    <xf numFmtId="168" fontId="28" fillId="48" borderId="0" applyNumberFormat="0" applyBorder="0" applyAlignment="0" applyProtection="0"/>
    <xf numFmtId="168" fontId="28" fillId="48" borderId="0" applyNumberFormat="0" applyBorder="0" applyAlignment="0" applyProtection="0"/>
    <xf numFmtId="168" fontId="28" fillId="48" borderId="0" applyNumberFormat="0" applyBorder="0" applyAlignment="0" applyProtection="0"/>
    <xf numFmtId="168" fontId="28" fillId="48" borderId="0" applyNumberFormat="0" applyBorder="0" applyAlignment="0" applyProtection="0"/>
    <xf numFmtId="168" fontId="28" fillId="48" borderId="0" applyNumberFormat="0" applyBorder="0" applyAlignment="0" applyProtection="0"/>
    <xf numFmtId="168" fontId="28" fillId="48" borderId="0" applyNumberFormat="0" applyBorder="0" applyAlignment="0" applyProtection="0"/>
    <xf numFmtId="168" fontId="28" fillId="48" borderId="0" applyNumberFormat="0" applyBorder="0" applyAlignment="0" applyProtection="0"/>
    <xf numFmtId="168" fontId="28" fillId="46" borderId="0" applyNumberFormat="0" applyBorder="0" applyAlignment="0" applyProtection="0"/>
    <xf numFmtId="168" fontId="28" fillId="46" borderId="0" applyNumberFormat="0" applyBorder="0" applyAlignment="0" applyProtection="0"/>
    <xf numFmtId="168" fontId="28" fillId="46" borderId="0" applyNumberFormat="0" applyBorder="0" applyAlignment="0" applyProtection="0"/>
    <xf numFmtId="168" fontId="28" fillId="46" borderId="0" applyNumberFormat="0" applyBorder="0" applyAlignment="0" applyProtection="0"/>
    <xf numFmtId="168" fontId="28" fillId="46" borderId="0" applyNumberFormat="0" applyBorder="0" applyAlignment="0" applyProtection="0"/>
    <xf numFmtId="168" fontId="24" fillId="29" borderId="0" applyNumberFormat="0" applyBorder="0" applyAlignment="0" applyProtection="0"/>
    <xf numFmtId="168" fontId="24" fillId="29" borderId="0" applyNumberFormat="0" applyBorder="0" applyAlignment="0" applyProtection="0"/>
    <xf numFmtId="168" fontId="24" fillId="29" borderId="0" applyNumberFormat="0" applyBorder="0" applyAlignment="0" applyProtection="0"/>
    <xf numFmtId="168" fontId="29" fillId="29" borderId="0" applyNumberFormat="0" applyBorder="0" applyAlignment="0" applyProtection="0"/>
    <xf numFmtId="168" fontId="29" fillId="29" borderId="0" applyNumberFormat="0" applyBorder="0" applyAlignment="0" applyProtection="0"/>
    <xf numFmtId="0" fontId="28" fillId="52" borderId="0" applyNumberFormat="0" applyBorder="0" applyAlignment="0" applyProtection="0"/>
    <xf numFmtId="168" fontId="28" fillId="52" borderId="0" applyNumberFormat="0" applyBorder="0" applyAlignment="0" applyProtection="0"/>
    <xf numFmtId="168" fontId="28" fillId="52" borderId="0" applyNumberFormat="0" applyBorder="0" applyAlignment="0" applyProtection="0"/>
    <xf numFmtId="168" fontId="29" fillId="29" borderId="0" applyNumberFormat="0" applyBorder="0" applyAlignment="0" applyProtection="0"/>
    <xf numFmtId="168" fontId="28" fillId="52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168" fontId="28" fillId="52" borderId="0" applyNumberFormat="0" applyBorder="0" applyAlignment="0" applyProtection="0"/>
    <xf numFmtId="168" fontId="28" fillId="52" borderId="0" applyNumberFormat="0" applyBorder="0" applyAlignment="0" applyProtection="0"/>
    <xf numFmtId="168" fontId="28" fillId="52" borderId="0" applyNumberFormat="0" applyBorder="0" applyAlignment="0" applyProtection="0"/>
    <xf numFmtId="168" fontId="28" fillId="52" borderId="0" applyNumberFormat="0" applyBorder="0" applyAlignment="0" applyProtection="0"/>
    <xf numFmtId="168" fontId="29" fillId="29" borderId="0" applyNumberFormat="0" applyBorder="0" applyAlignment="0" applyProtection="0"/>
    <xf numFmtId="0" fontId="24" fillId="29" borderId="0" applyNumberFormat="0" applyBorder="0" applyAlignment="0" applyProtection="0"/>
    <xf numFmtId="168" fontId="28" fillId="52" borderId="0" applyNumberFormat="0" applyBorder="0" applyAlignment="0" applyProtection="0"/>
    <xf numFmtId="168" fontId="28" fillId="52" borderId="0" applyNumberFormat="0" applyBorder="0" applyAlignment="0" applyProtection="0"/>
    <xf numFmtId="168" fontId="28" fillId="52" borderId="0" applyNumberFormat="0" applyBorder="0" applyAlignment="0" applyProtection="0"/>
    <xf numFmtId="168" fontId="29" fillId="29" borderId="0" applyNumberFormat="0" applyBorder="0" applyAlignment="0" applyProtection="0"/>
    <xf numFmtId="168" fontId="29" fillId="29" borderId="0" applyNumberFormat="0" applyBorder="0" applyAlignment="0" applyProtection="0"/>
    <xf numFmtId="168" fontId="29" fillId="29" borderId="0" applyNumberFormat="0" applyBorder="0" applyAlignment="0" applyProtection="0"/>
    <xf numFmtId="168" fontId="29" fillId="29" borderId="0" applyNumberFormat="0" applyBorder="0" applyAlignment="0" applyProtection="0"/>
    <xf numFmtId="168" fontId="29" fillId="29" borderId="0" applyNumberFormat="0" applyBorder="0" applyAlignment="0" applyProtection="0"/>
    <xf numFmtId="168" fontId="29" fillId="29" borderId="0" applyNumberFormat="0" applyBorder="0" applyAlignment="0" applyProtection="0"/>
    <xf numFmtId="0" fontId="28" fillId="52" borderId="0" applyNumberFormat="0" applyBorder="0" applyAlignment="0" applyProtection="0"/>
    <xf numFmtId="168" fontId="28" fillId="52" borderId="0" applyNumberFormat="0" applyBorder="0" applyAlignment="0" applyProtection="0"/>
    <xf numFmtId="168" fontId="28" fillId="52" borderId="0" applyNumberFormat="0" applyBorder="0" applyAlignment="0" applyProtection="0"/>
    <xf numFmtId="168" fontId="28" fillId="46" borderId="0" applyNumberFormat="0" applyBorder="0" applyAlignment="0" applyProtection="0"/>
    <xf numFmtId="168" fontId="28" fillId="46" borderId="0" applyNumberFormat="0" applyBorder="0" applyAlignment="0" applyProtection="0"/>
    <xf numFmtId="168" fontId="28" fillId="46" borderId="0" applyNumberFormat="0" applyBorder="0" applyAlignment="0" applyProtection="0"/>
    <xf numFmtId="168" fontId="28" fillId="46" borderId="0" applyNumberFormat="0" applyBorder="0" applyAlignment="0" applyProtection="0"/>
    <xf numFmtId="168" fontId="28" fillId="46" borderId="0" applyNumberFormat="0" applyBorder="0" applyAlignment="0" applyProtection="0"/>
    <xf numFmtId="168" fontId="30" fillId="35" borderId="0" applyNumberFormat="0" applyBorder="0" applyAlignment="0" applyProtection="0"/>
    <xf numFmtId="168" fontId="30" fillId="35" borderId="0" applyNumberFormat="0" applyBorder="0" applyAlignment="0" applyProtection="0"/>
    <xf numFmtId="168" fontId="30" fillId="35" borderId="0" applyNumberFormat="0" applyBorder="0" applyAlignment="0" applyProtection="0"/>
    <xf numFmtId="168" fontId="30" fillId="35" borderId="0" applyNumberFormat="0" applyBorder="0" applyAlignment="0" applyProtection="0"/>
    <xf numFmtId="168" fontId="30" fillId="35" borderId="0" applyNumberFormat="0" applyBorder="0" applyAlignment="0" applyProtection="0"/>
    <xf numFmtId="168" fontId="14" fillId="3" borderId="0" applyNumberFormat="0" applyBorder="0" applyAlignment="0" applyProtection="0"/>
    <xf numFmtId="168" fontId="14" fillId="3" borderId="0" applyNumberFormat="0" applyBorder="0" applyAlignment="0" applyProtection="0"/>
    <xf numFmtId="168" fontId="14" fillId="3" borderId="0" applyNumberFormat="0" applyBorder="0" applyAlignment="0" applyProtection="0"/>
    <xf numFmtId="168" fontId="31" fillId="3" borderId="0" applyNumberFormat="0" applyBorder="0" applyAlignment="0" applyProtection="0"/>
    <xf numFmtId="168" fontId="31" fillId="3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168" fontId="30" fillId="39" borderId="0" applyNumberFormat="0" applyBorder="0" applyAlignment="0" applyProtection="0"/>
    <xf numFmtId="168" fontId="31" fillId="3" borderId="0" applyNumberFormat="0" applyBorder="0" applyAlignment="0" applyProtection="0"/>
    <xf numFmtId="168" fontId="30" fillId="39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168" fontId="30" fillId="39" borderId="0" applyNumberFormat="0" applyBorder="0" applyAlignment="0" applyProtection="0"/>
    <xf numFmtId="168" fontId="30" fillId="39" borderId="0" applyNumberFormat="0" applyBorder="0" applyAlignment="0" applyProtection="0"/>
    <xf numFmtId="168" fontId="30" fillId="39" borderId="0" applyNumberFormat="0" applyBorder="0" applyAlignment="0" applyProtection="0"/>
    <xf numFmtId="168" fontId="30" fillId="39" borderId="0" applyNumberFormat="0" applyBorder="0" applyAlignment="0" applyProtection="0"/>
    <xf numFmtId="168" fontId="31" fillId="3" borderId="0" applyNumberFormat="0" applyBorder="0" applyAlignment="0" applyProtection="0"/>
    <xf numFmtId="0" fontId="14" fillId="3" borderId="0" applyNumberFormat="0" applyBorder="0" applyAlignment="0" applyProtection="0"/>
    <xf numFmtId="168" fontId="30" fillId="39" borderId="0" applyNumberFormat="0" applyBorder="0" applyAlignment="0" applyProtection="0"/>
    <xf numFmtId="168" fontId="30" fillId="39" borderId="0" applyNumberFormat="0" applyBorder="0" applyAlignment="0" applyProtection="0"/>
    <xf numFmtId="168" fontId="30" fillId="39" borderId="0" applyNumberFormat="0" applyBorder="0" applyAlignment="0" applyProtection="0"/>
    <xf numFmtId="168" fontId="31" fillId="3" borderId="0" applyNumberFormat="0" applyBorder="0" applyAlignment="0" applyProtection="0"/>
    <xf numFmtId="168" fontId="31" fillId="3" borderId="0" applyNumberFormat="0" applyBorder="0" applyAlignment="0" applyProtection="0"/>
    <xf numFmtId="168" fontId="31" fillId="3" borderId="0" applyNumberFormat="0" applyBorder="0" applyAlignment="0" applyProtection="0"/>
    <xf numFmtId="168" fontId="31" fillId="3" borderId="0" applyNumberFormat="0" applyBorder="0" applyAlignment="0" applyProtection="0"/>
    <xf numFmtId="168" fontId="31" fillId="3" borderId="0" applyNumberFormat="0" applyBorder="0" applyAlignment="0" applyProtection="0"/>
    <xf numFmtId="168" fontId="31" fillId="3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168" fontId="30" fillId="39" borderId="0" applyNumberFormat="0" applyBorder="0" applyAlignment="0" applyProtection="0"/>
    <xf numFmtId="168" fontId="30" fillId="35" borderId="0" applyNumberFormat="0" applyBorder="0" applyAlignment="0" applyProtection="0"/>
    <xf numFmtId="168" fontId="30" fillId="35" borderId="0" applyNumberFormat="0" applyBorder="0" applyAlignment="0" applyProtection="0"/>
    <xf numFmtId="168" fontId="30" fillId="35" borderId="0" applyNumberFormat="0" applyBorder="0" applyAlignment="0" applyProtection="0"/>
    <xf numFmtId="168" fontId="30" fillId="35" borderId="0" applyNumberFormat="0" applyBorder="0" applyAlignment="0" applyProtection="0"/>
    <xf numFmtId="168" fontId="30" fillId="35" borderId="0" applyNumberFormat="0" applyBorder="0" applyAlignment="0" applyProtection="0"/>
    <xf numFmtId="168" fontId="32" fillId="55" borderId="15" applyNumberFormat="0" applyAlignment="0" applyProtection="0"/>
    <xf numFmtId="168" fontId="32" fillId="55" borderId="15" applyNumberFormat="0" applyAlignment="0" applyProtection="0"/>
    <xf numFmtId="168" fontId="32" fillId="55" borderId="15" applyNumberFormat="0" applyAlignment="0" applyProtection="0"/>
    <xf numFmtId="168" fontId="32" fillId="55" borderId="15" applyNumberFormat="0" applyAlignment="0" applyProtection="0"/>
    <xf numFmtId="168" fontId="32" fillId="55" borderId="15" applyNumberFormat="0" applyAlignment="0" applyProtection="0"/>
    <xf numFmtId="168" fontId="18" fillId="6" borderId="8" applyNumberFormat="0" applyAlignment="0" applyProtection="0"/>
    <xf numFmtId="168" fontId="18" fillId="6" borderId="8" applyNumberFormat="0" applyAlignment="0" applyProtection="0"/>
    <xf numFmtId="168" fontId="18" fillId="6" borderId="8" applyNumberFormat="0" applyAlignment="0" applyProtection="0"/>
    <xf numFmtId="168" fontId="33" fillId="6" borderId="8" applyNumberFormat="0" applyAlignment="0" applyProtection="0"/>
    <xf numFmtId="168" fontId="33" fillId="6" borderId="8" applyNumberFormat="0" applyAlignment="0" applyProtection="0"/>
    <xf numFmtId="0" fontId="34" fillId="56" borderId="15" applyNumberFormat="0" applyAlignment="0" applyProtection="0"/>
    <xf numFmtId="168" fontId="34" fillId="56" borderId="15" applyNumberFormat="0" applyAlignment="0" applyProtection="0"/>
    <xf numFmtId="168" fontId="34" fillId="56" borderId="15" applyNumberFormat="0" applyAlignment="0" applyProtection="0"/>
    <xf numFmtId="168" fontId="33" fillId="6" borderId="8" applyNumberFormat="0" applyAlignment="0" applyProtection="0"/>
    <xf numFmtId="168" fontId="34" fillId="56" borderId="15" applyNumberFormat="0" applyAlignment="0" applyProtection="0"/>
    <xf numFmtId="0" fontId="18" fillId="6" borderId="8" applyNumberFormat="0" applyAlignment="0" applyProtection="0"/>
    <xf numFmtId="0" fontId="18" fillId="6" borderId="8" applyNumberFormat="0" applyAlignment="0" applyProtection="0"/>
    <xf numFmtId="0" fontId="18" fillId="6" borderId="8" applyNumberFormat="0" applyAlignment="0" applyProtection="0"/>
    <xf numFmtId="0" fontId="18" fillId="6" borderId="8" applyNumberFormat="0" applyAlignment="0" applyProtection="0"/>
    <xf numFmtId="0" fontId="18" fillId="6" borderId="8" applyNumberFormat="0" applyAlignment="0" applyProtection="0"/>
    <xf numFmtId="168" fontId="34" fillId="56" borderId="15" applyNumberFormat="0" applyAlignment="0" applyProtection="0"/>
    <xf numFmtId="168" fontId="34" fillId="56" borderId="15" applyNumberFormat="0" applyAlignment="0" applyProtection="0"/>
    <xf numFmtId="168" fontId="34" fillId="56" borderId="15" applyNumberFormat="0" applyAlignment="0" applyProtection="0"/>
    <xf numFmtId="168" fontId="34" fillId="56" borderId="15" applyNumberFormat="0" applyAlignment="0" applyProtection="0"/>
    <xf numFmtId="168" fontId="33" fillId="6" borderId="8" applyNumberFormat="0" applyAlignment="0" applyProtection="0"/>
    <xf numFmtId="0" fontId="18" fillId="6" borderId="8" applyNumberFormat="0" applyAlignment="0" applyProtection="0"/>
    <xf numFmtId="168" fontId="34" fillId="56" borderId="15" applyNumberFormat="0" applyAlignment="0" applyProtection="0"/>
    <xf numFmtId="168" fontId="34" fillId="56" borderId="15" applyNumberFormat="0" applyAlignment="0" applyProtection="0"/>
    <xf numFmtId="168" fontId="34" fillId="56" borderId="15" applyNumberFormat="0" applyAlignment="0" applyProtection="0"/>
    <xf numFmtId="168" fontId="33" fillId="6" borderId="8" applyNumberFormat="0" applyAlignment="0" applyProtection="0"/>
    <xf numFmtId="168" fontId="33" fillId="6" borderId="8" applyNumberFormat="0" applyAlignment="0" applyProtection="0"/>
    <xf numFmtId="168" fontId="33" fillId="6" borderId="8" applyNumberFormat="0" applyAlignment="0" applyProtection="0"/>
    <xf numFmtId="168" fontId="33" fillId="6" borderId="8" applyNumberFormat="0" applyAlignment="0" applyProtection="0"/>
    <xf numFmtId="168" fontId="33" fillId="6" borderId="8" applyNumberFormat="0" applyAlignment="0" applyProtection="0"/>
    <xf numFmtId="168" fontId="33" fillId="6" borderId="8" applyNumberFormat="0" applyAlignment="0" applyProtection="0"/>
    <xf numFmtId="0" fontId="34" fillId="56" borderId="15" applyNumberFormat="0" applyAlignment="0" applyProtection="0"/>
    <xf numFmtId="168" fontId="34" fillId="56" borderId="15" applyNumberFormat="0" applyAlignment="0" applyProtection="0"/>
    <xf numFmtId="168" fontId="34" fillId="56" borderId="15" applyNumberFormat="0" applyAlignment="0" applyProtection="0"/>
    <xf numFmtId="168" fontId="32" fillId="55" borderId="15" applyNumberFormat="0" applyAlignment="0" applyProtection="0"/>
    <xf numFmtId="168" fontId="32" fillId="55" borderId="15" applyNumberFormat="0" applyAlignment="0" applyProtection="0"/>
    <xf numFmtId="168" fontId="32" fillId="55" borderId="15" applyNumberFormat="0" applyAlignment="0" applyProtection="0"/>
    <xf numFmtId="168" fontId="32" fillId="55" borderId="15" applyNumberFormat="0" applyAlignment="0" applyProtection="0"/>
    <xf numFmtId="168" fontId="32" fillId="55" borderId="15" applyNumberFormat="0" applyAlignment="0" applyProtection="0"/>
    <xf numFmtId="168" fontId="35" fillId="57" borderId="16" applyNumberFormat="0" applyAlignment="0" applyProtection="0"/>
    <xf numFmtId="168" fontId="35" fillId="57" borderId="16" applyNumberFormat="0" applyAlignment="0" applyProtection="0"/>
    <xf numFmtId="168" fontId="35" fillId="57" borderId="16" applyNumberFormat="0" applyAlignment="0" applyProtection="0"/>
    <xf numFmtId="168" fontId="35" fillId="57" borderId="16" applyNumberFormat="0" applyAlignment="0" applyProtection="0"/>
    <xf numFmtId="168" fontId="35" fillId="57" borderId="16" applyNumberFormat="0" applyAlignment="0" applyProtection="0"/>
    <xf numFmtId="168" fontId="20" fillId="7" borderId="11" applyNumberFormat="0" applyAlignment="0" applyProtection="0"/>
    <xf numFmtId="168" fontId="20" fillId="7" borderId="11" applyNumberFormat="0" applyAlignment="0" applyProtection="0"/>
    <xf numFmtId="168" fontId="20" fillId="7" borderId="11" applyNumberFormat="0" applyAlignment="0" applyProtection="0"/>
    <xf numFmtId="168" fontId="36" fillId="7" borderId="11" applyNumberFormat="0" applyAlignment="0" applyProtection="0"/>
    <xf numFmtId="168" fontId="36" fillId="7" borderId="11" applyNumberFormat="0" applyAlignment="0" applyProtection="0"/>
    <xf numFmtId="0" fontId="35" fillId="57" borderId="16" applyNumberFormat="0" applyAlignment="0" applyProtection="0"/>
    <xf numFmtId="168" fontId="35" fillId="57" borderId="16" applyNumberFormat="0" applyAlignment="0" applyProtection="0"/>
    <xf numFmtId="168" fontId="35" fillId="57" borderId="16" applyNumberFormat="0" applyAlignment="0" applyProtection="0"/>
    <xf numFmtId="168" fontId="36" fillId="7" borderId="11" applyNumberFormat="0" applyAlignment="0" applyProtection="0"/>
    <xf numFmtId="168" fontId="35" fillId="57" borderId="16" applyNumberFormat="0" applyAlignment="0" applyProtection="0"/>
    <xf numFmtId="0" fontId="20" fillId="7" borderId="11" applyNumberFormat="0" applyAlignment="0" applyProtection="0"/>
    <xf numFmtId="0" fontId="20" fillId="7" borderId="11" applyNumberFormat="0" applyAlignment="0" applyProtection="0"/>
    <xf numFmtId="0" fontId="20" fillId="7" borderId="11" applyNumberFormat="0" applyAlignment="0" applyProtection="0"/>
    <xf numFmtId="0" fontId="20" fillId="7" borderId="11" applyNumberFormat="0" applyAlignment="0" applyProtection="0"/>
    <xf numFmtId="0" fontId="20" fillId="7" borderId="11" applyNumberFormat="0" applyAlignment="0" applyProtection="0"/>
    <xf numFmtId="168" fontId="35" fillId="57" borderId="16" applyNumberFormat="0" applyAlignment="0" applyProtection="0"/>
    <xf numFmtId="168" fontId="35" fillId="57" borderId="16" applyNumberFormat="0" applyAlignment="0" applyProtection="0"/>
    <xf numFmtId="168" fontId="35" fillId="57" borderId="16" applyNumberFormat="0" applyAlignment="0" applyProtection="0"/>
    <xf numFmtId="168" fontId="35" fillId="57" borderId="16" applyNumberFormat="0" applyAlignment="0" applyProtection="0"/>
    <xf numFmtId="168" fontId="36" fillId="7" borderId="11" applyNumberFormat="0" applyAlignment="0" applyProtection="0"/>
    <xf numFmtId="0" fontId="20" fillId="7" borderId="11" applyNumberFormat="0" applyAlignment="0" applyProtection="0"/>
    <xf numFmtId="168" fontId="35" fillId="57" borderId="16" applyNumberFormat="0" applyAlignment="0" applyProtection="0"/>
    <xf numFmtId="168" fontId="35" fillId="57" borderId="16" applyNumberFormat="0" applyAlignment="0" applyProtection="0"/>
    <xf numFmtId="168" fontId="35" fillId="57" borderId="16" applyNumberFormat="0" applyAlignment="0" applyProtection="0"/>
    <xf numFmtId="168" fontId="36" fillId="7" borderId="11" applyNumberFormat="0" applyAlignment="0" applyProtection="0"/>
    <xf numFmtId="168" fontId="36" fillId="7" borderId="11" applyNumberFormat="0" applyAlignment="0" applyProtection="0"/>
    <xf numFmtId="168" fontId="36" fillId="7" borderId="11" applyNumberFormat="0" applyAlignment="0" applyProtection="0"/>
    <xf numFmtId="168" fontId="36" fillId="7" borderId="11" applyNumberFormat="0" applyAlignment="0" applyProtection="0"/>
    <xf numFmtId="168" fontId="36" fillId="7" borderId="11" applyNumberFormat="0" applyAlignment="0" applyProtection="0"/>
    <xf numFmtId="168" fontId="36" fillId="7" borderId="11" applyNumberFormat="0" applyAlignment="0" applyProtection="0"/>
    <xf numFmtId="0" fontId="35" fillId="57" borderId="16" applyNumberFormat="0" applyAlignment="0" applyProtection="0"/>
    <xf numFmtId="168" fontId="35" fillId="57" borderId="16" applyNumberFormat="0" applyAlignment="0" applyProtection="0"/>
    <xf numFmtId="168" fontId="35" fillId="57" borderId="16" applyNumberFormat="0" applyAlignment="0" applyProtection="0"/>
    <xf numFmtId="168" fontId="35" fillId="57" borderId="16" applyNumberFormat="0" applyAlignment="0" applyProtection="0"/>
    <xf numFmtId="168" fontId="35" fillId="57" borderId="16" applyNumberFormat="0" applyAlignment="0" applyProtection="0"/>
    <xf numFmtId="168" fontId="35" fillId="57" borderId="16" applyNumberFormat="0" applyAlignment="0" applyProtection="0"/>
    <xf numFmtId="168" fontId="35" fillId="57" borderId="16" applyNumberFormat="0" applyAlignment="0" applyProtection="0"/>
    <xf numFmtId="168" fontId="35" fillId="57" borderId="16" applyNumberFormat="0" applyAlignment="0" applyProtection="0"/>
    <xf numFmtId="0" fontId="37" fillId="58" borderId="0">
      <alignment horizontal="left"/>
    </xf>
    <xf numFmtId="0" fontId="38" fillId="58" borderId="0">
      <alignment horizontal="right"/>
    </xf>
    <xf numFmtId="0" fontId="39" fillId="56" borderId="0">
      <alignment horizontal="center"/>
    </xf>
    <xf numFmtId="0" fontId="38" fillId="58" borderId="0">
      <alignment horizontal="right"/>
    </xf>
    <xf numFmtId="0" fontId="40" fillId="56" borderId="0">
      <alignment horizontal="left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8" fontId="42" fillId="0" borderId="0" applyNumberFormat="0" applyFill="0" applyBorder="0" applyAlignment="0" applyProtection="0"/>
    <xf numFmtId="168" fontId="42" fillId="0" borderId="0" applyNumberFormat="0" applyFill="0" applyBorder="0" applyAlignment="0" applyProtection="0"/>
    <xf numFmtId="168" fontId="42" fillId="0" borderId="0" applyNumberFormat="0" applyFill="0" applyBorder="0" applyAlignment="0" applyProtection="0"/>
    <xf numFmtId="168" fontId="42" fillId="0" borderId="0" applyNumberFormat="0" applyFill="0" applyBorder="0" applyAlignment="0" applyProtection="0"/>
    <xf numFmtId="168" fontId="42" fillId="0" borderId="0" applyNumberFormat="0" applyFill="0" applyBorder="0" applyAlignment="0" applyProtection="0"/>
    <xf numFmtId="168" fontId="22" fillId="0" borderId="0" applyNumberFormat="0" applyFill="0" applyBorder="0" applyAlignment="0" applyProtection="0"/>
    <xf numFmtId="168" fontId="22" fillId="0" borderId="0" applyNumberFormat="0" applyFill="0" applyBorder="0" applyAlignment="0" applyProtection="0"/>
    <xf numFmtId="168" fontId="22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8" fontId="42" fillId="0" borderId="0" applyNumberFormat="0" applyFill="0" applyBorder="0" applyAlignment="0" applyProtection="0"/>
    <xf numFmtId="168" fontId="42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168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68" fontId="42" fillId="0" borderId="0" applyNumberFormat="0" applyFill="0" applyBorder="0" applyAlignment="0" applyProtection="0"/>
    <xf numFmtId="168" fontId="42" fillId="0" borderId="0" applyNumberFormat="0" applyFill="0" applyBorder="0" applyAlignment="0" applyProtection="0"/>
    <xf numFmtId="168" fontId="42" fillId="0" borderId="0" applyNumberFormat="0" applyFill="0" applyBorder="0" applyAlignment="0" applyProtection="0"/>
    <xf numFmtId="168" fontId="42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68" fontId="42" fillId="0" borderId="0" applyNumberFormat="0" applyFill="0" applyBorder="0" applyAlignment="0" applyProtection="0"/>
    <xf numFmtId="168" fontId="42" fillId="0" borderId="0" applyNumberFormat="0" applyFill="0" applyBorder="0" applyAlignment="0" applyProtection="0"/>
    <xf numFmtId="168" fontId="42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8" fontId="42" fillId="0" borderId="0" applyNumberFormat="0" applyFill="0" applyBorder="0" applyAlignment="0" applyProtection="0"/>
    <xf numFmtId="168" fontId="42" fillId="0" borderId="0" applyNumberFormat="0" applyFill="0" applyBorder="0" applyAlignment="0" applyProtection="0"/>
    <xf numFmtId="168" fontId="42" fillId="0" borderId="0" applyNumberFormat="0" applyFill="0" applyBorder="0" applyAlignment="0" applyProtection="0"/>
    <xf numFmtId="168" fontId="42" fillId="0" borderId="0" applyNumberFormat="0" applyFill="0" applyBorder="0" applyAlignment="0" applyProtection="0"/>
    <xf numFmtId="168" fontId="42" fillId="0" borderId="0" applyNumberFormat="0" applyFill="0" applyBorder="0" applyAlignment="0" applyProtection="0"/>
    <xf numFmtId="168" fontId="42" fillId="0" borderId="0" applyNumberFormat="0" applyFill="0" applyBorder="0" applyAlignment="0" applyProtection="0"/>
    <xf numFmtId="168" fontId="42" fillId="0" borderId="0" applyNumberFormat="0" applyFill="0" applyBorder="0" applyAlignment="0" applyProtection="0"/>
    <xf numFmtId="0" fontId="7" fillId="0" borderId="0" applyProtection="0"/>
    <xf numFmtId="168" fontId="7" fillId="0" borderId="0" applyProtection="0"/>
    <xf numFmtId="168" fontId="7" fillId="0" borderId="0" applyProtection="0"/>
    <xf numFmtId="168" fontId="7" fillId="0" borderId="0" applyProtection="0"/>
    <xf numFmtId="168" fontId="7" fillId="0" borderId="0" applyProtection="0"/>
    <xf numFmtId="168" fontId="7" fillId="0" borderId="0" applyProtection="0"/>
    <xf numFmtId="168" fontId="7" fillId="0" borderId="0" applyProtection="0"/>
    <xf numFmtId="0" fontId="44" fillId="0" borderId="0" applyProtection="0"/>
    <xf numFmtId="168" fontId="44" fillId="0" borderId="0" applyProtection="0"/>
    <xf numFmtId="168" fontId="44" fillId="0" borderId="0" applyProtection="0"/>
    <xf numFmtId="168" fontId="44" fillId="0" borderId="0" applyProtection="0"/>
    <xf numFmtId="168" fontId="44" fillId="0" borderId="0" applyProtection="0"/>
    <xf numFmtId="168" fontId="44" fillId="0" borderId="0" applyProtection="0"/>
    <xf numFmtId="168" fontId="44" fillId="0" borderId="0" applyProtection="0"/>
    <xf numFmtId="0" fontId="45" fillId="0" borderId="0" applyProtection="0"/>
    <xf numFmtId="168" fontId="45" fillId="0" borderId="0" applyProtection="0"/>
    <xf numFmtId="168" fontId="45" fillId="0" borderId="0" applyProtection="0"/>
    <xf numFmtId="168" fontId="45" fillId="0" borderId="0" applyProtection="0"/>
    <xf numFmtId="168" fontId="45" fillId="0" borderId="0" applyProtection="0"/>
    <xf numFmtId="168" fontId="45" fillId="0" borderId="0" applyProtection="0"/>
    <xf numFmtId="168" fontId="45" fillId="0" borderId="0" applyProtection="0"/>
    <xf numFmtId="0" fontId="46" fillId="0" borderId="0" applyProtection="0"/>
    <xf numFmtId="168" fontId="46" fillId="0" borderId="0" applyProtection="0"/>
    <xf numFmtId="168" fontId="46" fillId="0" borderId="0" applyProtection="0"/>
    <xf numFmtId="168" fontId="46" fillId="0" borderId="0" applyProtection="0"/>
    <xf numFmtId="168" fontId="46" fillId="0" borderId="0" applyProtection="0"/>
    <xf numFmtId="168" fontId="46" fillId="0" borderId="0" applyProtection="0"/>
    <xf numFmtId="168" fontId="46" fillId="0" borderId="0" applyProtection="0"/>
    <xf numFmtId="0" fontId="6" fillId="0" borderId="0" applyProtection="0"/>
    <xf numFmtId="168" fontId="6" fillId="0" borderId="0" applyProtection="0"/>
    <xf numFmtId="168" fontId="6" fillId="0" borderId="0" applyProtection="0"/>
    <xf numFmtId="168" fontId="6" fillId="0" borderId="0" applyProtection="0"/>
    <xf numFmtId="168" fontId="6" fillId="0" borderId="0" applyProtection="0"/>
    <xf numFmtId="168" fontId="6" fillId="0" borderId="0" applyProtection="0"/>
    <xf numFmtId="168" fontId="6" fillId="0" borderId="0" applyProtection="0"/>
    <xf numFmtId="0" fontId="7" fillId="0" borderId="0" applyProtection="0"/>
    <xf numFmtId="168" fontId="7" fillId="0" borderId="0" applyProtection="0"/>
    <xf numFmtId="168" fontId="7" fillId="0" borderId="0" applyProtection="0"/>
    <xf numFmtId="168" fontId="7" fillId="0" borderId="0" applyProtection="0"/>
    <xf numFmtId="168" fontId="7" fillId="0" borderId="0" applyProtection="0"/>
    <xf numFmtId="168" fontId="7" fillId="0" borderId="0" applyProtection="0"/>
    <xf numFmtId="168" fontId="7" fillId="0" borderId="0" applyProtection="0"/>
    <xf numFmtId="0" fontId="47" fillId="0" borderId="0" applyProtection="0"/>
    <xf numFmtId="168" fontId="47" fillId="0" borderId="0" applyProtection="0"/>
    <xf numFmtId="168" fontId="47" fillId="0" borderId="0" applyProtection="0"/>
    <xf numFmtId="168" fontId="47" fillId="0" borderId="0" applyProtection="0"/>
    <xf numFmtId="168" fontId="47" fillId="0" borderId="0" applyProtection="0"/>
    <xf numFmtId="168" fontId="47" fillId="0" borderId="0" applyProtection="0"/>
    <xf numFmtId="168" fontId="47" fillId="0" borderId="0" applyProtection="0"/>
    <xf numFmtId="2" fontId="6" fillId="0" borderId="0" applyFont="0" applyFill="0" applyBorder="0" applyAlignment="0" applyProtection="0"/>
    <xf numFmtId="168" fontId="48" fillId="37" borderId="0" applyNumberFormat="0" applyBorder="0" applyAlignment="0" applyProtection="0"/>
    <xf numFmtId="168" fontId="48" fillId="37" borderId="0" applyNumberFormat="0" applyBorder="0" applyAlignment="0" applyProtection="0"/>
    <xf numFmtId="168" fontId="48" fillId="37" borderId="0" applyNumberFormat="0" applyBorder="0" applyAlignment="0" applyProtection="0"/>
    <xf numFmtId="168" fontId="48" fillId="37" borderId="0" applyNumberFormat="0" applyBorder="0" applyAlignment="0" applyProtection="0"/>
    <xf numFmtId="168" fontId="48" fillId="37" borderId="0" applyNumberFormat="0" applyBorder="0" applyAlignment="0" applyProtection="0"/>
    <xf numFmtId="168" fontId="13" fillId="2" borderId="0" applyNumberFormat="0" applyBorder="0" applyAlignment="0" applyProtection="0"/>
    <xf numFmtId="168" fontId="13" fillId="2" borderId="0" applyNumberFormat="0" applyBorder="0" applyAlignment="0" applyProtection="0"/>
    <xf numFmtId="168" fontId="13" fillId="2" borderId="0" applyNumberFormat="0" applyBorder="0" applyAlignment="0" applyProtection="0"/>
    <xf numFmtId="168" fontId="49" fillId="2" borderId="0" applyNumberFormat="0" applyBorder="0" applyAlignment="0" applyProtection="0"/>
    <xf numFmtId="168" fontId="49" fillId="2" borderId="0" applyNumberFormat="0" applyBorder="0" applyAlignment="0" applyProtection="0"/>
    <xf numFmtId="0" fontId="48" fillId="41" borderId="0" applyNumberFormat="0" applyBorder="0" applyAlignment="0" applyProtection="0"/>
    <xf numFmtId="168" fontId="48" fillId="41" borderId="0" applyNumberFormat="0" applyBorder="0" applyAlignment="0" applyProtection="0"/>
    <xf numFmtId="168" fontId="48" fillId="41" borderId="0" applyNumberFormat="0" applyBorder="0" applyAlignment="0" applyProtection="0"/>
    <xf numFmtId="168" fontId="49" fillId="2" borderId="0" applyNumberFormat="0" applyBorder="0" applyAlignment="0" applyProtection="0"/>
    <xf numFmtId="168" fontId="48" fillId="41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168" fontId="48" fillId="41" borderId="0" applyNumberFormat="0" applyBorder="0" applyAlignment="0" applyProtection="0"/>
    <xf numFmtId="168" fontId="48" fillId="41" borderId="0" applyNumberFormat="0" applyBorder="0" applyAlignment="0" applyProtection="0"/>
    <xf numFmtId="168" fontId="48" fillId="41" borderId="0" applyNumberFormat="0" applyBorder="0" applyAlignment="0" applyProtection="0"/>
    <xf numFmtId="168" fontId="48" fillId="41" borderId="0" applyNumberFormat="0" applyBorder="0" applyAlignment="0" applyProtection="0"/>
    <xf numFmtId="168" fontId="49" fillId="2" borderId="0" applyNumberFormat="0" applyBorder="0" applyAlignment="0" applyProtection="0"/>
    <xf numFmtId="0" fontId="13" fillId="2" borderId="0" applyNumberFormat="0" applyBorder="0" applyAlignment="0" applyProtection="0"/>
    <xf numFmtId="168" fontId="48" fillId="41" borderId="0" applyNumberFormat="0" applyBorder="0" applyAlignment="0" applyProtection="0"/>
    <xf numFmtId="168" fontId="48" fillId="41" borderId="0" applyNumberFormat="0" applyBorder="0" applyAlignment="0" applyProtection="0"/>
    <xf numFmtId="168" fontId="48" fillId="41" borderId="0" applyNumberFormat="0" applyBorder="0" applyAlignment="0" applyProtection="0"/>
    <xf numFmtId="168" fontId="49" fillId="2" borderId="0" applyNumberFormat="0" applyBorder="0" applyAlignment="0" applyProtection="0"/>
    <xf numFmtId="168" fontId="49" fillId="2" borderId="0" applyNumberFormat="0" applyBorder="0" applyAlignment="0" applyProtection="0"/>
    <xf numFmtId="168" fontId="49" fillId="2" borderId="0" applyNumberFormat="0" applyBorder="0" applyAlignment="0" applyProtection="0"/>
    <xf numFmtId="168" fontId="49" fillId="2" borderId="0" applyNumberFormat="0" applyBorder="0" applyAlignment="0" applyProtection="0"/>
    <xf numFmtId="168" fontId="49" fillId="2" borderId="0" applyNumberFormat="0" applyBorder="0" applyAlignment="0" applyProtection="0"/>
    <xf numFmtId="168" fontId="49" fillId="2" borderId="0" applyNumberFormat="0" applyBorder="0" applyAlignment="0" applyProtection="0"/>
    <xf numFmtId="0" fontId="48" fillId="41" borderId="0" applyNumberFormat="0" applyBorder="0" applyAlignment="0" applyProtection="0"/>
    <xf numFmtId="168" fontId="48" fillId="41" borderId="0" applyNumberFormat="0" applyBorder="0" applyAlignment="0" applyProtection="0"/>
    <xf numFmtId="168" fontId="48" fillId="41" borderId="0" applyNumberFormat="0" applyBorder="0" applyAlignment="0" applyProtection="0"/>
    <xf numFmtId="168" fontId="48" fillId="37" borderId="0" applyNumberFormat="0" applyBorder="0" applyAlignment="0" applyProtection="0"/>
    <xf numFmtId="168" fontId="48" fillId="37" borderId="0" applyNumberFormat="0" applyBorder="0" applyAlignment="0" applyProtection="0"/>
    <xf numFmtId="168" fontId="48" fillId="37" borderId="0" applyNumberFormat="0" applyBorder="0" applyAlignment="0" applyProtection="0"/>
    <xf numFmtId="168" fontId="48" fillId="37" borderId="0" applyNumberFormat="0" applyBorder="0" applyAlignment="0" applyProtection="0"/>
    <xf numFmtId="168" fontId="48" fillId="37" borderId="0" applyNumberFormat="0" applyBorder="0" applyAlignment="0" applyProtection="0"/>
    <xf numFmtId="168" fontId="50" fillId="0" borderId="17" applyNumberFormat="0" applyFill="0" applyAlignment="0" applyProtection="0"/>
    <xf numFmtId="168" fontId="50" fillId="0" borderId="17" applyNumberFormat="0" applyFill="0" applyAlignment="0" applyProtection="0"/>
    <xf numFmtId="168" fontId="50" fillId="0" borderId="17" applyNumberFormat="0" applyFill="0" applyAlignment="0" applyProtection="0"/>
    <xf numFmtId="168" fontId="50" fillId="0" borderId="17" applyNumberFormat="0" applyFill="0" applyAlignment="0" applyProtection="0"/>
    <xf numFmtId="168" fontId="50" fillId="0" borderId="17" applyNumberFormat="0" applyFill="0" applyAlignment="0" applyProtection="0"/>
    <xf numFmtId="168" fontId="10" fillId="0" borderId="5" applyNumberFormat="0" applyFill="0" applyAlignment="0" applyProtection="0"/>
    <xf numFmtId="168" fontId="10" fillId="0" borderId="5" applyNumberFormat="0" applyFill="0" applyAlignment="0" applyProtection="0"/>
    <xf numFmtId="168" fontId="10" fillId="0" borderId="5" applyNumberFormat="0" applyFill="0" applyAlignment="0" applyProtection="0"/>
    <xf numFmtId="168" fontId="51" fillId="0" borderId="5" applyNumberFormat="0" applyFill="0" applyAlignment="0" applyProtection="0"/>
    <xf numFmtId="168" fontId="51" fillId="0" borderId="5" applyNumberFormat="0" applyFill="0" applyAlignment="0" applyProtection="0"/>
    <xf numFmtId="0" fontId="52" fillId="0" borderId="0" applyNumberFormat="0" applyFill="0" applyBorder="0" applyAlignment="0" applyProtection="0"/>
    <xf numFmtId="168" fontId="53" fillId="0" borderId="18" applyNumberFormat="0" applyFill="0" applyAlignment="0" applyProtection="0"/>
    <xf numFmtId="168" fontId="53" fillId="0" borderId="18" applyNumberFormat="0" applyFill="0" applyAlignment="0" applyProtection="0"/>
    <xf numFmtId="168" fontId="51" fillId="0" borderId="5" applyNumberFormat="0" applyFill="0" applyAlignment="0" applyProtection="0"/>
    <xf numFmtId="168" fontId="53" fillId="0" borderId="18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168" fontId="53" fillId="0" borderId="18" applyNumberFormat="0" applyFill="0" applyAlignment="0" applyProtection="0"/>
    <xf numFmtId="168" fontId="53" fillId="0" borderId="18" applyNumberFormat="0" applyFill="0" applyAlignment="0" applyProtection="0"/>
    <xf numFmtId="168" fontId="53" fillId="0" borderId="18" applyNumberFormat="0" applyFill="0" applyAlignment="0" applyProtection="0"/>
    <xf numFmtId="168" fontId="53" fillId="0" borderId="18" applyNumberFormat="0" applyFill="0" applyAlignment="0" applyProtection="0"/>
    <xf numFmtId="168" fontId="51" fillId="0" borderId="5" applyNumberFormat="0" applyFill="0" applyAlignment="0" applyProtection="0"/>
    <xf numFmtId="0" fontId="10" fillId="0" borderId="5" applyNumberFormat="0" applyFill="0" applyAlignment="0" applyProtection="0"/>
    <xf numFmtId="168" fontId="53" fillId="0" borderId="18" applyNumberFormat="0" applyFill="0" applyAlignment="0" applyProtection="0"/>
    <xf numFmtId="168" fontId="53" fillId="0" borderId="18" applyNumberFormat="0" applyFill="0" applyAlignment="0" applyProtection="0"/>
    <xf numFmtId="168" fontId="53" fillId="0" borderId="18" applyNumberFormat="0" applyFill="0" applyAlignment="0" applyProtection="0"/>
    <xf numFmtId="168" fontId="51" fillId="0" borderId="5" applyNumberFormat="0" applyFill="0" applyAlignment="0" applyProtection="0"/>
    <xf numFmtId="168" fontId="51" fillId="0" borderId="5" applyNumberFormat="0" applyFill="0" applyAlignment="0" applyProtection="0"/>
    <xf numFmtId="168" fontId="51" fillId="0" borderId="5" applyNumberFormat="0" applyFill="0" applyAlignment="0" applyProtection="0"/>
    <xf numFmtId="168" fontId="52" fillId="0" borderId="0" applyNumberFormat="0" applyFill="0" applyBorder="0" applyAlignment="0" applyProtection="0"/>
    <xf numFmtId="168" fontId="52" fillId="0" borderId="0" applyNumberFormat="0" applyFill="0" applyBorder="0" applyAlignment="0" applyProtection="0"/>
    <xf numFmtId="168" fontId="51" fillId="0" borderId="5" applyNumberFormat="0" applyFill="0" applyAlignment="0" applyProtection="0"/>
    <xf numFmtId="168" fontId="51" fillId="0" borderId="5" applyNumberFormat="0" applyFill="0" applyAlignment="0" applyProtection="0"/>
    <xf numFmtId="168" fontId="51" fillId="0" borderId="5" applyNumberFormat="0" applyFill="0" applyAlignment="0" applyProtection="0"/>
    <xf numFmtId="0" fontId="52" fillId="0" borderId="0" applyNumberFormat="0" applyFill="0" applyBorder="0" applyAlignment="0" applyProtection="0"/>
    <xf numFmtId="168" fontId="53" fillId="0" borderId="18" applyNumberFormat="0" applyFill="0" applyAlignment="0" applyProtection="0"/>
    <xf numFmtId="168" fontId="53" fillId="0" borderId="18" applyNumberFormat="0" applyFill="0" applyAlignment="0" applyProtection="0"/>
    <xf numFmtId="168" fontId="50" fillId="0" borderId="17" applyNumberFormat="0" applyFill="0" applyAlignment="0" applyProtection="0"/>
    <xf numFmtId="168" fontId="50" fillId="0" borderId="17" applyNumberFormat="0" applyFill="0" applyAlignment="0" applyProtection="0"/>
    <xf numFmtId="168" fontId="50" fillId="0" borderId="17" applyNumberFormat="0" applyFill="0" applyAlignment="0" applyProtection="0"/>
    <xf numFmtId="168" fontId="50" fillId="0" borderId="17" applyNumberFormat="0" applyFill="0" applyAlignment="0" applyProtection="0"/>
    <xf numFmtId="168" fontId="50" fillId="0" borderId="17" applyNumberFormat="0" applyFill="0" applyAlignment="0" applyProtection="0"/>
    <xf numFmtId="168" fontId="54" fillId="0" borderId="19" applyNumberFormat="0" applyFill="0" applyAlignment="0" applyProtection="0"/>
    <xf numFmtId="168" fontId="54" fillId="0" borderId="19" applyNumberFormat="0" applyFill="0" applyAlignment="0" applyProtection="0"/>
    <xf numFmtId="168" fontId="54" fillId="0" borderId="19" applyNumberFormat="0" applyFill="0" applyAlignment="0" applyProtection="0"/>
    <xf numFmtId="168" fontId="54" fillId="0" borderId="19" applyNumberFormat="0" applyFill="0" applyAlignment="0" applyProtection="0"/>
    <xf numFmtId="168" fontId="54" fillId="0" borderId="19" applyNumberFormat="0" applyFill="0" applyAlignment="0" applyProtection="0"/>
    <xf numFmtId="168" fontId="11" fillId="0" borderId="6" applyNumberFormat="0" applyFill="0" applyAlignment="0" applyProtection="0"/>
    <xf numFmtId="168" fontId="11" fillId="0" borderId="6" applyNumberFormat="0" applyFill="0" applyAlignment="0" applyProtection="0"/>
    <xf numFmtId="168" fontId="11" fillId="0" borderId="6" applyNumberFormat="0" applyFill="0" applyAlignment="0" applyProtection="0"/>
    <xf numFmtId="168" fontId="55" fillId="0" borderId="6" applyNumberFormat="0" applyFill="0" applyAlignment="0" applyProtection="0"/>
    <xf numFmtId="168" fontId="55" fillId="0" borderId="6" applyNumberFormat="0" applyFill="0" applyAlignment="0" applyProtection="0"/>
    <xf numFmtId="0" fontId="56" fillId="0" borderId="0" applyNumberFormat="0" applyFill="0" applyBorder="0" applyAlignment="0" applyProtection="0"/>
    <xf numFmtId="168" fontId="57" fillId="0" borderId="20" applyNumberFormat="0" applyFill="0" applyAlignment="0" applyProtection="0"/>
    <xf numFmtId="168" fontId="57" fillId="0" borderId="20" applyNumberFormat="0" applyFill="0" applyAlignment="0" applyProtection="0"/>
    <xf numFmtId="168" fontId="55" fillId="0" borderId="6" applyNumberFormat="0" applyFill="0" applyAlignment="0" applyProtection="0"/>
    <xf numFmtId="168" fontId="57" fillId="0" borderId="20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168" fontId="57" fillId="0" borderId="20" applyNumberFormat="0" applyFill="0" applyAlignment="0" applyProtection="0"/>
    <xf numFmtId="168" fontId="57" fillId="0" borderId="20" applyNumberFormat="0" applyFill="0" applyAlignment="0" applyProtection="0"/>
    <xf numFmtId="168" fontId="57" fillId="0" borderId="20" applyNumberFormat="0" applyFill="0" applyAlignment="0" applyProtection="0"/>
    <xf numFmtId="168" fontId="57" fillId="0" borderId="20" applyNumberFormat="0" applyFill="0" applyAlignment="0" applyProtection="0"/>
    <xf numFmtId="168" fontId="55" fillId="0" borderId="6" applyNumberFormat="0" applyFill="0" applyAlignment="0" applyProtection="0"/>
    <xf numFmtId="0" fontId="11" fillId="0" borderId="6" applyNumberFormat="0" applyFill="0" applyAlignment="0" applyProtection="0"/>
    <xf numFmtId="168" fontId="57" fillId="0" borderId="20" applyNumberFormat="0" applyFill="0" applyAlignment="0" applyProtection="0"/>
    <xf numFmtId="168" fontId="57" fillId="0" borderId="20" applyNumberFormat="0" applyFill="0" applyAlignment="0" applyProtection="0"/>
    <xf numFmtId="168" fontId="57" fillId="0" borderId="20" applyNumberFormat="0" applyFill="0" applyAlignment="0" applyProtection="0"/>
    <xf numFmtId="168" fontId="55" fillId="0" borderId="6" applyNumberFormat="0" applyFill="0" applyAlignment="0" applyProtection="0"/>
    <xf numFmtId="168" fontId="55" fillId="0" borderId="6" applyNumberFormat="0" applyFill="0" applyAlignment="0" applyProtection="0"/>
    <xf numFmtId="168" fontId="55" fillId="0" borderId="6" applyNumberFormat="0" applyFill="0" applyAlignment="0" applyProtection="0"/>
    <xf numFmtId="168" fontId="56" fillId="0" borderId="0" applyNumberFormat="0" applyFill="0" applyBorder="0" applyAlignment="0" applyProtection="0"/>
    <xf numFmtId="168" fontId="56" fillId="0" borderId="0" applyNumberFormat="0" applyFill="0" applyBorder="0" applyAlignment="0" applyProtection="0"/>
    <xf numFmtId="168" fontId="55" fillId="0" borderId="6" applyNumberFormat="0" applyFill="0" applyAlignment="0" applyProtection="0"/>
    <xf numFmtId="168" fontId="55" fillId="0" borderId="6" applyNumberFormat="0" applyFill="0" applyAlignment="0" applyProtection="0"/>
    <xf numFmtId="168" fontId="55" fillId="0" borderId="6" applyNumberFormat="0" applyFill="0" applyAlignment="0" applyProtection="0"/>
    <xf numFmtId="0" fontId="56" fillId="0" borderId="0" applyNumberFormat="0" applyFill="0" applyBorder="0" applyAlignment="0" applyProtection="0"/>
    <xf numFmtId="168" fontId="57" fillId="0" borderId="20" applyNumberFormat="0" applyFill="0" applyAlignment="0" applyProtection="0"/>
    <xf numFmtId="168" fontId="57" fillId="0" borderId="20" applyNumberFormat="0" applyFill="0" applyAlignment="0" applyProtection="0"/>
    <xf numFmtId="168" fontId="54" fillId="0" borderId="19" applyNumberFormat="0" applyFill="0" applyAlignment="0" applyProtection="0"/>
    <xf numFmtId="168" fontId="54" fillId="0" borderId="19" applyNumberFormat="0" applyFill="0" applyAlignment="0" applyProtection="0"/>
    <xf numFmtId="168" fontId="54" fillId="0" borderId="19" applyNumberFormat="0" applyFill="0" applyAlignment="0" applyProtection="0"/>
    <xf numFmtId="168" fontId="54" fillId="0" borderId="19" applyNumberFormat="0" applyFill="0" applyAlignment="0" applyProtection="0"/>
    <xf numFmtId="168" fontId="54" fillId="0" borderId="19" applyNumberFormat="0" applyFill="0" applyAlignment="0" applyProtection="0"/>
    <xf numFmtId="168" fontId="58" fillId="0" borderId="21" applyNumberFormat="0" applyFill="0" applyAlignment="0" applyProtection="0"/>
    <xf numFmtId="168" fontId="58" fillId="0" borderId="21" applyNumberFormat="0" applyFill="0" applyAlignment="0" applyProtection="0"/>
    <xf numFmtId="168" fontId="58" fillId="0" borderId="21" applyNumberFormat="0" applyFill="0" applyAlignment="0" applyProtection="0"/>
    <xf numFmtId="168" fontId="58" fillId="0" borderId="21" applyNumberFormat="0" applyFill="0" applyAlignment="0" applyProtection="0"/>
    <xf numFmtId="168" fontId="58" fillId="0" borderId="21" applyNumberFormat="0" applyFill="0" applyAlignment="0" applyProtection="0"/>
    <xf numFmtId="168" fontId="12" fillId="0" borderId="7" applyNumberFormat="0" applyFill="0" applyAlignment="0" applyProtection="0"/>
    <xf numFmtId="168" fontId="12" fillId="0" borderId="7" applyNumberFormat="0" applyFill="0" applyAlignment="0" applyProtection="0"/>
    <xf numFmtId="168" fontId="12" fillId="0" borderId="7" applyNumberFormat="0" applyFill="0" applyAlignment="0" applyProtection="0"/>
    <xf numFmtId="168" fontId="59" fillId="0" borderId="7" applyNumberFormat="0" applyFill="0" applyAlignment="0" applyProtection="0"/>
    <xf numFmtId="168" fontId="59" fillId="0" borderId="7" applyNumberFormat="0" applyFill="0" applyAlignment="0" applyProtection="0"/>
    <xf numFmtId="0" fontId="60" fillId="0" borderId="22" applyNumberFormat="0" applyFill="0" applyAlignment="0" applyProtection="0"/>
    <xf numFmtId="168" fontId="60" fillId="0" borderId="22" applyNumberFormat="0" applyFill="0" applyAlignment="0" applyProtection="0"/>
    <xf numFmtId="168" fontId="60" fillId="0" borderId="22" applyNumberFormat="0" applyFill="0" applyAlignment="0" applyProtection="0"/>
    <xf numFmtId="168" fontId="59" fillId="0" borderId="7" applyNumberFormat="0" applyFill="0" applyAlignment="0" applyProtection="0"/>
    <xf numFmtId="168" fontId="60" fillId="0" borderId="22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168" fontId="60" fillId="0" borderId="22" applyNumberFormat="0" applyFill="0" applyAlignment="0" applyProtection="0"/>
    <xf numFmtId="168" fontId="60" fillId="0" borderId="22" applyNumberFormat="0" applyFill="0" applyAlignment="0" applyProtection="0"/>
    <xf numFmtId="168" fontId="60" fillId="0" borderId="22" applyNumberFormat="0" applyFill="0" applyAlignment="0" applyProtection="0"/>
    <xf numFmtId="168" fontId="60" fillId="0" borderId="22" applyNumberFormat="0" applyFill="0" applyAlignment="0" applyProtection="0"/>
    <xf numFmtId="168" fontId="59" fillId="0" borderId="7" applyNumberFormat="0" applyFill="0" applyAlignment="0" applyProtection="0"/>
    <xf numFmtId="0" fontId="12" fillId="0" borderId="7" applyNumberFormat="0" applyFill="0" applyAlignment="0" applyProtection="0"/>
    <xf numFmtId="168" fontId="60" fillId="0" borderId="22" applyNumberFormat="0" applyFill="0" applyAlignment="0" applyProtection="0"/>
    <xf numFmtId="168" fontId="60" fillId="0" borderId="22" applyNumberFormat="0" applyFill="0" applyAlignment="0" applyProtection="0"/>
    <xf numFmtId="168" fontId="60" fillId="0" borderId="22" applyNumberFormat="0" applyFill="0" applyAlignment="0" applyProtection="0"/>
    <xf numFmtId="168" fontId="59" fillId="0" borderId="7" applyNumberFormat="0" applyFill="0" applyAlignment="0" applyProtection="0"/>
    <xf numFmtId="168" fontId="59" fillId="0" borderId="7" applyNumberFormat="0" applyFill="0" applyAlignment="0" applyProtection="0"/>
    <xf numFmtId="168" fontId="59" fillId="0" borderId="7" applyNumberFormat="0" applyFill="0" applyAlignment="0" applyProtection="0"/>
    <xf numFmtId="168" fontId="59" fillId="0" borderId="7" applyNumberFormat="0" applyFill="0" applyAlignment="0" applyProtection="0"/>
    <xf numFmtId="168" fontId="59" fillId="0" borderId="7" applyNumberFormat="0" applyFill="0" applyAlignment="0" applyProtection="0"/>
    <xf numFmtId="168" fontId="59" fillId="0" borderId="7" applyNumberFormat="0" applyFill="0" applyAlignment="0" applyProtection="0"/>
    <xf numFmtId="0" fontId="60" fillId="0" borderId="22" applyNumberFormat="0" applyFill="0" applyAlignment="0" applyProtection="0"/>
    <xf numFmtId="168" fontId="60" fillId="0" borderId="22" applyNumberFormat="0" applyFill="0" applyAlignment="0" applyProtection="0"/>
    <xf numFmtId="168" fontId="60" fillId="0" borderId="22" applyNumberFormat="0" applyFill="0" applyAlignment="0" applyProtection="0"/>
    <xf numFmtId="168" fontId="58" fillId="0" borderId="21" applyNumberFormat="0" applyFill="0" applyAlignment="0" applyProtection="0"/>
    <xf numFmtId="168" fontId="58" fillId="0" borderId="21" applyNumberFormat="0" applyFill="0" applyAlignment="0" applyProtection="0"/>
    <xf numFmtId="168" fontId="58" fillId="0" borderId="21" applyNumberFormat="0" applyFill="0" applyAlignment="0" applyProtection="0"/>
    <xf numFmtId="168" fontId="58" fillId="0" borderId="21" applyNumberFormat="0" applyFill="0" applyAlignment="0" applyProtection="0"/>
    <xf numFmtId="168" fontId="58" fillId="0" borderId="21" applyNumberFormat="0" applyFill="0" applyAlignment="0" applyProtection="0"/>
    <xf numFmtId="168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168" fontId="12" fillId="0" borderId="0" applyNumberFormat="0" applyFill="0" applyBorder="0" applyAlignment="0" applyProtection="0"/>
    <xf numFmtId="168" fontId="12" fillId="0" borderId="0" applyNumberFormat="0" applyFill="0" applyBorder="0" applyAlignment="0" applyProtection="0"/>
    <xf numFmtId="168" fontId="12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168" fontId="61" fillId="40" borderId="15" applyNumberFormat="0" applyAlignment="0" applyProtection="0"/>
    <xf numFmtId="168" fontId="61" fillId="40" borderId="15" applyNumberFormat="0" applyAlignment="0" applyProtection="0"/>
    <xf numFmtId="168" fontId="61" fillId="40" borderId="15" applyNumberFormat="0" applyAlignment="0" applyProtection="0"/>
    <xf numFmtId="168" fontId="61" fillId="40" borderId="15" applyNumberFormat="0" applyAlignment="0" applyProtection="0"/>
    <xf numFmtId="168" fontId="61" fillId="40" borderId="15" applyNumberFormat="0" applyAlignment="0" applyProtection="0"/>
    <xf numFmtId="168" fontId="16" fillId="5" borderId="8" applyNumberFormat="0" applyAlignment="0" applyProtection="0"/>
    <xf numFmtId="168" fontId="16" fillId="5" borderId="8" applyNumberFormat="0" applyAlignment="0" applyProtection="0"/>
    <xf numFmtId="168" fontId="16" fillId="5" borderId="8" applyNumberFormat="0" applyAlignment="0" applyProtection="0"/>
    <xf numFmtId="168" fontId="62" fillId="5" borderId="8" applyNumberFormat="0" applyAlignment="0" applyProtection="0"/>
    <xf numFmtId="168" fontId="62" fillId="5" borderId="8" applyNumberFormat="0" applyAlignment="0" applyProtection="0"/>
    <xf numFmtId="0" fontId="61" fillId="43" borderId="15" applyNumberFormat="0" applyAlignment="0" applyProtection="0"/>
    <xf numFmtId="168" fontId="61" fillId="43" borderId="15" applyNumberFormat="0" applyAlignment="0" applyProtection="0"/>
    <xf numFmtId="168" fontId="61" fillId="43" borderId="15" applyNumberFormat="0" applyAlignment="0" applyProtection="0"/>
    <xf numFmtId="168" fontId="62" fillId="5" borderId="8" applyNumberFormat="0" applyAlignment="0" applyProtection="0"/>
    <xf numFmtId="168" fontId="61" fillId="43" borderId="15" applyNumberFormat="0" applyAlignment="0" applyProtection="0"/>
    <xf numFmtId="0" fontId="16" fillId="5" borderId="8" applyNumberFormat="0" applyAlignment="0" applyProtection="0"/>
    <xf numFmtId="0" fontId="16" fillId="5" borderId="8" applyNumberFormat="0" applyAlignment="0" applyProtection="0"/>
    <xf numFmtId="0" fontId="16" fillId="5" borderId="8" applyNumberFormat="0" applyAlignment="0" applyProtection="0"/>
    <xf numFmtId="0" fontId="16" fillId="5" borderId="8" applyNumberFormat="0" applyAlignment="0" applyProtection="0"/>
    <xf numFmtId="0" fontId="16" fillId="5" borderId="8" applyNumberFormat="0" applyAlignment="0" applyProtection="0"/>
    <xf numFmtId="168" fontId="61" fillId="43" borderId="15" applyNumberFormat="0" applyAlignment="0" applyProtection="0"/>
    <xf numFmtId="168" fontId="61" fillId="43" borderId="15" applyNumberFormat="0" applyAlignment="0" applyProtection="0"/>
    <xf numFmtId="168" fontId="61" fillId="43" borderId="15" applyNumberFormat="0" applyAlignment="0" applyProtection="0"/>
    <xf numFmtId="168" fontId="61" fillId="43" borderId="15" applyNumberFormat="0" applyAlignment="0" applyProtection="0"/>
    <xf numFmtId="168" fontId="62" fillId="5" borderId="8" applyNumberFormat="0" applyAlignment="0" applyProtection="0"/>
    <xf numFmtId="0" fontId="16" fillId="5" borderId="8" applyNumberFormat="0" applyAlignment="0" applyProtection="0"/>
    <xf numFmtId="168" fontId="61" fillId="43" borderId="15" applyNumberFormat="0" applyAlignment="0" applyProtection="0"/>
    <xf numFmtId="168" fontId="61" fillId="43" borderId="15" applyNumberFormat="0" applyAlignment="0" applyProtection="0"/>
    <xf numFmtId="168" fontId="61" fillId="43" borderId="15" applyNumberFormat="0" applyAlignment="0" applyProtection="0"/>
    <xf numFmtId="168" fontId="62" fillId="5" borderId="8" applyNumberFormat="0" applyAlignment="0" applyProtection="0"/>
    <xf numFmtId="168" fontId="62" fillId="5" borderId="8" applyNumberFormat="0" applyAlignment="0" applyProtection="0"/>
    <xf numFmtId="168" fontId="62" fillId="5" borderId="8" applyNumberFormat="0" applyAlignment="0" applyProtection="0"/>
    <xf numFmtId="168" fontId="62" fillId="5" borderId="8" applyNumberFormat="0" applyAlignment="0" applyProtection="0"/>
    <xf numFmtId="168" fontId="62" fillId="5" borderId="8" applyNumberFormat="0" applyAlignment="0" applyProtection="0"/>
    <xf numFmtId="168" fontId="62" fillId="5" borderId="8" applyNumberFormat="0" applyAlignment="0" applyProtection="0"/>
    <xf numFmtId="0" fontId="61" fillId="43" borderId="15" applyNumberFormat="0" applyAlignment="0" applyProtection="0"/>
    <xf numFmtId="168" fontId="61" fillId="43" borderId="15" applyNumberFormat="0" applyAlignment="0" applyProtection="0"/>
    <xf numFmtId="168" fontId="61" fillId="43" borderId="15" applyNumberFormat="0" applyAlignment="0" applyProtection="0"/>
    <xf numFmtId="168" fontId="61" fillId="40" borderId="15" applyNumberFormat="0" applyAlignment="0" applyProtection="0"/>
    <xf numFmtId="168" fontId="61" fillId="40" borderId="15" applyNumberFormat="0" applyAlignment="0" applyProtection="0"/>
    <xf numFmtId="168" fontId="61" fillId="40" borderId="15" applyNumberFormat="0" applyAlignment="0" applyProtection="0"/>
    <xf numFmtId="168" fontId="61" fillId="40" borderId="15" applyNumberFormat="0" applyAlignment="0" applyProtection="0"/>
    <xf numFmtId="168" fontId="61" fillId="40" borderId="15" applyNumberFormat="0" applyAlignment="0" applyProtection="0"/>
    <xf numFmtId="0" fontId="37" fillId="58" borderId="0">
      <alignment horizontal="left"/>
    </xf>
    <xf numFmtId="0" fontId="63" fillId="56" borderId="0">
      <alignment horizontal="left"/>
    </xf>
    <xf numFmtId="168" fontId="64" fillId="0" borderId="23" applyNumberFormat="0" applyFill="0" applyAlignment="0" applyProtection="0"/>
    <xf numFmtId="168" fontId="64" fillId="0" borderId="23" applyNumberFormat="0" applyFill="0" applyAlignment="0" applyProtection="0"/>
    <xf numFmtId="168" fontId="64" fillId="0" borderId="23" applyNumberFormat="0" applyFill="0" applyAlignment="0" applyProtection="0"/>
    <xf numFmtId="168" fontId="64" fillId="0" borderId="23" applyNumberFormat="0" applyFill="0" applyAlignment="0" applyProtection="0"/>
    <xf numFmtId="168" fontId="64" fillId="0" borderId="23" applyNumberFormat="0" applyFill="0" applyAlignment="0" applyProtection="0"/>
    <xf numFmtId="168" fontId="19" fillId="0" borderId="10" applyNumberFormat="0" applyFill="0" applyAlignment="0" applyProtection="0"/>
    <xf numFmtId="168" fontId="19" fillId="0" borderId="10" applyNumberFormat="0" applyFill="0" applyAlignment="0" applyProtection="0"/>
    <xf numFmtId="168" fontId="19" fillId="0" borderId="10" applyNumberFormat="0" applyFill="0" applyAlignment="0" applyProtection="0"/>
    <xf numFmtId="168" fontId="65" fillId="0" borderId="10" applyNumberFormat="0" applyFill="0" applyAlignment="0" applyProtection="0"/>
    <xf numFmtId="168" fontId="65" fillId="0" borderId="10" applyNumberFormat="0" applyFill="0" applyAlignment="0" applyProtection="0"/>
    <xf numFmtId="0" fontId="66" fillId="0" borderId="24" applyNumberFormat="0" applyFill="0" applyAlignment="0" applyProtection="0"/>
    <xf numFmtId="168" fontId="66" fillId="0" borderId="24" applyNumberFormat="0" applyFill="0" applyAlignment="0" applyProtection="0"/>
    <xf numFmtId="168" fontId="66" fillId="0" borderId="24" applyNumberFormat="0" applyFill="0" applyAlignment="0" applyProtection="0"/>
    <xf numFmtId="168" fontId="65" fillId="0" borderId="10" applyNumberFormat="0" applyFill="0" applyAlignment="0" applyProtection="0"/>
    <xf numFmtId="168" fontId="66" fillId="0" borderId="24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168" fontId="66" fillId="0" borderId="24" applyNumberFormat="0" applyFill="0" applyAlignment="0" applyProtection="0"/>
    <xf numFmtId="168" fontId="66" fillId="0" borderId="24" applyNumberFormat="0" applyFill="0" applyAlignment="0" applyProtection="0"/>
    <xf numFmtId="168" fontId="66" fillId="0" borderId="24" applyNumberFormat="0" applyFill="0" applyAlignment="0" applyProtection="0"/>
    <xf numFmtId="168" fontId="66" fillId="0" borderId="24" applyNumberFormat="0" applyFill="0" applyAlignment="0" applyProtection="0"/>
    <xf numFmtId="168" fontId="65" fillId="0" borderId="10" applyNumberFormat="0" applyFill="0" applyAlignment="0" applyProtection="0"/>
    <xf numFmtId="0" fontId="19" fillId="0" borderId="10" applyNumberFormat="0" applyFill="0" applyAlignment="0" applyProtection="0"/>
    <xf numFmtId="168" fontId="66" fillId="0" borderId="24" applyNumberFormat="0" applyFill="0" applyAlignment="0" applyProtection="0"/>
    <xf numFmtId="168" fontId="66" fillId="0" borderId="24" applyNumberFormat="0" applyFill="0" applyAlignment="0" applyProtection="0"/>
    <xf numFmtId="168" fontId="66" fillId="0" borderId="24" applyNumberFormat="0" applyFill="0" applyAlignment="0" applyProtection="0"/>
    <xf numFmtId="168" fontId="65" fillId="0" borderId="10" applyNumberFormat="0" applyFill="0" applyAlignment="0" applyProtection="0"/>
    <xf numFmtId="168" fontId="65" fillId="0" borderId="10" applyNumberFormat="0" applyFill="0" applyAlignment="0" applyProtection="0"/>
    <xf numFmtId="168" fontId="65" fillId="0" borderId="10" applyNumberFormat="0" applyFill="0" applyAlignment="0" applyProtection="0"/>
    <xf numFmtId="168" fontId="65" fillId="0" borderId="10" applyNumberFormat="0" applyFill="0" applyAlignment="0" applyProtection="0"/>
    <xf numFmtId="168" fontId="65" fillId="0" borderId="10" applyNumberFormat="0" applyFill="0" applyAlignment="0" applyProtection="0"/>
    <xf numFmtId="168" fontId="65" fillId="0" borderId="10" applyNumberFormat="0" applyFill="0" applyAlignment="0" applyProtection="0"/>
    <xf numFmtId="0" fontId="66" fillId="0" borderId="24" applyNumberFormat="0" applyFill="0" applyAlignment="0" applyProtection="0"/>
    <xf numFmtId="168" fontId="66" fillId="0" borderId="24" applyNumberFormat="0" applyFill="0" applyAlignment="0" applyProtection="0"/>
    <xf numFmtId="168" fontId="66" fillId="0" borderId="24" applyNumberFormat="0" applyFill="0" applyAlignment="0" applyProtection="0"/>
    <xf numFmtId="168" fontId="64" fillId="0" borderId="23" applyNumberFormat="0" applyFill="0" applyAlignment="0" applyProtection="0"/>
    <xf numFmtId="168" fontId="64" fillId="0" borderId="23" applyNumberFormat="0" applyFill="0" applyAlignment="0" applyProtection="0"/>
    <xf numFmtId="168" fontId="64" fillId="0" borderId="23" applyNumberFormat="0" applyFill="0" applyAlignment="0" applyProtection="0"/>
    <xf numFmtId="168" fontId="64" fillId="0" borderId="23" applyNumberFormat="0" applyFill="0" applyAlignment="0" applyProtection="0"/>
    <xf numFmtId="168" fontId="64" fillId="0" borderId="23" applyNumberFormat="0" applyFill="0" applyAlignment="0" applyProtection="0"/>
    <xf numFmtId="168" fontId="67" fillId="43" borderId="0" applyNumberFormat="0" applyBorder="0" applyAlignment="0" applyProtection="0"/>
    <xf numFmtId="168" fontId="67" fillId="43" borderId="0" applyNumberFormat="0" applyBorder="0" applyAlignment="0" applyProtection="0"/>
    <xf numFmtId="168" fontId="67" fillId="43" borderId="0" applyNumberFormat="0" applyBorder="0" applyAlignment="0" applyProtection="0"/>
    <xf numFmtId="168" fontId="67" fillId="43" borderId="0" applyNumberFormat="0" applyBorder="0" applyAlignment="0" applyProtection="0"/>
    <xf numFmtId="168" fontId="67" fillId="43" borderId="0" applyNumberFormat="0" applyBorder="0" applyAlignment="0" applyProtection="0"/>
    <xf numFmtId="168" fontId="15" fillId="4" borderId="0" applyNumberFormat="0" applyBorder="0" applyAlignment="0" applyProtection="0"/>
    <xf numFmtId="168" fontId="15" fillId="4" borderId="0" applyNumberFormat="0" applyBorder="0" applyAlignment="0" applyProtection="0"/>
    <xf numFmtId="168" fontId="15" fillId="4" borderId="0" applyNumberFormat="0" applyBorder="0" applyAlignment="0" applyProtection="0"/>
    <xf numFmtId="168" fontId="68" fillId="4" borderId="0" applyNumberFormat="0" applyBorder="0" applyAlignment="0" applyProtection="0"/>
    <xf numFmtId="168" fontId="68" fillId="4" borderId="0" applyNumberFormat="0" applyBorder="0" applyAlignment="0" applyProtection="0"/>
    <xf numFmtId="0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8" fillId="4" borderId="0" applyNumberFormat="0" applyBorder="0" applyAlignment="0" applyProtection="0"/>
    <xf numFmtId="168" fontId="69" fillId="4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8" fillId="4" borderId="0" applyNumberFormat="0" applyBorder="0" applyAlignment="0" applyProtection="0"/>
    <xf numFmtId="0" fontId="15" fillId="4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8" fillId="4" borderId="0" applyNumberFormat="0" applyBorder="0" applyAlignment="0" applyProtection="0"/>
    <xf numFmtId="168" fontId="68" fillId="4" borderId="0" applyNumberFormat="0" applyBorder="0" applyAlignment="0" applyProtection="0"/>
    <xf numFmtId="168" fontId="68" fillId="4" borderId="0" applyNumberFormat="0" applyBorder="0" applyAlignment="0" applyProtection="0"/>
    <xf numFmtId="168" fontId="68" fillId="4" borderId="0" applyNumberFormat="0" applyBorder="0" applyAlignment="0" applyProtection="0"/>
    <xf numFmtId="168" fontId="68" fillId="4" borderId="0" applyNumberFormat="0" applyBorder="0" applyAlignment="0" applyProtection="0"/>
    <xf numFmtId="168" fontId="68" fillId="4" borderId="0" applyNumberFormat="0" applyBorder="0" applyAlignment="0" applyProtection="0"/>
    <xf numFmtId="0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9" fillId="43" borderId="0" applyNumberFormat="0" applyBorder="0" applyAlignment="0" applyProtection="0"/>
    <xf numFmtId="168" fontId="67" fillId="43" borderId="0" applyNumberFormat="0" applyBorder="0" applyAlignment="0" applyProtection="0"/>
    <xf numFmtId="168" fontId="67" fillId="43" borderId="0" applyNumberFormat="0" applyBorder="0" applyAlignment="0" applyProtection="0"/>
    <xf numFmtId="168" fontId="67" fillId="43" borderId="0" applyNumberFormat="0" applyBorder="0" applyAlignment="0" applyProtection="0"/>
    <xf numFmtId="168" fontId="67" fillId="43" borderId="0" applyNumberFormat="0" applyBorder="0" applyAlignment="0" applyProtection="0"/>
    <xf numFmtId="168" fontId="67" fillId="43" borderId="0" applyNumberFormat="0" applyBorder="0" applyAlignment="0" applyProtection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41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6" fillId="0" borderId="0"/>
    <xf numFmtId="0" fontId="3" fillId="0" borderId="0"/>
    <xf numFmtId="0" fontId="3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41" fontId="5" fillId="0" borderId="0"/>
    <xf numFmtId="41" fontId="5" fillId="0" borderId="0"/>
    <xf numFmtId="41" fontId="5" fillId="0" borderId="0"/>
    <xf numFmtId="41" fontId="5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27" fillId="0" borderId="0"/>
    <xf numFmtId="168" fontId="6" fillId="0" borderId="0"/>
    <xf numFmtId="168" fontId="70" fillId="0" borderId="0"/>
    <xf numFmtId="168" fontId="70" fillId="0" borderId="0"/>
    <xf numFmtId="168" fontId="70" fillId="0" borderId="0"/>
    <xf numFmtId="168" fontId="70" fillId="0" borderId="0"/>
    <xf numFmtId="168" fontId="70" fillId="0" borderId="0"/>
    <xf numFmtId="168" fontId="70" fillId="0" borderId="0"/>
    <xf numFmtId="168" fontId="70" fillId="0" borderId="0"/>
    <xf numFmtId="168" fontId="70" fillId="0" borderId="0"/>
    <xf numFmtId="168" fontId="70" fillId="0" borderId="0"/>
    <xf numFmtId="168" fontId="70" fillId="0" borderId="0"/>
    <xf numFmtId="168" fontId="70" fillId="0" borderId="0"/>
    <xf numFmtId="168" fontId="70" fillId="0" borderId="0"/>
    <xf numFmtId="168" fontId="70" fillId="0" borderId="0"/>
    <xf numFmtId="168" fontId="70" fillId="0" borderId="0"/>
    <xf numFmtId="168" fontId="70" fillId="0" borderId="0"/>
    <xf numFmtId="168" fontId="70" fillId="0" borderId="0"/>
    <xf numFmtId="168" fontId="70" fillId="0" borderId="0"/>
    <xf numFmtId="168" fontId="27" fillId="0" borderId="0"/>
    <xf numFmtId="41" fontId="5" fillId="0" borderId="0"/>
    <xf numFmtId="41" fontId="5" fillId="0" borderId="0"/>
    <xf numFmtId="41" fontId="5" fillId="0" borderId="0"/>
    <xf numFmtId="41" fontId="5" fillId="0" borderId="0"/>
    <xf numFmtId="41" fontId="5" fillId="0" borderId="0"/>
    <xf numFmtId="168" fontId="27" fillId="0" borderId="0"/>
    <xf numFmtId="168" fontId="27" fillId="0" borderId="0"/>
    <xf numFmtId="168" fontId="6" fillId="0" borderId="0"/>
    <xf numFmtId="0" fontId="41" fillId="0" borderId="0"/>
    <xf numFmtId="41" fontId="5" fillId="0" borderId="0"/>
    <xf numFmtId="41" fontId="5" fillId="0" borderId="0"/>
    <xf numFmtId="41" fontId="5" fillId="0" borderId="0"/>
    <xf numFmtId="41" fontId="5" fillId="0" borderId="0"/>
    <xf numFmtId="41" fontId="5" fillId="0" borderId="0"/>
    <xf numFmtId="41" fontId="5" fillId="0" borderId="0"/>
    <xf numFmtId="168" fontId="27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44" fillId="38" borderId="25" applyNumberFormat="0" applyFont="0" applyAlignment="0" applyProtection="0"/>
    <xf numFmtId="168" fontId="44" fillId="38" borderId="25" applyNumberFormat="0" applyFont="0" applyAlignment="0" applyProtection="0"/>
    <xf numFmtId="168" fontId="44" fillId="38" borderId="25" applyNumberFormat="0" applyFont="0" applyAlignment="0" applyProtection="0"/>
    <xf numFmtId="168" fontId="44" fillId="38" borderId="25" applyNumberFormat="0" applyFont="0" applyAlignment="0" applyProtection="0"/>
    <xf numFmtId="168" fontId="44" fillId="38" borderId="25" applyNumberFormat="0" applyFont="0" applyAlignment="0" applyProtection="0"/>
    <xf numFmtId="168" fontId="44" fillId="38" borderId="25" applyNumberFormat="0" applyFont="0" applyAlignment="0" applyProtection="0"/>
    <xf numFmtId="168" fontId="44" fillId="38" borderId="25" applyNumberFormat="0" applyFont="0" applyAlignment="0" applyProtection="0"/>
    <xf numFmtId="168" fontId="44" fillId="38" borderId="25" applyNumberFormat="0" applyFont="0" applyAlignment="0" applyProtection="0"/>
    <xf numFmtId="168" fontId="44" fillId="38" borderId="25" applyNumberFormat="0" applyFont="0" applyAlignment="0" applyProtection="0"/>
    <xf numFmtId="168" fontId="44" fillId="38" borderId="25" applyNumberFormat="0" applyFont="0" applyAlignment="0" applyProtection="0"/>
    <xf numFmtId="168" fontId="71" fillId="38" borderId="25" applyNumberFormat="0" applyFont="0" applyAlignment="0" applyProtection="0"/>
    <xf numFmtId="168" fontId="71" fillId="38" borderId="25" applyNumberFormat="0" applyFont="0" applyAlignment="0" applyProtection="0"/>
    <xf numFmtId="168" fontId="71" fillId="38" borderId="25" applyNumberFormat="0" applyFont="0" applyAlignment="0" applyProtection="0"/>
    <xf numFmtId="168" fontId="26" fillId="8" borderId="12" applyNumberFormat="0" applyFont="0" applyAlignment="0" applyProtection="0"/>
    <xf numFmtId="168" fontId="26" fillId="8" borderId="12" applyNumberFormat="0" applyFont="0" applyAlignment="0" applyProtection="0"/>
    <xf numFmtId="168" fontId="26" fillId="8" borderId="12" applyNumberFormat="0" applyFont="0" applyAlignment="0" applyProtection="0"/>
    <xf numFmtId="168" fontId="26" fillId="8" borderId="12" applyNumberFormat="0" applyFont="0" applyAlignment="0" applyProtection="0"/>
    <xf numFmtId="168" fontId="26" fillId="8" borderId="12" applyNumberFormat="0" applyFont="0" applyAlignment="0" applyProtection="0"/>
    <xf numFmtId="168" fontId="26" fillId="8" borderId="12" applyNumberFormat="0" applyFont="0" applyAlignment="0" applyProtection="0"/>
    <xf numFmtId="168" fontId="26" fillId="8" borderId="12" applyNumberFormat="0" applyFont="0" applyAlignment="0" applyProtection="0"/>
    <xf numFmtId="168" fontId="26" fillId="8" borderId="12" applyNumberFormat="0" applyFont="0" applyAlignment="0" applyProtection="0"/>
    <xf numFmtId="168" fontId="26" fillId="8" borderId="12" applyNumberFormat="0" applyFont="0" applyAlignment="0" applyProtection="0"/>
    <xf numFmtId="168" fontId="26" fillId="8" borderId="12" applyNumberFormat="0" applyFont="0" applyAlignment="0" applyProtection="0"/>
    <xf numFmtId="168" fontId="71" fillId="8" borderId="12" applyNumberFormat="0" applyFont="0" applyAlignment="0" applyProtection="0"/>
    <xf numFmtId="168" fontId="26" fillId="8" borderId="12" applyNumberFormat="0" applyFont="0" applyAlignment="0" applyProtection="0"/>
    <xf numFmtId="168" fontId="26" fillId="8" borderId="12" applyNumberFormat="0" applyFont="0" applyAlignment="0" applyProtection="0"/>
    <xf numFmtId="168" fontId="26" fillId="8" borderId="12" applyNumberFormat="0" applyFont="0" applyAlignment="0" applyProtection="0"/>
    <xf numFmtId="168" fontId="26" fillId="8" borderId="12" applyNumberFormat="0" applyFont="0" applyAlignment="0" applyProtection="0"/>
    <xf numFmtId="168" fontId="26" fillId="8" borderId="12" applyNumberFormat="0" applyFont="0" applyAlignment="0" applyProtection="0"/>
    <xf numFmtId="168" fontId="71" fillId="8" borderId="12" applyNumberFormat="0" applyFont="0" applyAlignment="0" applyProtection="0"/>
    <xf numFmtId="0" fontId="5" fillId="38" borderId="25" applyNumberFormat="0" applyFont="0" applyAlignment="0" applyProtection="0"/>
    <xf numFmtId="168" fontId="71" fillId="8" borderId="12" applyNumberFormat="0" applyFont="0" applyAlignment="0" applyProtection="0"/>
    <xf numFmtId="0" fontId="26" fillId="8" borderId="12" applyNumberFormat="0" applyFont="0" applyAlignment="0" applyProtection="0"/>
    <xf numFmtId="0" fontId="26" fillId="8" borderId="12" applyNumberFormat="0" applyFont="0" applyAlignment="0" applyProtection="0"/>
    <xf numFmtId="168" fontId="71" fillId="8" borderId="12" applyNumberFormat="0" applyFont="0" applyAlignment="0" applyProtection="0"/>
    <xf numFmtId="168" fontId="71" fillId="8" borderId="12" applyNumberFormat="0" applyFont="0" applyAlignment="0" applyProtection="0"/>
    <xf numFmtId="168" fontId="71" fillId="8" borderId="12" applyNumberFormat="0" applyFont="0" applyAlignment="0" applyProtection="0"/>
    <xf numFmtId="168" fontId="71" fillId="8" borderId="12" applyNumberFormat="0" applyFont="0" applyAlignment="0" applyProtection="0"/>
    <xf numFmtId="168" fontId="71" fillId="8" borderId="12" applyNumberFormat="0" applyFont="0" applyAlignment="0" applyProtection="0"/>
    <xf numFmtId="168" fontId="71" fillId="8" borderId="12" applyNumberFormat="0" applyFont="0" applyAlignment="0" applyProtection="0"/>
    <xf numFmtId="168" fontId="71" fillId="8" borderId="12" applyNumberFormat="0" applyFont="0" applyAlignment="0" applyProtection="0"/>
    <xf numFmtId="168" fontId="71" fillId="8" borderId="12" applyNumberFormat="0" applyFont="0" applyAlignment="0" applyProtection="0"/>
    <xf numFmtId="168" fontId="71" fillId="8" borderId="12" applyNumberFormat="0" applyFont="0" applyAlignment="0" applyProtection="0"/>
    <xf numFmtId="168" fontId="71" fillId="8" borderId="12" applyNumberFormat="0" applyFont="0" applyAlignment="0" applyProtection="0"/>
    <xf numFmtId="168" fontId="71" fillId="8" borderId="12" applyNumberFormat="0" applyFont="0" applyAlignment="0" applyProtection="0"/>
    <xf numFmtId="168" fontId="71" fillId="8" borderId="12" applyNumberFormat="0" applyFont="0" applyAlignment="0" applyProtection="0"/>
    <xf numFmtId="168" fontId="71" fillId="8" borderId="12" applyNumberFormat="0" applyFont="0" applyAlignment="0" applyProtection="0"/>
    <xf numFmtId="168" fontId="71" fillId="8" borderId="12" applyNumberFormat="0" applyFont="0" applyAlignment="0" applyProtection="0"/>
    <xf numFmtId="168" fontId="71" fillId="8" borderId="12" applyNumberFormat="0" applyFont="0" applyAlignment="0" applyProtection="0"/>
    <xf numFmtId="168" fontId="71" fillId="8" borderId="12" applyNumberFormat="0" applyFont="0" applyAlignment="0" applyProtection="0"/>
    <xf numFmtId="168" fontId="71" fillId="8" borderId="12" applyNumberFormat="0" applyFont="0" applyAlignment="0" applyProtection="0"/>
    <xf numFmtId="0" fontId="5" fillId="38" borderId="25" applyNumberFormat="0" applyFont="0" applyAlignment="0" applyProtection="0"/>
    <xf numFmtId="168" fontId="71" fillId="8" borderId="12" applyNumberFormat="0" applyFont="0" applyAlignment="0" applyProtection="0"/>
    <xf numFmtId="168" fontId="71" fillId="8" borderId="12" applyNumberFormat="0" applyFont="0" applyAlignment="0" applyProtection="0"/>
    <xf numFmtId="168" fontId="71" fillId="8" borderId="12" applyNumberFormat="0" applyFont="0" applyAlignment="0" applyProtection="0"/>
    <xf numFmtId="168" fontId="71" fillId="8" borderId="12" applyNumberFormat="0" applyFont="0" applyAlignment="0" applyProtection="0"/>
    <xf numFmtId="168" fontId="71" fillId="8" borderId="12" applyNumberFormat="0" applyFont="0" applyAlignment="0" applyProtection="0"/>
    <xf numFmtId="168" fontId="44" fillId="38" borderId="25" applyNumberFormat="0" applyFont="0" applyAlignment="0" applyProtection="0"/>
    <xf numFmtId="168" fontId="44" fillId="38" borderId="25" applyNumberFormat="0" applyFont="0" applyAlignment="0" applyProtection="0"/>
    <xf numFmtId="168" fontId="44" fillId="38" borderId="25" applyNumberFormat="0" applyFont="0" applyAlignment="0" applyProtection="0"/>
    <xf numFmtId="168" fontId="44" fillId="38" borderId="25" applyNumberFormat="0" applyFont="0" applyAlignment="0" applyProtection="0"/>
    <xf numFmtId="168" fontId="44" fillId="38" borderId="25" applyNumberFormat="0" applyFont="0" applyAlignment="0" applyProtection="0"/>
    <xf numFmtId="168" fontId="72" fillId="55" borderId="26" applyNumberFormat="0" applyAlignment="0" applyProtection="0"/>
    <xf numFmtId="168" fontId="72" fillId="55" borderId="26" applyNumberFormat="0" applyAlignment="0" applyProtection="0"/>
    <xf numFmtId="168" fontId="72" fillId="55" borderId="26" applyNumberFormat="0" applyAlignment="0" applyProtection="0"/>
    <xf numFmtId="168" fontId="72" fillId="55" borderId="26" applyNumberFormat="0" applyAlignment="0" applyProtection="0"/>
    <xf numFmtId="168" fontId="72" fillId="55" borderId="26" applyNumberFormat="0" applyAlignment="0" applyProtection="0"/>
    <xf numFmtId="168" fontId="17" fillId="6" borderId="9" applyNumberFormat="0" applyAlignment="0" applyProtection="0"/>
    <xf numFmtId="168" fontId="17" fillId="6" borderId="9" applyNumberFormat="0" applyAlignment="0" applyProtection="0"/>
    <xf numFmtId="168" fontId="17" fillId="6" borderId="9" applyNumberFormat="0" applyAlignment="0" applyProtection="0"/>
    <xf numFmtId="168" fontId="73" fillId="6" borderId="9" applyNumberFormat="0" applyAlignment="0" applyProtection="0"/>
    <xf numFmtId="168" fontId="73" fillId="6" borderId="9" applyNumberFormat="0" applyAlignment="0" applyProtection="0"/>
    <xf numFmtId="0" fontId="72" fillId="56" borderId="26" applyNumberFormat="0" applyAlignment="0" applyProtection="0"/>
    <xf numFmtId="168" fontId="72" fillId="56" borderId="26" applyNumberFormat="0" applyAlignment="0" applyProtection="0"/>
    <xf numFmtId="168" fontId="72" fillId="56" borderId="26" applyNumberFormat="0" applyAlignment="0" applyProtection="0"/>
    <xf numFmtId="168" fontId="73" fillId="6" borderId="9" applyNumberFormat="0" applyAlignment="0" applyProtection="0"/>
    <xf numFmtId="168" fontId="72" fillId="56" borderId="26" applyNumberFormat="0" applyAlignment="0" applyProtection="0"/>
    <xf numFmtId="0" fontId="17" fillId="6" borderId="9" applyNumberFormat="0" applyAlignment="0" applyProtection="0"/>
    <xf numFmtId="0" fontId="17" fillId="6" borderId="9" applyNumberFormat="0" applyAlignment="0" applyProtection="0"/>
    <xf numFmtId="0" fontId="17" fillId="6" borderId="9" applyNumberFormat="0" applyAlignment="0" applyProtection="0"/>
    <xf numFmtId="0" fontId="17" fillId="6" borderId="9" applyNumberFormat="0" applyAlignment="0" applyProtection="0"/>
    <xf numFmtId="0" fontId="17" fillId="6" borderId="9" applyNumberFormat="0" applyAlignment="0" applyProtection="0"/>
    <xf numFmtId="168" fontId="72" fillId="56" borderId="26" applyNumberFormat="0" applyAlignment="0" applyProtection="0"/>
    <xf numFmtId="168" fontId="72" fillId="56" borderId="26" applyNumberFormat="0" applyAlignment="0" applyProtection="0"/>
    <xf numFmtId="168" fontId="72" fillId="56" borderId="26" applyNumberFormat="0" applyAlignment="0" applyProtection="0"/>
    <xf numFmtId="168" fontId="72" fillId="56" borderId="26" applyNumberFormat="0" applyAlignment="0" applyProtection="0"/>
    <xf numFmtId="168" fontId="73" fillId="6" borderId="9" applyNumberFormat="0" applyAlignment="0" applyProtection="0"/>
    <xf numFmtId="0" fontId="17" fillId="6" borderId="9" applyNumberFormat="0" applyAlignment="0" applyProtection="0"/>
    <xf numFmtId="168" fontId="72" fillId="56" borderId="26" applyNumberFormat="0" applyAlignment="0" applyProtection="0"/>
    <xf numFmtId="168" fontId="72" fillId="56" borderId="26" applyNumberFormat="0" applyAlignment="0" applyProtection="0"/>
    <xf numFmtId="168" fontId="72" fillId="56" borderId="26" applyNumberFormat="0" applyAlignment="0" applyProtection="0"/>
    <xf numFmtId="168" fontId="73" fillId="6" borderId="9" applyNumberFormat="0" applyAlignment="0" applyProtection="0"/>
    <xf numFmtId="168" fontId="73" fillId="6" borderId="9" applyNumberFormat="0" applyAlignment="0" applyProtection="0"/>
    <xf numFmtId="168" fontId="73" fillId="6" borderId="9" applyNumberFormat="0" applyAlignment="0" applyProtection="0"/>
    <xf numFmtId="168" fontId="73" fillId="6" borderId="9" applyNumberFormat="0" applyAlignment="0" applyProtection="0"/>
    <xf numFmtId="168" fontId="73" fillId="6" borderId="9" applyNumberFormat="0" applyAlignment="0" applyProtection="0"/>
    <xf numFmtId="168" fontId="73" fillId="6" borderId="9" applyNumberFormat="0" applyAlignment="0" applyProtection="0"/>
    <xf numFmtId="0" fontId="72" fillId="56" borderId="26" applyNumberFormat="0" applyAlignment="0" applyProtection="0"/>
    <xf numFmtId="168" fontId="72" fillId="56" borderId="26" applyNumberFormat="0" applyAlignment="0" applyProtection="0"/>
    <xf numFmtId="168" fontId="72" fillId="56" borderId="26" applyNumberFormat="0" applyAlignment="0" applyProtection="0"/>
    <xf numFmtId="168" fontId="72" fillId="55" borderId="26" applyNumberFormat="0" applyAlignment="0" applyProtection="0"/>
    <xf numFmtId="168" fontId="72" fillId="55" borderId="26" applyNumberFormat="0" applyAlignment="0" applyProtection="0"/>
    <xf numFmtId="168" fontId="72" fillId="55" borderId="26" applyNumberFormat="0" applyAlignment="0" applyProtection="0"/>
    <xf numFmtId="168" fontId="72" fillId="55" borderId="26" applyNumberFormat="0" applyAlignment="0" applyProtection="0"/>
    <xf numFmtId="168" fontId="72" fillId="55" borderId="26" applyNumberFormat="0" applyAlignment="0" applyProtection="0"/>
    <xf numFmtId="4" fontId="74" fillId="59" borderId="0">
      <alignment horizontal="right"/>
    </xf>
    <xf numFmtId="0" fontId="75" fillId="59" borderId="0">
      <alignment horizontal="center" vertical="center"/>
    </xf>
    <xf numFmtId="168" fontId="75" fillId="59" borderId="0">
      <alignment horizontal="center" vertical="center"/>
    </xf>
    <xf numFmtId="168" fontId="75" fillId="59" borderId="0">
      <alignment horizontal="center" vertical="center"/>
    </xf>
    <xf numFmtId="168" fontId="75" fillId="59" borderId="0">
      <alignment horizontal="center" vertical="center"/>
    </xf>
    <xf numFmtId="168" fontId="75" fillId="59" borderId="0">
      <alignment horizontal="center" vertical="center"/>
    </xf>
    <xf numFmtId="168" fontId="75" fillId="59" borderId="0">
      <alignment horizontal="center" vertical="center"/>
    </xf>
    <xf numFmtId="168" fontId="75" fillId="59" borderId="0">
      <alignment horizontal="center" vertical="center"/>
    </xf>
    <xf numFmtId="0" fontId="63" fillId="59" borderId="27"/>
    <xf numFmtId="168" fontId="63" fillId="59" borderId="27"/>
    <xf numFmtId="168" fontId="63" fillId="59" borderId="27"/>
    <xf numFmtId="168" fontId="63" fillId="59" borderId="27"/>
    <xf numFmtId="168" fontId="63" fillId="59" borderId="27"/>
    <xf numFmtId="168" fontId="63" fillId="59" borderId="27"/>
    <xf numFmtId="168" fontId="63" fillId="59" borderId="27"/>
    <xf numFmtId="0" fontId="75" fillId="59" borderId="0" applyBorder="0">
      <alignment horizontal="centerContinuous"/>
    </xf>
    <xf numFmtId="168" fontId="75" fillId="59" borderId="0" applyBorder="0">
      <alignment horizontal="centerContinuous"/>
    </xf>
    <xf numFmtId="168" fontId="75" fillId="59" borderId="0" applyBorder="0">
      <alignment horizontal="centerContinuous"/>
    </xf>
    <xf numFmtId="168" fontId="75" fillId="59" borderId="0" applyBorder="0">
      <alignment horizontal="centerContinuous"/>
    </xf>
    <xf numFmtId="168" fontId="75" fillId="59" borderId="0" applyBorder="0">
      <alignment horizontal="centerContinuous"/>
    </xf>
    <xf numFmtId="168" fontId="75" fillId="59" borderId="0" applyBorder="0">
      <alignment horizontal="centerContinuous"/>
    </xf>
    <xf numFmtId="168" fontId="75" fillId="59" borderId="0" applyBorder="0">
      <alignment horizontal="centerContinuous"/>
    </xf>
    <xf numFmtId="0" fontId="76" fillId="59" borderId="0" applyBorder="0">
      <alignment horizontal="centerContinuous"/>
    </xf>
    <xf numFmtId="168" fontId="76" fillId="59" borderId="0" applyBorder="0">
      <alignment horizontal="centerContinuous"/>
    </xf>
    <xf numFmtId="168" fontId="76" fillId="59" borderId="0" applyBorder="0">
      <alignment horizontal="centerContinuous"/>
    </xf>
    <xf numFmtId="168" fontId="76" fillId="59" borderId="0" applyBorder="0">
      <alignment horizontal="centerContinuous"/>
    </xf>
    <xf numFmtId="168" fontId="76" fillId="59" borderId="0" applyBorder="0">
      <alignment horizontal="centerContinuous"/>
    </xf>
    <xf numFmtId="168" fontId="76" fillId="59" borderId="0" applyBorder="0">
      <alignment horizontal="centerContinuous"/>
    </xf>
    <xf numFmtId="168" fontId="76" fillId="59" borderId="0" applyBorder="0">
      <alignment horizontal="centerContinuous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3" fillId="43" borderId="0">
      <alignment horizontal="center"/>
    </xf>
    <xf numFmtId="49" fontId="77" fillId="56" borderId="0">
      <alignment horizontal="center"/>
    </xf>
    <xf numFmtId="0" fontId="38" fillId="58" borderId="0">
      <alignment horizontal="center"/>
    </xf>
    <xf numFmtId="0" fontId="38" fillId="58" borderId="0">
      <alignment horizontal="centerContinuous"/>
    </xf>
    <xf numFmtId="0" fontId="78" fillId="56" borderId="0">
      <alignment horizontal="left"/>
    </xf>
    <xf numFmtId="49" fontId="78" fillId="56" borderId="0">
      <alignment horizontal="center"/>
    </xf>
    <xf numFmtId="0" fontId="37" fillId="58" borderId="0">
      <alignment horizontal="left"/>
    </xf>
    <xf numFmtId="49" fontId="78" fillId="56" borderId="0">
      <alignment horizontal="left"/>
    </xf>
    <xf numFmtId="0" fontId="37" fillId="58" borderId="0">
      <alignment horizontal="centerContinuous"/>
    </xf>
    <xf numFmtId="0" fontId="37" fillId="58" borderId="0">
      <alignment horizontal="right"/>
    </xf>
    <xf numFmtId="49" fontId="63" fillId="56" borderId="0">
      <alignment horizontal="left"/>
    </xf>
    <xf numFmtId="0" fontId="38" fillId="58" borderId="0">
      <alignment horizontal="right"/>
    </xf>
    <xf numFmtId="0" fontId="78" fillId="40" borderId="0">
      <alignment horizontal="center"/>
    </xf>
    <xf numFmtId="0" fontId="79" fillId="40" borderId="0">
      <alignment horizont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68" fontId="81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81" fillId="0" borderId="0" applyNumberFormat="0" applyFill="0" applyBorder="0" applyAlignment="0" applyProtection="0"/>
    <xf numFmtId="168" fontId="81" fillId="0" borderId="0" applyNumberFormat="0" applyFill="0" applyBorder="0" applyAlignment="0" applyProtection="0"/>
    <xf numFmtId="168" fontId="81" fillId="0" borderId="0" applyNumberFormat="0" applyFill="0" applyBorder="0" applyAlignment="0" applyProtection="0"/>
    <xf numFmtId="168" fontId="81" fillId="0" borderId="0" applyNumberFormat="0" applyFill="0" applyBorder="0" applyAlignment="0" applyProtection="0"/>
    <xf numFmtId="168" fontId="81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81" fillId="0" borderId="0" applyNumberFormat="0" applyFill="0" applyBorder="0" applyAlignment="0" applyProtection="0"/>
    <xf numFmtId="168" fontId="81" fillId="0" borderId="0" applyNumberFormat="0" applyFill="0" applyBorder="0" applyAlignment="0" applyProtection="0"/>
    <xf numFmtId="168" fontId="81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8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68" fontId="81" fillId="0" borderId="0" applyNumberFormat="0" applyFill="0" applyBorder="0" applyAlignment="0" applyProtection="0"/>
    <xf numFmtId="168" fontId="81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2" fillId="0" borderId="28" applyNumberFormat="0" applyFill="0" applyAlignment="0" applyProtection="0"/>
    <xf numFmtId="168" fontId="82" fillId="0" borderId="28" applyNumberFormat="0" applyFill="0" applyAlignment="0" applyProtection="0"/>
    <xf numFmtId="168" fontId="82" fillId="0" borderId="28" applyNumberFormat="0" applyFill="0" applyAlignment="0" applyProtection="0"/>
    <xf numFmtId="168" fontId="82" fillId="0" borderId="28" applyNumberFormat="0" applyFill="0" applyAlignment="0" applyProtection="0"/>
    <xf numFmtId="168" fontId="82" fillId="0" borderId="28" applyNumberFormat="0" applyFill="0" applyAlignment="0" applyProtection="0"/>
    <xf numFmtId="168" fontId="23" fillId="0" borderId="13" applyNumberFormat="0" applyFill="0" applyAlignment="0" applyProtection="0"/>
    <xf numFmtId="168" fontId="23" fillId="0" borderId="13" applyNumberFormat="0" applyFill="0" applyAlignment="0" applyProtection="0"/>
    <xf numFmtId="168" fontId="23" fillId="0" borderId="13" applyNumberFormat="0" applyFill="0" applyAlignment="0" applyProtection="0"/>
    <xf numFmtId="168" fontId="83" fillId="0" borderId="13" applyNumberFormat="0" applyFill="0" applyAlignment="0" applyProtection="0"/>
    <xf numFmtId="168" fontId="83" fillId="0" borderId="13" applyNumberFormat="0" applyFill="0" applyAlignment="0" applyProtection="0"/>
    <xf numFmtId="0" fontId="6" fillId="0" borderId="29" applyNumberFormat="0" applyFont="0" applyFill="0" applyAlignment="0" applyProtection="0"/>
    <xf numFmtId="168" fontId="82" fillId="0" borderId="30" applyNumberFormat="0" applyFill="0" applyAlignment="0" applyProtection="0"/>
    <xf numFmtId="168" fontId="82" fillId="0" borderId="30" applyNumberFormat="0" applyFill="0" applyAlignment="0" applyProtection="0"/>
    <xf numFmtId="168" fontId="83" fillId="0" borderId="13" applyNumberFormat="0" applyFill="0" applyAlignment="0" applyProtection="0"/>
    <xf numFmtId="168" fontId="82" fillId="0" borderId="30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168" fontId="82" fillId="0" borderId="30" applyNumberFormat="0" applyFill="0" applyAlignment="0" applyProtection="0"/>
    <xf numFmtId="168" fontId="82" fillId="0" borderId="30" applyNumberFormat="0" applyFill="0" applyAlignment="0" applyProtection="0"/>
    <xf numFmtId="168" fontId="82" fillId="0" borderId="30" applyNumberFormat="0" applyFill="0" applyAlignment="0" applyProtection="0"/>
    <xf numFmtId="168" fontId="82" fillId="0" borderId="30" applyNumberFormat="0" applyFill="0" applyAlignment="0" applyProtection="0"/>
    <xf numFmtId="168" fontId="83" fillId="0" borderId="13" applyNumberFormat="0" applyFill="0" applyAlignment="0" applyProtection="0"/>
    <xf numFmtId="0" fontId="23" fillId="0" borderId="13" applyNumberFormat="0" applyFill="0" applyAlignment="0" applyProtection="0"/>
    <xf numFmtId="168" fontId="82" fillId="0" borderId="30" applyNumberFormat="0" applyFill="0" applyAlignment="0" applyProtection="0"/>
    <xf numFmtId="168" fontId="82" fillId="0" borderId="30" applyNumberFormat="0" applyFill="0" applyAlignment="0" applyProtection="0"/>
    <xf numFmtId="168" fontId="82" fillId="0" borderId="30" applyNumberFormat="0" applyFill="0" applyAlignment="0" applyProtection="0"/>
    <xf numFmtId="168" fontId="83" fillId="0" borderId="13" applyNumberFormat="0" applyFill="0" applyAlignment="0" applyProtection="0"/>
    <xf numFmtId="168" fontId="83" fillId="0" borderId="13" applyNumberFormat="0" applyFill="0" applyAlignment="0" applyProtection="0"/>
    <xf numFmtId="168" fontId="83" fillId="0" borderId="13" applyNumberFormat="0" applyFill="0" applyAlignment="0" applyProtection="0"/>
    <xf numFmtId="168" fontId="6" fillId="0" borderId="29" applyNumberFormat="0" applyFont="0" applyFill="0" applyAlignment="0" applyProtection="0"/>
    <xf numFmtId="168" fontId="6" fillId="0" borderId="29" applyNumberFormat="0" applyFont="0" applyFill="0" applyAlignment="0" applyProtection="0"/>
    <xf numFmtId="168" fontId="83" fillId="0" borderId="13" applyNumberFormat="0" applyFill="0" applyAlignment="0" applyProtection="0"/>
    <xf numFmtId="168" fontId="83" fillId="0" borderId="13" applyNumberFormat="0" applyFill="0" applyAlignment="0" applyProtection="0"/>
    <xf numFmtId="168" fontId="83" fillId="0" borderId="13" applyNumberFormat="0" applyFill="0" applyAlignment="0" applyProtection="0"/>
    <xf numFmtId="0" fontId="6" fillId="0" borderId="29" applyNumberFormat="0" applyFont="0" applyFill="0" applyAlignment="0" applyProtection="0"/>
    <xf numFmtId="168" fontId="82" fillId="0" borderId="30" applyNumberFormat="0" applyFill="0" applyAlignment="0" applyProtection="0"/>
    <xf numFmtId="168" fontId="82" fillId="0" borderId="30" applyNumberFormat="0" applyFill="0" applyAlignment="0" applyProtection="0"/>
    <xf numFmtId="168" fontId="82" fillId="0" borderId="28" applyNumberFormat="0" applyFill="0" applyAlignment="0" applyProtection="0"/>
    <xf numFmtId="168" fontId="82" fillId="0" borderId="28" applyNumberFormat="0" applyFill="0" applyAlignment="0" applyProtection="0"/>
    <xf numFmtId="168" fontId="82" fillId="0" borderId="28" applyNumberFormat="0" applyFill="0" applyAlignment="0" applyProtection="0"/>
    <xf numFmtId="168" fontId="82" fillId="0" borderId="28" applyNumberFormat="0" applyFill="0" applyAlignment="0" applyProtection="0"/>
    <xf numFmtId="168" fontId="82" fillId="0" borderId="28" applyNumberFormat="0" applyFill="0" applyAlignment="0" applyProtection="0"/>
    <xf numFmtId="0" fontId="84" fillId="56" borderId="0">
      <alignment horizontal="center"/>
    </xf>
    <xf numFmtId="168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168" fontId="85" fillId="0" borderId="0" applyNumberFormat="0" applyFill="0" applyBorder="0" applyAlignment="0" applyProtection="0"/>
    <xf numFmtId="168" fontId="8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168" fontId="85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168" fontId="8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168" fontId="85" fillId="0" borderId="0" applyNumberFormat="0" applyFill="0" applyBorder="0" applyAlignment="0" applyProtection="0"/>
    <xf numFmtId="168" fontId="85" fillId="0" borderId="0" applyNumberFormat="0" applyFill="0" applyBorder="0" applyAlignment="0" applyProtection="0"/>
    <xf numFmtId="168" fontId="85" fillId="0" borderId="0" applyNumberFormat="0" applyFill="0" applyBorder="0" applyAlignment="0" applyProtection="0"/>
    <xf numFmtId="168" fontId="85" fillId="0" borderId="0" applyNumberFormat="0" applyFill="0" applyBorder="0" applyAlignment="0" applyProtection="0"/>
    <xf numFmtId="168" fontId="85" fillId="0" borderId="0" applyNumberFormat="0" applyFill="0" applyBorder="0" applyAlignment="0" applyProtection="0"/>
    <xf numFmtId="168" fontId="8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86" fillId="0" borderId="0"/>
    <xf numFmtId="44" fontId="86" fillId="0" borderId="0" applyFont="0" applyFill="0" applyBorder="0" applyAlignment="0" applyProtection="0"/>
    <xf numFmtId="9" fontId="88" fillId="0" borderId="0" applyFont="0" applyFill="0" applyBorder="0" applyAlignment="0" applyProtection="0"/>
    <xf numFmtId="0" fontId="2" fillId="0" borderId="0"/>
    <xf numFmtId="172" fontId="89" fillId="0" borderId="0"/>
    <xf numFmtId="0" fontId="4" fillId="0" borderId="0"/>
    <xf numFmtId="0" fontId="4" fillId="0" borderId="0"/>
    <xf numFmtId="0" fontId="1" fillId="0" borderId="0"/>
    <xf numFmtId="43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4" fillId="0" borderId="0"/>
    <xf numFmtId="172" fontId="4" fillId="0" borderId="0"/>
    <xf numFmtId="0" fontId="4" fillId="0" borderId="0"/>
    <xf numFmtId="0" fontId="4" fillId="0" borderId="0"/>
    <xf numFmtId="0" fontId="4" fillId="0" borderId="0"/>
    <xf numFmtId="43" fontId="90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2" fillId="0" borderId="0" applyFill="0" applyBorder="0"/>
  </cellStyleXfs>
  <cellXfs count="227">
    <xf numFmtId="0" fontId="0" fillId="0" borderId="0" xfId="0"/>
    <xf numFmtId="0" fontId="7" fillId="0" borderId="0" xfId="0" applyFont="1"/>
    <xf numFmtId="0" fontId="5" fillId="0" borderId="0" xfId="0" applyFont="1" applyFill="1"/>
    <xf numFmtId="0" fontId="7" fillId="0" borderId="0" xfId="0" applyFont="1" applyFill="1"/>
    <xf numFmtId="0" fontId="7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left"/>
    </xf>
    <xf numFmtId="10" fontId="5" fillId="0" borderId="0" xfId="0" applyNumberFormat="1" applyFont="1" applyFill="1"/>
    <xf numFmtId="0" fontId="87" fillId="0" borderId="0" xfId="0" quotePrefix="1" applyFont="1" applyFill="1" applyAlignment="1"/>
    <xf numFmtId="0" fontId="7" fillId="0" borderId="1" xfId="0" applyFont="1" applyFill="1" applyBorder="1" applyAlignment="1">
      <alignment horizontal="center"/>
    </xf>
    <xf numFmtId="0" fontId="8" fillId="0" borderId="0" xfId="0" applyFont="1" applyFill="1"/>
    <xf numFmtId="0" fontId="5" fillId="0" borderId="0" xfId="0" applyFont="1" applyFill="1" applyAlignment="1"/>
    <xf numFmtId="0" fontId="4" fillId="0" borderId="0" xfId="0" applyFont="1"/>
    <xf numFmtId="0" fontId="4" fillId="0" borderId="0" xfId="0" applyFont="1" applyFill="1"/>
    <xf numFmtId="37" fontId="46" fillId="0" borderId="0" xfId="0" applyNumberFormat="1" applyFont="1" applyFill="1"/>
    <xf numFmtId="10" fontId="4" fillId="0" borderId="0" xfId="0" applyNumberFormat="1" applyFont="1" applyFill="1"/>
    <xf numFmtId="10" fontId="46" fillId="0" borderId="0" xfId="0" applyNumberFormat="1" applyFont="1" applyFill="1"/>
    <xf numFmtId="37" fontId="4" fillId="0" borderId="0" xfId="0" applyNumberFormat="1" applyFont="1" applyFill="1"/>
    <xf numFmtId="0" fontId="4" fillId="0" borderId="0" xfId="0" applyFont="1" applyFill="1" applyAlignment="1">
      <alignment horizontal="center"/>
    </xf>
    <xf numFmtId="165" fontId="4" fillId="0" borderId="0" xfId="2" applyNumberFormat="1" applyFont="1" applyFill="1" applyBorder="1"/>
    <xf numFmtId="5" fontId="4" fillId="0" borderId="0" xfId="0" applyNumberFormat="1" applyFont="1" applyFill="1"/>
    <xf numFmtId="5" fontId="4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7" fillId="0" borderId="0" xfId="0" applyFont="1" applyFill="1" applyAlignment="1">
      <alignment horizontal="center"/>
    </xf>
    <xf numFmtId="0" fontId="91" fillId="0" borderId="0" xfId="2395" applyFont="1" applyFill="1" applyAlignment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174" fontId="4" fillId="0" borderId="1" xfId="0" applyNumberFormat="1" applyFont="1" applyFill="1" applyBorder="1" applyAlignment="1">
      <alignment horizontal="center"/>
    </xf>
    <xf numFmtId="0" fontId="4" fillId="0" borderId="0" xfId="2396" applyFont="1" applyFill="1" applyBorder="1" applyAlignment="1">
      <alignment horizontal="left"/>
    </xf>
    <xf numFmtId="0" fontId="7" fillId="0" borderId="0" xfId="2397" applyFont="1" applyFill="1"/>
    <xf numFmtId="165" fontId="4" fillId="0" borderId="0" xfId="2395" applyNumberFormat="1" applyFont="1" applyFill="1" applyBorder="1"/>
    <xf numFmtId="165" fontId="4" fillId="0" borderId="0" xfId="0" applyNumberFormat="1" applyFont="1" applyFill="1" applyBorder="1"/>
    <xf numFmtId="0" fontId="4" fillId="0" borderId="0" xfId="2397" applyFont="1" applyFill="1"/>
    <xf numFmtId="165" fontId="4" fillId="0" borderId="1" xfId="2395" applyNumberFormat="1" applyFont="1" applyFill="1" applyBorder="1"/>
    <xf numFmtId="10" fontId="4" fillId="0" borderId="0" xfId="2395" applyNumberFormat="1" applyFont="1" applyFill="1" applyBorder="1"/>
    <xf numFmtId="165" fontId="4" fillId="0" borderId="1" xfId="0" applyNumberFormat="1" applyFont="1" applyFill="1" applyBorder="1"/>
    <xf numFmtId="44" fontId="4" fillId="0" borderId="0" xfId="0" applyNumberFormat="1" applyFont="1" applyFill="1" applyBorder="1"/>
    <xf numFmtId="165" fontId="4" fillId="0" borderId="0" xfId="2399" applyNumberFormat="1" applyFont="1" applyFill="1" applyBorder="1" applyAlignment="1">
      <alignment horizontal="left"/>
    </xf>
    <xf numFmtId="0" fontId="4" fillId="0" borderId="0" xfId="2397" applyFont="1" applyFill="1" applyBorder="1"/>
    <xf numFmtId="0" fontId="7" fillId="0" borderId="0" xfId="2396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0" fontId="4" fillId="0" borderId="1" xfId="3" applyNumberFormat="1" applyFont="1" applyFill="1" applyBorder="1"/>
    <xf numFmtId="0" fontId="7" fillId="0" borderId="0" xfId="0" applyFont="1" applyFill="1" applyBorder="1"/>
    <xf numFmtId="0" fontId="4" fillId="0" borderId="31" xfId="0" applyFont="1" applyFill="1" applyBorder="1" applyAlignment="1">
      <alignment horizontal="center"/>
    </xf>
    <xf numFmtId="0" fontId="4" fillId="0" borderId="4" xfId="0" applyFont="1" applyFill="1" applyBorder="1"/>
    <xf numFmtId="0" fontId="4" fillId="0" borderId="32" xfId="0" applyFont="1" applyFill="1" applyBorder="1"/>
    <xf numFmtId="0" fontId="4" fillId="0" borderId="33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174" fontId="4" fillId="0" borderId="34" xfId="0" applyNumberFormat="1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31" xfId="0" quotePrefix="1" applyFont="1" applyFill="1" applyBorder="1" applyAlignment="1">
      <alignment horizontal="center"/>
    </xf>
    <xf numFmtId="0" fontId="4" fillId="0" borderId="4" xfId="0" quotePrefix="1" applyFont="1" applyFill="1" applyBorder="1" applyAlignment="1">
      <alignment horizontal="center"/>
    </xf>
    <xf numFmtId="0" fontId="4" fillId="0" borderId="32" xfId="0" quotePrefix="1" applyFont="1" applyFill="1" applyBorder="1" applyAlignment="1">
      <alignment horizontal="center"/>
    </xf>
    <xf numFmtId="0" fontId="4" fillId="0" borderId="33" xfId="0" applyFont="1" applyFill="1" applyBorder="1"/>
    <xf numFmtId="0" fontId="4" fillId="0" borderId="27" xfId="0" applyFont="1" applyFill="1" applyBorder="1"/>
    <xf numFmtId="165" fontId="4" fillId="0" borderId="33" xfId="2395" applyNumberFormat="1" applyFont="1" applyFill="1" applyBorder="1"/>
    <xf numFmtId="165" fontId="4" fillId="0" borderId="34" xfId="2395" applyNumberFormat="1" applyFont="1" applyFill="1" applyBorder="1"/>
    <xf numFmtId="165" fontId="4" fillId="0" borderId="33" xfId="0" applyNumberFormat="1" applyFont="1" applyFill="1" applyBorder="1"/>
    <xf numFmtId="165" fontId="4" fillId="0" borderId="27" xfId="0" applyNumberFormat="1" applyFont="1" applyFill="1" applyBorder="1"/>
    <xf numFmtId="165" fontId="4" fillId="0" borderId="35" xfId="0" applyNumberFormat="1" applyFont="1" applyFill="1" applyBorder="1"/>
    <xf numFmtId="165" fontId="4" fillId="0" borderId="27" xfId="2395" applyNumberFormat="1" applyFont="1" applyFill="1" applyBorder="1"/>
    <xf numFmtId="10" fontId="4" fillId="0" borderId="34" xfId="3" applyNumberFormat="1" applyFont="1" applyFill="1" applyBorder="1"/>
    <xf numFmtId="10" fontId="4" fillId="0" borderId="35" xfId="0" applyNumberFormat="1" applyFont="1" applyFill="1" applyBorder="1"/>
    <xf numFmtId="165" fontId="4" fillId="0" borderId="34" xfId="0" applyNumberFormat="1" applyFont="1" applyFill="1" applyBorder="1"/>
    <xf numFmtId="0" fontId="7" fillId="0" borderId="0" xfId="0" applyFont="1" applyFill="1" applyAlignment="1">
      <alignment horizontal="right"/>
    </xf>
    <xf numFmtId="0" fontId="7" fillId="0" borderId="0" xfId="0" applyFont="1" applyFill="1" applyAlignment="1"/>
    <xf numFmtId="0" fontId="8" fillId="0" borderId="0" xfId="0" applyFont="1" applyFill="1" applyAlignment="1">
      <alignment horizontal="center"/>
    </xf>
    <xf numFmtId="164" fontId="4" fillId="0" borderId="0" xfId="0" applyNumberFormat="1" applyFont="1" applyFill="1"/>
    <xf numFmtId="164" fontId="4" fillId="0" borderId="0" xfId="2398" applyNumberFormat="1" applyFont="1" applyFill="1"/>
    <xf numFmtId="43" fontId="4" fillId="0" borderId="0" xfId="0" applyNumberFormat="1" applyFont="1" applyFill="1"/>
    <xf numFmtId="164" fontId="92" fillId="0" borderId="0" xfId="2398" applyNumberFormat="1" applyFont="1" applyFill="1"/>
    <xf numFmtId="172" fontId="8" fillId="0" borderId="0" xfId="0" applyNumberFormat="1" applyFont="1" applyFill="1" applyAlignment="1">
      <alignment horizontal="center"/>
    </xf>
    <xf numFmtId="37" fontId="7" fillId="0" borderId="0" xfId="0" quotePrefix="1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5" fontId="4" fillId="0" borderId="0" xfId="0" applyNumberFormat="1" applyFont="1" applyFill="1" applyAlignment="1">
      <alignment horizontal="right"/>
    </xf>
    <xf numFmtId="173" fontId="4" fillId="0" borderId="0" xfId="2400" applyNumberFormat="1" applyFont="1" applyFill="1" applyBorder="1"/>
    <xf numFmtId="5" fontId="4" fillId="0" borderId="0" xfId="2398" applyNumberFormat="1" applyFont="1" applyFill="1"/>
    <xf numFmtId="9" fontId="4" fillId="0" borderId="0" xfId="0" applyNumberFormat="1" applyFont="1" applyFill="1" applyBorder="1" applyAlignment="1">
      <alignment horizontal="center"/>
    </xf>
    <xf numFmtId="5" fontId="4" fillId="0" borderId="1" xfId="0" applyNumberFormat="1" applyFont="1" applyFill="1" applyBorder="1" applyAlignment="1">
      <alignment horizontal="right"/>
    </xf>
    <xf numFmtId="173" fontId="4" fillId="0" borderId="1" xfId="2400" applyNumberFormat="1" applyFont="1" applyFill="1" applyBorder="1"/>
    <xf numFmtId="5" fontId="4" fillId="0" borderId="1" xfId="2398" applyNumberFormat="1" applyFont="1" applyFill="1" applyBorder="1"/>
    <xf numFmtId="37" fontId="4" fillId="0" borderId="1" xfId="0" applyNumberFormat="1" applyFont="1" applyFill="1" applyBorder="1"/>
    <xf numFmtId="5" fontId="4" fillId="0" borderId="0" xfId="0" applyNumberFormat="1" applyFont="1" applyFill="1" applyBorder="1" applyAlignment="1">
      <alignment horizontal="right"/>
    </xf>
    <xf numFmtId="5" fontId="4" fillId="0" borderId="0" xfId="2398" applyNumberFormat="1" applyFont="1" applyFill="1" applyBorder="1"/>
    <xf numFmtId="164" fontId="4" fillId="0" borderId="0" xfId="2398" applyNumberFormat="1" applyFont="1" applyFill="1" applyBorder="1"/>
    <xf numFmtId="5" fontId="4" fillId="0" borderId="2" xfId="0" applyNumberFormat="1" applyFont="1" applyFill="1" applyBorder="1" applyAlignment="1">
      <alignment horizontal="right"/>
    </xf>
    <xf numFmtId="173" fontId="4" fillId="0" borderId="2" xfId="0" applyNumberFormat="1" applyFont="1" applyFill="1" applyBorder="1" applyAlignment="1">
      <alignment horizontal="center"/>
    </xf>
    <xf numFmtId="5" fontId="4" fillId="0" borderId="2" xfId="2398" applyNumberFormat="1" applyFont="1" applyFill="1" applyBorder="1"/>
    <xf numFmtId="164" fontId="4" fillId="0" borderId="2" xfId="2398" applyNumberFormat="1" applyFont="1" applyFill="1" applyBorder="1"/>
    <xf numFmtId="0" fontId="4" fillId="0" borderId="0" xfId="0" quotePrefix="1" applyFont="1" applyFill="1"/>
    <xf numFmtId="17" fontId="8" fillId="0" borderId="0" xfId="0" applyNumberFormat="1" applyFont="1" applyFill="1" applyAlignment="1">
      <alignment horizontal="center"/>
    </xf>
    <xf numFmtId="0" fontId="4" fillId="0" borderId="0" xfId="0" applyFont="1" applyFill="1" applyAlignment="1"/>
    <xf numFmtId="0" fontId="97" fillId="0" borderId="0" xfId="0" applyFont="1" applyFill="1" applyAlignment="1">
      <alignment horizontal="center"/>
    </xf>
    <xf numFmtId="0" fontId="8" fillId="0" borderId="0" xfId="0" applyFont="1" applyFill="1" applyAlignment="1"/>
    <xf numFmtId="10" fontId="4" fillId="0" borderId="0" xfId="0" applyNumberFormat="1" applyFont="1" applyFill="1" applyAlignment="1">
      <alignment horizontal="right"/>
    </xf>
    <xf numFmtId="175" fontId="4" fillId="0" borderId="0" xfId="0" applyNumberFormat="1" applyFont="1" applyFill="1"/>
    <xf numFmtId="164" fontId="4" fillId="0" borderId="0" xfId="2400" applyNumberFormat="1" applyFont="1" applyFill="1"/>
    <xf numFmtId="10" fontId="4" fillId="0" borderId="0" xfId="2400" applyNumberFormat="1" applyFont="1" applyFill="1"/>
    <xf numFmtId="164" fontId="94" fillId="0" borderId="0" xfId="2398" applyNumberFormat="1" applyFont="1" applyFill="1"/>
    <xf numFmtId="164" fontId="98" fillId="0" borderId="0" xfId="2398" applyNumberFormat="1" applyFont="1" applyFill="1"/>
    <xf numFmtId="0" fontId="4" fillId="0" borderId="0" xfId="0" applyFont="1" applyFill="1" applyAlignment="1">
      <alignment horizontal="left" indent="1"/>
    </xf>
    <xf numFmtId="10" fontId="4" fillId="0" borderId="0" xfId="2398" applyNumberFormat="1" applyFont="1" applyFill="1"/>
    <xf numFmtId="164" fontId="99" fillId="0" borderId="0" xfId="2398" applyNumberFormat="1" applyFont="1" applyFill="1"/>
    <xf numFmtId="43" fontId="4" fillId="0" borderId="0" xfId="2398" applyFont="1" applyFill="1"/>
    <xf numFmtId="0" fontId="7" fillId="0" borderId="0" xfId="0" quotePrefix="1" applyFont="1" applyFill="1" applyAlignment="1">
      <alignment horizontal="center"/>
    </xf>
    <xf numFmtId="0" fontId="97" fillId="0" borderId="0" xfId="0" applyFont="1" applyFill="1"/>
    <xf numFmtId="0" fontId="100" fillId="0" borderId="0" xfId="0" applyFont="1" applyFill="1" applyAlignment="1">
      <alignment horizontal="center"/>
    </xf>
    <xf numFmtId="0" fontId="101" fillId="0" borderId="0" xfId="0" applyFont="1" applyFill="1"/>
    <xf numFmtId="0" fontId="100" fillId="0" borderId="0" xfId="0" applyFont="1" applyFill="1"/>
    <xf numFmtId="0" fontId="101" fillId="0" borderId="0" xfId="0" applyFont="1" applyFill="1" applyAlignment="1">
      <alignment horizontal="right"/>
    </xf>
    <xf numFmtId="0" fontId="100" fillId="0" borderId="0" xfId="0" applyFont="1" applyFill="1" applyAlignment="1">
      <alignment horizontal="right"/>
    </xf>
    <xf numFmtId="0" fontId="102" fillId="0" borderId="0" xfId="0" applyFont="1" applyFill="1" applyAlignment="1">
      <alignment horizontal="center"/>
    </xf>
    <xf numFmtId="0" fontId="101" fillId="0" borderId="0" xfId="0" applyFont="1" applyFill="1" applyBorder="1" applyAlignment="1">
      <alignment horizontal="center"/>
    </xf>
    <xf numFmtId="0" fontId="101" fillId="0" borderId="0" xfId="0" applyFont="1" applyFill="1" applyAlignment="1">
      <alignment horizontal="center"/>
    </xf>
    <xf numFmtId="0" fontId="101" fillId="0" borderId="0" xfId="0" quotePrefix="1" applyFont="1" applyFill="1" applyAlignment="1">
      <alignment horizontal="center"/>
    </xf>
    <xf numFmtId="165" fontId="103" fillId="0" borderId="0" xfId="2401" applyNumberFormat="1" applyFont="1" applyFill="1" applyBorder="1" applyAlignment="1">
      <alignment horizontal="center"/>
    </xf>
    <xf numFmtId="10" fontId="102" fillId="0" borderId="0" xfId="2400" applyNumberFormat="1" applyFont="1" applyFill="1" applyAlignment="1">
      <alignment horizontal="center"/>
    </xf>
    <xf numFmtId="37" fontId="101" fillId="0" borderId="0" xfId="2401" quotePrefix="1" applyNumberFormat="1" applyFont="1" applyFill="1" applyBorder="1" applyAlignment="1">
      <alignment horizontal="center"/>
    </xf>
    <xf numFmtId="165" fontId="100" fillId="0" borderId="0" xfId="2401" applyNumberFormat="1" applyFont="1" applyFill="1" applyBorder="1" applyAlignment="1">
      <alignment horizontal="center"/>
    </xf>
    <xf numFmtId="165" fontId="101" fillId="0" borderId="0" xfId="2401" applyNumberFormat="1" applyFont="1" applyFill="1" applyBorder="1" applyAlignment="1">
      <alignment horizontal="center"/>
    </xf>
    <xf numFmtId="165" fontId="100" fillId="0" borderId="0" xfId="2401" applyNumberFormat="1" applyFont="1" applyFill="1" applyBorder="1"/>
    <xf numFmtId="165" fontId="100" fillId="0" borderId="0" xfId="2401" applyNumberFormat="1" applyFont="1" applyFill="1" applyBorder="1" applyAlignment="1">
      <alignment horizontal="left"/>
    </xf>
    <xf numFmtId="164" fontId="104" fillId="0" borderId="0" xfId="2398" applyNumberFormat="1" applyFont="1" applyFill="1" applyAlignment="1"/>
    <xf numFmtId="164" fontId="100" fillId="0" borderId="0" xfId="0" applyNumberFormat="1" applyFont="1" applyFill="1"/>
    <xf numFmtId="173" fontId="101" fillId="0" borderId="0" xfId="2400" applyNumberFormat="1" applyFont="1" applyFill="1"/>
    <xf numFmtId="176" fontId="100" fillId="0" borderId="0" xfId="2398" applyNumberFormat="1" applyFont="1" applyFill="1"/>
    <xf numFmtId="164" fontId="100" fillId="0" borderId="0" xfId="2398" applyNumberFormat="1" applyFont="1" applyFill="1"/>
    <xf numFmtId="0" fontId="100" fillId="0" borderId="37" xfId="0" applyFont="1" applyFill="1" applyBorder="1"/>
    <xf numFmtId="0" fontId="100" fillId="0" borderId="38" xfId="0" applyFont="1" applyFill="1" applyBorder="1"/>
    <xf numFmtId="0" fontId="100" fillId="0" borderId="39" xfId="0" applyFont="1" applyFill="1" applyBorder="1"/>
    <xf numFmtId="177" fontId="100" fillId="0" borderId="0" xfId="0" applyNumberFormat="1" applyFont="1" applyFill="1"/>
    <xf numFmtId="0" fontId="100" fillId="0" borderId="40" xfId="0" applyFont="1" applyFill="1" applyBorder="1"/>
    <xf numFmtId="0" fontId="100" fillId="0" borderId="3" xfId="0" applyFont="1" applyFill="1" applyBorder="1"/>
    <xf numFmtId="0" fontId="100" fillId="0" borderId="41" xfId="0" applyFont="1" applyFill="1" applyBorder="1"/>
    <xf numFmtId="0" fontId="100" fillId="0" borderId="0" xfId="0" applyFont="1" applyFill="1" applyAlignment="1">
      <alignment horizontal="left"/>
    </xf>
    <xf numFmtId="178" fontId="100" fillId="0" borderId="0" xfId="2398" applyNumberFormat="1" applyFont="1" applyFill="1"/>
    <xf numFmtId="10" fontId="101" fillId="0" borderId="0" xfId="2400" applyNumberFormat="1" applyFont="1" applyFill="1"/>
    <xf numFmtId="10" fontId="100" fillId="0" borderId="0" xfId="2400" applyNumberFormat="1" applyFont="1" applyFill="1"/>
    <xf numFmtId="166" fontId="102" fillId="0" borderId="0" xfId="2400" quotePrefix="1" applyNumberFormat="1" applyFont="1" applyFill="1" applyAlignment="1">
      <alignment horizontal="center"/>
    </xf>
    <xf numFmtId="164" fontId="105" fillId="0" borderId="0" xfId="2398" applyNumberFormat="1" applyFont="1" applyFill="1"/>
    <xf numFmtId="164" fontId="105" fillId="0" borderId="0" xfId="2402" applyNumberFormat="1" applyFont="1" applyFill="1"/>
    <xf numFmtId="0" fontId="101" fillId="0" borderId="36" xfId="0" applyFont="1" applyFill="1" applyBorder="1" applyAlignment="1">
      <alignment horizontal="center"/>
    </xf>
    <xf numFmtId="164" fontId="100" fillId="0" borderId="0" xfId="0" applyNumberFormat="1" applyFont="1" applyFill="1" applyAlignment="1">
      <alignment horizontal="right"/>
    </xf>
    <xf numFmtId="0" fontId="101" fillId="0" borderId="36" xfId="0" applyFont="1" applyFill="1" applyBorder="1"/>
    <xf numFmtId="10" fontId="101" fillId="0" borderId="36" xfId="2400" quotePrefix="1" applyNumberFormat="1" applyFont="1" applyFill="1" applyBorder="1" applyAlignment="1">
      <alignment horizontal="center"/>
    </xf>
    <xf numFmtId="10" fontId="106" fillId="0" borderId="36" xfId="2400" quotePrefix="1" applyNumberFormat="1" applyFont="1" applyFill="1" applyBorder="1" applyAlignment="1">
      <alignment horizontal="center"/>
    </xf>
    <xf numFmtId="10" fontId="101" fillId="0" borderId="36" xfId="2400" applyNumberFormat="1" applyFont="1" applyFill="1" applyBorder="1"/>
    <xf numFmtId="10" fontId="101" fillId="0" borderId="0" xfId="2400" applyNumberFormat="1" applyFont="1" applyFill="1" applyBorder="1"/>
    <xf numFmtId="0" fontId="107" fillId="0" borderId="0" xfId="0" applyFont="1" applyFill="1" applyAlignment="1">
      <alignment horizontal="center"/>
    </xf>
    <xf numFmtId="10" fontId="100" fillId="0" borderId="0" xfId="0" applyNumberFormat="1" applyFont="1" applyFill="1"/>
    <xf numFmtId="0" fontId="108" fillId="0" borderId="0" xfId="0" applyFont="1" applyFill="1"/>
    <xf numFmtId="10" fontId="109" fillId="0" borderId="36" xfId="2400" applyNumberFormat="1" applyFont="1" applyFill="1" applyBorder="1"/>
    <xf numFmtId="0" fontId="109" fillId="0" borderId="14" xfId="0" applyFont="1" applyFill="1" applyBorder="1"/>
    <xf numFmtId="10" fontId="109" fillId="0" borderId="0" xfId="2400" applyNumberFormat="1" applyFont="1" applyFill="1" applyBorder="1"/>
    <xf numFmtId="0" fontId="7" fillId="0" borderId="0" xfId="0" applyFont="1" applyFill="1" applyAlignment="1">
      <alignment horizontal="center"/>
    </xf>
    <xf numFmtId="0" fontId="101" fillId="0" borderId="0" xfId="2389" applyFont="1" applyFill="1" applyAlignment="1">
      <alignment horizontal="right"/>
    </xf>
    <xf numFmtId="0" fontId="4" fillId="0" borderId="0" xfId="2389" applyFont="1" applyFill="1"/>
    <xf numFmtId="0" fontId="101" fillId="0" borderId="0" xfId="2389" applyFont="1" applyFill="1" applyAlignment="1"/>
    <xf numFmtId="0" fontId="100" fillId="0" borderId="0" xfId="2389" applyFont="1" applyFill="1"/>
    <xf numFmtId="164" fontId="100" fillId="0" borderId="0" xfId="2389" applyNumberFormat="1" applyFont="1" applyFill="1"/>
    <xf numFmtId="164" fontId="100" fillId="0" borderId="0" xfId="1" applyNumberFormat="1" applyFont="1" applyFill="1"/>
    <xf numFmtId="164" fontId="100" fillId="0" borderId="0" xfId="2389" applyNumberFormat="1" applyFont="1" applyFill="1" applyAlignment="1">
      <alignment horizontal="right"/>
    </xf>
    <xf numFmtId="0" fontId="101" fillId="0" borderId="0" xfId="2389" applyFont="1" applyFill="1"/>
    <xf numFmtId="0" fontId="101" fillId="0" borderId="0" xfId="2389" applyFont="1" applyFill="1" applyAlignment="1">
      <alignment horizontal="center"/>
    </xf>
    <xf numFmtId="164" fontId="101" fillId="0" borderId="0" xfId="2389" applyNumberFormat="1" applyFont="1" applyFill="1"/>
    <xf numFmtId="0" fontId="8" fillId="0" borderId="0" xfId="2389" applyFont="1" applyFill="1"/>
    <xf numFmtId="0" fontId="102" fillId="0" borderId="0" xfId="2389" applyFont="1" applyFill="1" applyAlignment="1">
      <alignment horizontal="center"/>
    </xf>
    <xf numFmtId="37" fontId="101" fillId="0" borderId="0" xfId="2" quotePrefix="1" applyNumberFormat="1" applyFont="1" applyFill="1" applyBorder="1" applyAlignment="1">
      <alignment horizontal="center"/>
    </xf>
    <xf numFmtId="0" fontId="4" fillId="0" borderId="0" xfId="2389" applyFont="1" applyFill="1" applyAlignment="1">
      <alignment horizontal="center"/>
    </xf>
    <xf numFmtId="37" fontId="7" fillId="0" borderId="0" xfId="0" applyNumberFormat="1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7" fillId="0" borderId="1" xfId="0" quotePrefix="1" applyFont="1" applyFill="1" applyBorder="1" applyAlignment="1">
      <alignment horizontal="center"/>
    </xf>
    <xf numFmtId="10" fontId="4" fillId="0" borderId="0" xfId="3" applyNumberFormat="1" applyFont="1" applyFill="1"/>
    <xf numFmtId="10" fontId="4" fillId="0" borderId="1" xfId="0" applyNumberFormat="1" applyFont="1" applyFill="1" applyBorder="1"/>
    <xf numFmtId="173" fontId="4" fillId="0" borderId="1" xfId="3" applyNumberFormat="1" applyFont="1" applyFill="1" applyBorder="1"/>
    <xf numFmtId="0" fontId="7" fillId="0" borderId="0" xfId="0" applyFont="1" applyAlignment="1">
      <alignment horizontal="centerContinuous"/>
    </xf>
    <xf numFmtId="0" fontId="7" fillId="0" borderId="0" xfId="0" quotePrefix="1" applyFont="1" applyFill="1" applyAlignment="1">
      <alignment horizontal="centerContinuous"/>
    </xf>
    <xf numFmtId="0" fontId="7" fillId="0" borderId="0" xfId="0" quotePrefix="1" applyFont="1" applyAlignment="1">
      <alignment horizontal="centerContinuous"/>
    </xf>
    <xf numFmtId="0" fontId="7" fillId="0" borderId="0" xfId="0" quotePrefix="1" applyFont="1" applyAlignment="1"/>
    <xf numFmtId="0" fontId="7" fillId="0" borderId="0" xfId="0" quotePrefix="1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7" fontId="7" fillId="0" borderId="0" xfId="0" applyNumberFormat="1" applyFont="1" applyAlignment="1">
      <alignment horizontal="center"/>
    </xf>
    <xf numFmtId="0" fontId="8" fillId="0" borderId="0" xfId="0" quotePrefix="1" applyFont="1" applyAlignment="1">
      <alignment horizontal="left"/>
    </xf>
    <xf numFmtId="171" fontId="4" fillId="0" borderId="0" xfId="1" applyNumberFormat="1" applyFont="1" applyBorder="1"/>
    <xf numFmtId="10" fontId="4" fillId="0" borderId="0" xfId="3" applyNumberFormat="1" applyFont="1" applyFill="1" applyAlignment="1">
      <alignment horizontal="center"/>
    </xf>
    <xf numFmtId="171" fontId="4" fillId="0" borderId="0" xfId="1" applyNumberFormat="1" applyFont="1"/>
    <xf numFmtId="171" fontId="4" fillId="0" borderId="0" xfId="1" applyNumberFormat="1" applyFont="1" applyFill="1" applyBorder="1"/>
    <xf numFmtId="0" fontId="4" fillId="0" borderId="0" xfId="0" quotePrefix="1" applyFont="1" applyAlignment="1">
      <alignment horizontal="left"/>
    </xf>
    <xf numFmtId="171" fontId="4" fillId="0" borderId="1" xfId="1" applyNumberFormat="1" applyFont="1" applyBorder="1"/>
    <xf numFmtId="171" fontId="4" fillId="0" borderId="4" xfId="1" applyNumberFormat="1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171" fontId="4" fillId="0" borderId="1" xfId="1" applyNumberFormat="1" applyFont="1" applyFill="1" applyBorder="1"/>
    <xf numFmtId="0" fontId="110" fillId="0" borderId="0" xfId="0" applyFont="1" applyAlignment="1">
      <alignment horizontal="center"/>
    </xf>
    <xf numFmtId="0" fontId="111" fillId="0" borderId="0" xfId="0" applyFont="1"/>
    <xf numFmtId="171" fontId="110" fillId="0" borderId="2" xfId="1" applyNumberFormat="1" applyFont="1" applyBorder="1"/>
    <xf numFmtId="0" fontId="110" fillId="0" borderId="0" xfId="0" applyFont="1"/>
    <xf numFmtId="0" fontId="8" fillId="0" borderId="0" xfId="0" applyFont="1"/>
    <xf numFmtId="0" fontId="4" fillId="0" borderId="0" xfId="0" applyFont="1" applyFill="1" applyAlignment="1">
      <alignment horizontal="centerContinuous"/>
    </xf>
    <xf numFmtId="0" fontId="7" fillId="0" borderId="3" xfId="0" applyFont="1" applyFill="1" applyBorder="1" applyAlignment="1">
      <alignment horizontal="center"/>
    </xf>
    <xf numFmtId="0" fontId="7" fillId="0" borderId="0" xfId="0" quotePrefix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5" fontId="92" fillId="0" borderId="0" xfId="0" applyNumberFormat="1" applyFont="1" applyFill="1" applyBorder="1"/>
    <xf numFmtId="5" fontId="92" fillId="0" borderId="1" xfId="0" applyNumberFormat="1" applyFont="1" applyFill="1" applyBorder="1"/>
    <xf numFmtId="5" fontId="4" fillId="0" borderId="1" xfId="0" applyNumberFormat="1" applyFont="1" applyFill="1" applyBorder="1"/>
    <xf numFmtId="5" fontId="110" fillId="0" borderId="0" xfId="0" applyNumberFormat="1" applyFont="1" applyFill="1"/>
    <xf numFmtId="5" fontId="92" fillId="0" borderId="0" xfId="0" applyNumberFormat="1" applyFont="1" applyFill="1"/>
    <xf numFmtId="0" fontId="4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37" fontId="7" fillId="0" borderId="0" xfId="0" applyNumberFormat="1" applyFont="1" applyFill="1" applyAlignment="1">
      <alignment horizontal="center"/>
    </xf>
    <xf numFmtId="0" fontId="101" fillId="0" borderId="0" xfId="0" applyFont="1" applyFill="1" applyAlignment="1">
      <alignment horizontal="center"/>
    </xf>
    <xf numFmtId="10" fontId="106" fillId="60" borderId="36" xfId="2400" quotePrefix="1" applyNumberFormat="1" applyFont="1" applyFill="1" applyBorder="1" applyAlignment="1">
      <alignment horizontal="center"/>
    </xf>
    <xf numFmtId="165" fontId="92" fillId="0" borderId="33" xfId="2395" applyNumberFormat="1" applyFont="1" applyFill="1" applyBorder="1"/>
    <xf numFmtId="165" fontId="92" fillId="0" borderId="34" xfId="2395" applyNumberFormat="1" applyFont="1" applyFill="1" applyBorder="1"/>
    <xf numFmtId="10" fontId="4" fillId="0" borderId="0" xfId="2404" applyNumberFormat="1" applyFont="1" applyFill="1"/>
    <xf numFmtId="10" fontId="4" fillId="0" borderId="0" xfId="3" applyNumberFormat="1" applyFont="1" applyFill="1" applyAlignment="1" applyProtection="1">
      <alignment horizontal="center"/>
    </xf>
    <xf numFmtId="171" fontId="4" fillId="0" borderId="0" xfId="0" applyNumberFormat="1" applyFont="1"/>
    <xf numFmtId="0" fontId="7" fillId="0" borderId="0" xfId="0" applyFont="1" applyAlignment="1">
      <alignment horizontal="right"/>
    </xf>
    <xf numFmtId="0" fontId="7" fillId="0" borderId="0" xfId="2389" applyFont="1" applyFill="1" applyAlignment="1">
      <alignment horizontal="right"/>
    </xf>
    <xf numFmtId="0" fontId="7" fillId="0" borderId="0" xfId="0" applyFont="1" applyFill="1" applyAlignment="1">
      <alignment horizontal="center"/>
    </xf>
    <xf numFmtId="37" fontId="7" fillId="0" borderId="0" xfId="0" applyNumberFormat="1" applyFont="1" applyFill="1" applyAlignment="1">
      <alignment horizontal="center"/>
    </xf>
    <xf numFmtId="0" fontId="101" fillId="0" borderId="0" xfId="0" applyFont="1" applyFill="1" applyAlignment="1">
      <alignment horizontal="center"/>
    </xf>
    <xf numFmtId="0" fontId="101" fillId="0" borderId="3" xfId="0" applyFont="1" applyFill="1" applyBorder="1" applyAlignment="1">
      <alignment horizontal="center"/>
    </xf>
    <xf numFmtId="0" fontId="101" fillId="0" borderId="0" xfId="2389" applyFont="1" applyFill="1" applyAlignment="1">
      <alignment horizontal="center"/>
    </xf>
  </cellXfs>
  <cellStyles count="2405">
    <cellStyle name="20% - Accent1 10" xfId="12" xr:uid="{00000000-0005-0000-0000-000000000000}"/>
    <cellStyle name="20% - Accent1 11" xfId="13" xr:uid="{00000000-0005-0000-0000-000001000000}"/>
    <cellStyle name="20% - Accent1 12" xfId="14" xr:uid="{00000000-0005-0000-0000-000002000000}"/>
    <cellStyle name="20% - Accent1 13" xfId="15" xr:uid="{00000000-0005-0000-0000-000003000000}"/>
    <cellStyle name="20% - Accent1 14" xfId="16" xr:uid="{00000000-0005-0000-0000-000004000000}"/>
    <cellStyle name="20% - Accent1 15" xfId="17" xr:uid="{00000000-0005-0000-0000-000005000000}"/>
    <cellStyle name="20% - Accent1 15 2" xfId="18" xr:uid="{00000000-0005-0000-0000-000006000000}"/>
    <cellStyle name="20% - Accent1 15 3" xfId="19" xr:uid="{00000000-0005-0000-0000-000007000000}"/>
    <cellStyle name="20% - Accent1 15 4" xfId="20" xr:uid="{00000000-0005-0000-0000-000008000000}"/>
    <cellStyle name="20% - Accent1 15 5" xfId="21" xr:uid="{00000000-0005-0000-0000-000009000000}"/>
    <cellStyle name="20% - Accent1 16" xfId="22" xr:uid="{00000000-0005-0000-0000-00000A000000}"/>
    <cellStyle name="20% - Accent1 16 2" xfId="23" xr:uid="{00000000-0005-0000-0000-00000B000000}"/>
    <cellStyle name="20% - Accent1 16 3" xfId="24" xr:uid="{00000000-0005-0000-0000-00000C000000}"/>
    <cellStyle name="20% - Accent1 16 4" xfId="25" xr:uid="{00000000-0005-0000-0000-00000D000000}"/>
    <cellStyle name="20% - Accent1 16 5" xfId="26" xr:uid="{00000000-0005-0000-0000-00000E000000}"/>
    <cellStyle name="20% - Accent1 17" xfId="27" xr:uid="{00000000-0005-0000-0000-00000F000000}"/>
    <cellStyle name="20% - Accent1 17 2" xfId="28" xr:uid="{00000000-0005-0000-0000-000010000000}"/>
    <cellStyle name="20% - Accent1 17 3" xfId="29" xr:uid="{00000000-0005-0000-0000-000011000000}"/>
    <cellStyle name="20% - Accent1 17 4" xfId="30" xr:uid="{00000000-0005-0000-0000-000012000000}"/>
    <cellStyle name="20% - Accent1 17 5" xfId="31" xr:uid="{00000000-0005-0000-0000-000013000000}"/>
    <cellStyle name="20% - Accent1 18" xfId="32" xr:uid="{00000000-0005-0000-0000-000014000000}"/>
    <cellStyle name="20% - Accent1 19" xfId="33" xr:uid="{00000000-0005-0000-0000-000015000000}"/>
    <cellStyle name="20% - Accent1 2" xfId="34" xr:uid="{00000000-0005-0000-0000-000016000000}"/>
    <cellStyle name="20% - Accent1 2 10" xfId="35" xr:uid="{00000000-0005-0000-0000-000017000000}"/>
    <cellStyle name="20% - Accent1 2 2" xfId="36" xr:uid="{00000000-0005-0000-0000-000018000000}"/>
    <cellStyle name="20% - Accent1 2 2 2" xfId="37" xr:uid="{00000000-0005-0000-0000-000019000000}"/>
    <cellStyle name="20% - Accent1 2 2 2 2" xfId="38" xr:uid="{00000000-0005-0000-0000-00001A000000}"/>
    <cellStyle name="20% - Accent1 2 2 2 2 2" xfId="39" xr:uid="{00000000-0005-0000-0000-00001B000000}"/>
    <cellStyle name="20% - Accent1 2 2 2 2 3" xfId="40" xr:uid="{00000000-0005-0000-0000-00001C000000}"/>
    <cellStyle name="20% - Accent1 2 2 2 3" xfId="41" xr:uid="{00000000-0005-0000-0000-00001D000000}"/>
    <cellStyle name="20% - Accent1 2 2 2 4" xfId="42" xr:uid="{00000000-0005-0000-0000-00001E000000}"/>
    <cellStyle name="20% - Accent1 2 2 2 5" xfId="43" xr:uid="{00000000-0005-0000-0000-00001F000000}"/>
    <cellStyle name="20% - Accent1 2 2 2 6" xfId="44" xr:uid="{00000000-0005-0000-0000-000020000000}"/>
    <cellStyle name="20% - Accent1 2 2 3" xfId="45" xr:uid="{00000000-0005-0000-0000-000021000000}"/>
    <cellStyle name="20% - Accent1 2 2 4" xfId="46" xr:uid="{00000000-0005-0000-0000-000022000000}"/>
    <cellStyle name="20% - Accent1 2 2 5" xfId="47" xr:uid="{00000000-0005-0000-0000-000023000000}"/>
    <cellStyle name="20% - Accent1 2 2 6" xfId="48" xr:uid="{00000000-0005-0000-0000-000024000000}"/>
    <cellStyle name="20% - Accent1 2 3" xfId="49" xr:uid="{00000000-0005-0000-0000-000025000000}"/>
    <cellStyle name="20% - Accent1 2 4" xfId="50" xr:uid="{00000000-0005-0000-0000-000026000000}"/>
    <cellStyle name="20% - Accent1 2 5" xfId="51" xr:uid="{00000000-0005-0000-0000-000027000000}"/>
    <cellStyle name="20% - Accent1 2 6" xfId="52" xr:uid="{00000000-0005-0000-0000-000028000000}"/>
    <cellStyle name="20% - Accent1 2 7" xfId="53" xr:uid="{00000000-0005-0000-0000-000029000000}"/>
    <cellStyle name="20% - Accent1 2 8" xfId="54" xr:uid="{00000000-0005-0000-0000-00002A000000}"/>
    <cellStyle name="20% - Accent1 2 9" xfId="55" xr:uid="{00000000-0005-0000-0000-00002B000000}"/>
    <cellStyle name="20% - Accent1 20" xfId="56" xr:uid="{00000000-0005-0000-0000-00002C000000}"/>
    <cellStyle name="20% - Accent1 21" xfId="57" xr:uid="{00000000-0005-0000-0000-00002D000000}"/>
    <cellStyle name="20% - Accent1 22" xfId="58" xr:uid="{00000000-0005-0000-0000-00002E000000}"/>
    <cellStyle name="20% - Accent1 23" xfId="59" xr:uid="{00000000-0005-0000-0000-00002F000000}"/>
    <cellStyle name="20% - Accent1 24" xfId="60" xr:uid="{00000000-0005-0000-0000-000030000000}"/>
    <cellStyle name="20% - Accent1 25" xfId="61" xr:uid="{00000000-0005-0000-0000-000031000000}"/>
    <cellStyle name="20% - Accent1 26" xfId="62" xr:uid="{00000000-0005-0000-0000-000032000000}"/>
    <cellStyle name="20% - Accent1 27" xfId="63" xr:uid="{00000000-0005-0000-0000-000033000000}"/>
    <cellStyle name="20% - Accent1 28" xfId="64" xr:uid="{00000000-0005-0000-0000-000034000000}"/>
    <cellStyle name="20% - Accent1 29" xfId="65" xr:uid="{00000000-0005-0000-0000-000035000000}"/>
    <cellStyle name="20% - Accent1 3" xfId="66" xr:uid="{00000000-0005-0000-0000-000036000000}"/>
    <cellStyle name="20% - Accent1 30" xfId="67" xr:uid="{00000000-0005-0000-0000-000037000000}"/>
    <cellStyle name="20% - Accent1 31" xfId="68" xr:uid="{00000000-0005-0000-0000-000038000000}"/>
    <cellStyle name="20% - Accent1 32" xfId="69" xr:uid="{00000000-0005-0000-0000-000039000000}"/>
    <cellStyle name="20% - Accent1 33" xfId="70" xr:uid="{00000000-0005-0000-0000-00003A000000}"/>
    <cellStyle name="20% - Accent1 34" xfId="71" xr:uid="{00000000-0005-0000-0000-00003B000000}"/>
    <cellStyle name="20% - Accent1 35" xfId="72" xr:uid="{00000000-0005-0000-0000-00003C000000}"/>
    <cellStyle name="20% - Accent1 36" xfId="73" xr:uid="{00000000-0005-0000-0000-00003D000000}"/>
    <cellStyle name="20% - Accent1 4" xfId="74" xr:uid="{00000000-0005-0000-0000-00003E000000}"/>
    <cellStyle name="20% - Accent1 5" xfId="75" xr:uid="{00000000-0005-0000-0000-00003F000000}"/>
    <cellStyle name="20% - Accent1 6" xfId="76" xr:uid="{00000000-0005-0000-0000-000040000000}"/>
    <cellStyle name="20% - Accent1 7" xfId="77" xr:uid="{00000000-0005-0000-0000-000041000000}"/>
    <cellStyle name="20% - Accent1 8" xfId="78" xr:uid="{00000000-0005-0000-0000-000042000000}"/>
    <cellStyle name="20% - Accent1 9" xfId="79" xr:uid="{00000000-0005-0000-0000-000043000000}"/>
    <cellStyle name="20% - Accent2 10" xfId="80" xr:uid="{00000000-0005-0000-0000-000044000000}"/>
    <cellStyle name="20% - Accent2 11" xfId="81" xr:uid="{00000000-0005-0000-0000-000045000000}"/>
    <cellStyle name="20% - Accent2 12" xfId="82" xr:uid="{00000000-0005-0000-0000-000046000000}"/>
    <cellStyle name="20% - Accent2 13" xfId="83" xr:uid="{00000000-0005-0000-0000-000047000000}"/>
    <cellStyle name="20% - Accent2 14" xfId="84" xr:uid="{00000000-0005-0000-0000-000048000000}"/>
    <cellStyle name="20% - Accent2 15" xfId="85" xr:uid="{00000000-0005-0000-0000-000049000000}"/>
    <cellStyle name="20% - Accent2 15 2" xfId="86" xr:uid="{00000000-0005-0000-0000-00004A000000}"/>
    <cellStyle name="20% - Accent2 15 3" xfId="87" xr:uid="{00000000-0005-0000-0000-00004B000000}"/>
    <cellStyle name="20% - Accent2 15 4" xfId="88" xr:uid="{00000000-0005-0000-0000-00004C000000}"/>
    <cellStyle name="20% - Accent2 15 5" xfId="89" xr:uid="{00000000-0005-0000-0000-00004D000000}"/>
    <cellStyle name="20% - Accent2 16" xfId="90" xr:uid="{00000000-0005-0000-0000-00004E000000}"/>
    <cellStyle name="20% - Accent2 16 2" xfId="91" xr:uid="{00000000-0005-0000-0000-00004F000000}"/>
    <cellStyle name="20% - Accent2 16 3" xfId="92" xr:uid="{00000000-0005-0000-0000-000050000000}"/>
    <cellStyle name="20% - Accent2 16 4" xfId="93" xr:uid="{00000000-0005-0000-0000-000051000000}"/>
    <cellStyle name="20% - Accent2 16 5" xfId="94" xr:uid="{00000000-0005-0000-0000-000052000000}"/>
    <cellStyle name="20% - Accent2 17" xfId="95" xr:uid="{00000000-0005-0000-0000-000053000000}"/>
    <cellStyle name="20% - Accent2 17 2" xfId="96" xr:uid="{00000000-0005-0000-0000-000054000000}"/>
    <cellStyle name="20% - Accent2 17 3" xfId="97" xr:uid="{00000000-0005-0000-0000-000055000000}"/>
    <cellStyle name="20% - Accent2 17 4" xfId="98" xr:uid="{00000000-0005-0000-0000-000056000000}"/>
    <cellStyle name="20% - Accent2 17 5" xfId="99" xr:uid="{00000000-0005-0000-0000-000057000000}"/>
    <cellStyle name="20% - Accent2 18" xfId="100" xr:uid="{00000000-0005-0000-0000-000058000000}"/>
    <cellStyle name="20% - Accent2 19" xfId="101" xr:uid="{00000000-0005-0000-0000-000059000000}"/>
    <cellStyle name="20% - Accent2 2" xfId="102" xr:uid="{00000000-0005-0000-0000-00005A000000}"/>
    <cellStyle name="20% - Accent2 2 10" xfId="103" xr:uid="{00000000-0005-0000-0000-00005B000000}"/>
    <cellStyle name="20% - Accent2 2 2" xfId="104" xr:uid="{00000000-0005-0000-0000-00005C000000}"/>
    <cellStyle name="20% - Accent2 2 2 2" xfId="105" xr:uid="{00000000-0005-0000-0000-00005D000000}"/>
    <cellStyle name="20% - Accent2 2 2 2 2" xfId="106" xr:uid="{00000000-0005-0000-0000-00005E000000}"/>
    <cellStyle name="20% - Accent2 2 2 2 2 2" xfId="107" xr:uid="{00000000-0005-0000-0000-00005F000000}"/>
    <cellStyle name="20% - Accent2 2 2 2 2 3" xfId="108" xr:uid="{00000000-0005-0000-0000-000060000000}"/>
    <cellStyle name="20% - Accent2 2 2 2 3" xfId="109" xr:uid="{00000000-0005-0000-0000-000061000000}"/>
    <cellStyle name="20% - Accent2 2 2 2 4" xfId="110" xr:uid="{00000000-0005-0000-0000-000062000000}"/>
    <cellStyle name="20% - Accent2 2 2 2 5" xfId="111" xr:uid="{00000000-0005-0000-0000-000063000000}"/>
    <cellStyle name="20% - Accent2 2 2 2 6" xfId="112" xr:uid="{00000000-0005-0000-0000-000064000000}"/>
    <cellStyle name="20% - Accent2 2 2 3" xfId="113" xr:uid="{00000000-0005-0000-0000-000065000000}"/>
    <cellStyle name="20% - Accent2 2 2 4" xfId="114" xr:uid="{00000000-0005-0000-0000-000066000000}"/>
    <cellStyle name="20% - Accent2 2 2 5" xfId="115" xr:uid="{00000000-0005-0000-0000-000067000000}"/>
    <cellStyle name="20% - Accent2 2 2 6" xfId="116" xr:uid="{00000000-0005-0000-0000-000068000000}"/>
    <cellStyle name="20% - Accent2 2 3" xfId="117" xr:uid="{00000000-0005-0000-0000-000069000000}"/>
    <cellStyle name="20% - Accent2 2 4" xfId="118" xr:uid="{00000000-0005-0000-0000-00006A000000}"/>
    <cellStyle name="20% - Accent2 2 5" xfId="119" xr:uid="{00000000-0005-0000-0000-00006B000000}"/>
    <cellStyle name="20% - Accent2 2 6" xfId="120" xr:uid="{00000000-0005-0000-0000-00006C000000}"/>
    <cellStyle name="20% - Accent2 2 7" xfId="121" xr:uid="{00000000-0005-0000-0000-00006D000000}"/>
    <cellStyle name="20% - Accent2 2 8" xfId="122" xr:uid="{00000000-0005-0000-0000-00006E000000}"/>
    <cellStyle name="20% - Accent2 2 9" xfId="123" xr:uid="{00000000-0005-0000-0000-00006F000000}"/>
    <cellStyle name="20% - Accent2 20" xfId="124" xr:uid="{00000000-0005-0000-0000-000070000000}"/>
    <cellStyle name="20% - Accent2 21" xfId="125" xr:uid="{00000000-0005-0000-0000-000071000000}"/>
    <cellStyle name="20% - Accent2 22" xfId="126" xr:uid="{00000000-0005-0000-0000-000072000000}"/>
    <cellStyle name="20% - Accent2 23" xfId="127" xr:uid="{00000000-0005-0000-0000-000073000000}"/>
    <cellStyle name="20% - Accent2 24" xfId="128" xr:uid="{00000000-0005-0000-0000-000074000000}"/>
    <cellStyle name="20% - Accent2 25" xfId="129" xr:uid="{00000000-0005-0000-0000-000075000000}"/>
    <cellStyle name="20% - Accent2 26" xfId="130" xr:uid="{00000000-0005-0000-0000-000076000000}"/>
    <cellStyle name="20% - Accent2 27" xfId="131" xr:uid="{00000000-0005-0000-0000-000077000000}"/>
    <cellStyle name="20% - Accent2 28" xfId="132" xr:uid="{00000000-0005-0000-0000-000078000000}"/>
    <cellStyle name="20% - Accent2 29" xfId="133" xr:uid="{00000000-0005-0000-0000-000079000000}"/>
    <cellStyle name="20% - Accent2 3" xfId="134" xr:uid="{00000000-0005-0000-0000-00007A000000}"/>
    <cellStyle name="20% - Accent2 30" xfId="135" xr:uid="{00000000-0005-0000-0000-00007B000000}"/>
    <cellStyle name="20% - Accent2 31" xfId="136" xr:uid="{00000000-0005-0000-0000-00007C000000}"/>
    <cellStyle name="20% - Accent2 32" xfId="137" xr:uid="{00000000-0005-0000-0000-00007D000000}"/>
    <cellStyle name="20% - Accent2 33" xfId="138" xr:uid="{00000000-0005-0000-0000-00007E000000}"/>
    <cellStyle name="20% - Accent2 34" xfId="139" xr:uid="{00000000-0005-0000-0000-00007F000000}"/>
    <cellStyle name="20% - Accent2 35" xfId="140" xr:uid="{00000000-0005-0000-0000-000080000000}"/>
    <cellStyle name="20% - Accent2 36" xfId="141" xr:uid="{00000000-0005-0000-0000-000081000000}"/>
    <cellStyle name="20% - Accent2 4" xfId="142" xr:uid="{00000000-0005-0000-0000-000082000000}"/>
    <cellStyle name="20% - Accent2 5" xfId="143" xr:uid="{00000000-0005-0000-0000-000083000000}"/>
    <cellStyle name="20% - Accent2 6" xfId="144" xr:uid="{00000000-0005-0000-0000-000084000000}"/>
    <cellStyle name="20% - Accent2 7" xfId="145" xr:uid="{00000000-0005-0000-0000-000085000000}"/>
    <cellStyle name="20% - Accent2 8" xfId="146" xr:uid="{00000000-0005-0000-0000-000086000000}"/>
    <cellStyle name="20% - Accent2 9" xfId="147" xr:uid="{00000000-0005-0000-0000-000087000000}"/>
    <cellStyle name="20% - Accent3 10" xfId="148" xr:uid="{00000000-0005-0000-0000-000088000000}"/>
    <cellStyle name="20% - Accent3 11" xfId="149" xr:uid="{00000000-0005-0000-0000-000089000000}"/>
    <cellStyle name="20% - Accent3 12" xfId="150" xr:uid="{00000000-0005-0000-0000-00008A000000}"/>
    <cellStyle name="20% - Accent3 13" xfId="151" xr:uid="{00000000-0005-0000-0000-00008B000000}"/>
    <cellStyle name="20% - Accent3 14" xfId="152" xr:uid="{00000000-0005-0000-0000-00008C000000}"/>
    <cellStyle name="20% - Accent3 15" xfId="153" xr:uid="{00000000-0005-0000-0000-00008D000000}"/>
    <cellStyle name="20% - Accent3 15 2" xfId="154" xr:uid="{00000000-0005-0000-0000-00008E000000}"/>
    <cellStyle name="20% - Accent3 15 3" xfId="155" xr:uid="{00000000-0005-0000-0000-00008F000000}"/>
    <cellStyle name="20% - Accent3 15 4" xfId="156" xr:uid="{00000000-0005-0000-0000-000090000000}"/>
    <cellStyle name="20% - Accent3 15 5" xfId="157" xr:uid="{00000000-0005-0000-0000-000091000000}"/>
    <cellStyle name="20% - Accent3 16" xfId="158" xr:uid="{00000000-0005-0000-0000-000092000000}"/>
    <cellStyle name="20% - Accent3 16 2" xfId="159" xr:uid="{00000000-0005-0000-0000-000093000000}"/>
    <cellStyle name="20% - Accent3 16 3" xfId="160" xr:uid="{00000000-0005-0000-0000-000094000000}"/>
    <cellStyle name="20% - Accent3 16 4" xfId="161" xr:uid="{00000000-0005-0000-0000-000095000000}"/>
    <cellStyle name="20% - Accent3 16 5" xfId="162" xr:uid="{00000000-0005-0000-0000-000096000000}"/>
    <cellStyle name="20% - Accent3 17" xfId="163" xr:uid="{00000000-0005-0000-0000-000097000000}"/>
    <cellStyle name="20% - Accent3 17 2" xfId="164" xr:uid="{00000000-0005-0000-0000-000098000000}"/>
    <cellStyle name="20% - Accent3 17 3" xfId="165" xr:uid="{00000000-0005-0000-0000-000099000000}"/>
    <cellStyle name="20% - Accent3 17 4" xfId="166" xr:uid="{00000000-0005-0000-0000-00009A000000}"/>
    <cellStyle name="20% - Accent3 17 5" xfId="167" xr:uid="{00000000-0005-0000-0000-00009B000000}"/>
    <cellStyle name="20% - Accent3 18" xfId="168" xr:uid="{00000000-0005-0000-0000-00009C000000}"/>
    <cellStyle name="20% - Accent3 19" xfId="169" xr:uid="{00000000-0005-0000-0000-00009D000000}"/>
    <cellStyle name="20% - Accent3 2" xfId="170" xr:uid="{00000000-0005-0000-0000-00009E000000}"/>
    <cellStyle name="20% - Accent3 2 10" xfId="171" xr:uid="{00000000-0005-0000-0000-00009F000000}"/>
    <cellStyle name="20% - Accent3 2 2" xfId="172" xr:uid="{00000000-0005-0000-0000-0000A0000000}"/>
    <cellStyle name="20% - Accent3 2 2 2" xfId="173" xr:uid="{00000000-0005-0000-0000-0000A1000000}"/>
    <cellStyle name="20% - Accent3 2 2 2 2" xfId="174" xr:uid="{00000000-0005-0000-0000-0000A2000000}"/>
    <cellStyle name="20% - Accent3 2 2 2 2 2" xfId="175" xr:uid="{00000000-0005-0000-0000-0000A3000000}"/>
    <cellStyle name="20% - Accent3 2 2 2 2 3" xfId="176" xr:uid="{00000000-0005-0000-0000-0000A4000000}"/>
    <cellStyle name="20% - Accent3 2 2 2 3" xfId="177" xr:uid="{00000000-0005-0000-0000-0000A5000000}"/>
    <cellStyle name="20% - Accent3 2 2 2 4" xfId="178" xr:uid="{00000000-0005-0000-0000-0000A6000000}"/>
    <cellStyle name="20% - Accent3 2 2 2 5" xfId="179" xr:uid="{00000000-0005-0000-0000-0000A7000000}"/>
    <cellStyle name="20% - Accent3 2 2 2 6" xfId="180" xr:uid="{00000000-0005-0000-0000-0000A8000000}"/>
    <cellStyle name="20% - Accent3 2 2 3" xfId="181" xr:uid="{00000000-0005-0000-0000-0000A9000000}"/>
    <cellStyle name="20% - Accent3 2 2 4" xfId="182" xr:uid="{00000000-0005-0000-0000-0000AA000000}"/>
    <cellStyle name="20% - Accent3 2 2 5" xfId="183" xr:uid="{00000000-0005-0000-0000-0000AB000000}"/>
    <cellStyle name="20% - Accent3 2 2 6" xfId="184" xr:uid="{00000000-0005-0000-0000-0000AC000000}"/>
    <cellStyle name="20% - Accent3 2 3" xfId="185" xr:uid="{00000000-0005-0000-0000-0000AD000000}"/>
    <cellStyle name="20% - Accent3 2 4" xfId="186" xr:uid="{00000000-0005-0000-0000-0000AE000000}"/>
    <cellStyle name="20% - Accent3 2 5" xfId="187" xr:uid="{00000000-0005-0000-0000-0000AF000000}"/>
    <cellStyle name="20% - Accent3 2 6" xfId="188" xr:uid="{00000000-0005-0000-0000-0000B0000000}"/>
    <cellStyle name="20% - Accent3 2 7" xfId="189" xr:uid="{00000000-0005-0000-0000-0000B1000000}"/>
    <cellStyle name="20% - Accent3 2 8" xfId="190" xr:uid="{00000000-0005-0000-0000-0000B2000000}"/>
    <cellStyle name="20% - Accent3 2 9" xfId="191" xr:uid="{00000000-0005-0000-0000-0000B3000000}"/>
    <cellStyle name="20% - Accent3 20" xfId="192" xr:uid="{00000000-0005-0000-0000-0000B4000000}"/>
    <cellStyle name="20% - Accent3 21" xfId="193" xr:uid="{00000000-0005-0000-0000-0000B5000000}"/>
    <cellStyle name="20% - Accent3 22" xfId="194" xr:uid="{00000000-0005-0000-0000-0000B6000000}"/>
    <cellStyle name="20% - Accent3 23" xfId="195" xr:uid="{00000000-0005-0000-0000-0000B7000000}"/>
    <cellStyle name="20% - Accent3 24" xfId="196" xr:uid="{00000000-0005-0000-0000-0000B8000000}"/>
    <cellStyle name="20% - Accent3 25" xfId="197" xr:uid="{00000000-0005-0000-0000-0000B9000000}"/>
    <cellStyle name="20% - Accent3 26" xfId="198" xr:uid="{00000000-0005-0000-0000-0000BA000000}"/>
    <cellStyle name="20% - Accent3 27" xfId="199" xr:uid="{00000000-0005-0000-0000-0000BB000000}"/>
    <cellStyle name="20% - Accent3 28" xfId="200" xr:uid="{00000000-0005-0000-0000-0000BC000000}"/>
    <cellStyle name="20% - Accent3 29" xfId="201" xr:uid="{00000000-0005-0000-0000-0000BD000000}"/>
    <cellStyle name="20% - Accent3 3" xfId="202" xr:uid="{00000000-0005-0000-0000-0000BE000000}"/>
    <cellStyle name="20% - Accent3 30" xfId="203" xr:uid="{00000000-0005-0000-0000-0000BF000000}"/>
    <cellStyle name="20% - Accent3 31" xfId="204" xr:uid="{00000000-0005-0000-0000-0000C0000000}"/>
    <cellStyle name="20% - Accent3 32" xfId="205" xr:uid="{00000000-0005-0000-0000-0000C1000000}"/>
    <cellStyle name="20% - Accent3 33" xfId="206" xr:uid="{00000000-0005-0000-0000-0000C2000000}"/>
    <cellStyle name="20% - Accent3 34" xfId="207" xr:uid="{00000000-0005-0000-0000-0000C3000000}"/>
    <cellStyle name="20% - Accent3 35" xfId="208" xr:uid="{00000000-0005-0000-0000-0000C4000000}"/>
    <cellStyle name="20% - Accent3 36" xfId="209" xr:uid="{00000000-0005-0000-0000-0000C5000000}"/>
    <cellStyle name="20% - Accent3 4" xfId="210" xr:uid="{00000000-0005-0000-0000-0000C6000000}"/>
    <cellStyle name="20% - Accent3 5" xfId="211" xr:uid="{00000000-0005-0000-0000-0000C7000000}"/>
    <cellStyle name="20% - Accent3 6" xfId="212" xr:uid="{00000000-0005-0000-0000-0000C8000000}"/>
    <cellStyle name="20% - Accent3 7" xfId="213" xr:uid="{00000000-0005-0000-0000-0000C9000000}"/>
    <cellStyle name="20% - Accent3 8" xfId="214" xr:uid="{00000000-0005-0000-0000-0000CA000000}"/>
    <cellStyle name="20% - Accent3 9" xfId="215" xr:uid="{00000000-0005-0000-0000-0000CB000000}"/>
    <cellStyle name="20% - Accent4 10" xfId="216" xr:uid="{00000000-0005-0000-0000-0000CC000000}"/>
    <cellStyle name="20% - Accent4 11" xfId="217" xr:uid="{00000000-0005-0000-0000-0000CD000000}"/>
    <cellStyle name="20% - Accent4 12" xfId="218" xr:uid="{00000000-0005-0000-0000-0000CE000000}"/>
    <cellStyle name="20% - Accent4 13" xfId="219" xr:uid="{00000000-0005-0000-0000-0000CF000000}"/>
    <cellStyle name="20% - Accent4 14" xfId="220" xr:uid="{00000000-0005-0000-0000-0000D0000000}"/>
    <cellStyle name="20% - Accent4 15" xfId="221" xr:uid="{00000000-0005-0000-0000-0000D1000000}"/>
    <cellStyle name="20% - Accent4 15 2" xfId="222" xr:uid="{00000000-0005-0000-0000-0000D2000000}"/>
    <cellStyle name="20% - Accent4 15 3" xfId="223" xr:uid="{00000000-0005-0000-0000-0000D3000000}"/>
    <cellStyle name="20% - Accent4 15 4" xfId="224" xr:uid="{00000000-0005-0000-0000-0000D4000000}"/>
    <cellStyle name="20% - Accent4 15 5" xfId="225" xr:uid="{00000000-0005-0000-0000-0000D5000000}"/>
    <cellStyle name="20% - Accent4 16" xfId="226" xr:uid="{00000000-0005-0000-0000-0000D6000000}"/>
    <cellStyle name="20% - Accent4 16 2" xfId="227" xr:uid="{00000000-0005-0000-0000-0000D7000000}"/>
    <cellStyle name="20% - Accent4 16 3" xfId="228" xr:uid="{00000000-0005-0000-0000-0000D8000000}"/>
    <cellStyle name="20% - Accent4 16 4" xfId="229" xr:uid="{00000000-0005-0000-0000-0000D9000000}"/>
    <cellStyle name="20% - Accent4 16 5" xfId="230" xr:uid="{00000000-0005-0000-0000-0000DA000000}"/>
    <cellStyle name="20% - Accent4 17" xfId="231" xr:uid="{00000000-0005-0000-0000-0000DB000000}"/>
    <cellStyle name="20% - Accent4 17 2" xfId="232" xr:uid="{00000000-0005-0000-0000-0000DC000000}"/>
    <cellStyle name="20% - Accent4 17 3" xfId="233" xr:uid="{00000000-0005-0000-0000-0000DD000000}"/>
    <cellStyle name="20% - Accent4 17 4" xfId="234" xr:uid="{00000000-0005-0000-0000-0000DE000000}"/>
    <cellStyle name="20% - Accent4 17 5" xfId="235" xr:uid="{00000000-0005-0000-0000-0000DF000000}"/>
    <cellStyle name="20% - Accent4 18" xfId="236" xr:uid="{00000000-0005-0000-0000-0000E0000000}"/>
    <cellStyle name="20% - Accent4 19" xfId="237" xr:uid="{00000000-0005-0000-0000-0000E1000000}"/>
    <cellStyle name="20% - Accent4 2" xfId="238" xr:uid="{00000000-0005-0000-0000-0000E2000000}"/>
    <cellStyle name="20% - Accent4 2 10" xfId="239" xr:uid="{00000000-0005-0000-0000-0000E3000000}"/>
    <cellStyle name="20% - Accent4 2 2" xfId="240" xr:uid="{00000000-0005-0000-0000-0000E4000000}"/>
    <cellStyle name="20% - Accent4 2 2 2" xfId="241" xr:uid="{00000000-0005-0000-0000-0000E5000000}"/>
    <cellStyle name="20% - Accent4 2 2 2 2" xfId="242" xr:uid="{00000000-0005-0000-0000-0000E6000000}"/>
    <cellStyle name="20% - Accent4 2 2 2 2 2" xfId="243" xr:uid="{00000000-0005-0000-0000-0000E7000000}"/>
    <cellStyle name="20% - Accent4 2 2 2 2 3" xfId="244" xr:uid="{00000000-0005-0000-0000-0000E8000000}"/>
    <cellStyle name="20% - Accent4 2 2 2 3" xfId="245" xr:uid="{00000000-0005-0000-0000-0000E9000000}"/>
    <cellStyle name="20% - Accent4 2 2 2 4" xfId="246" xr:uid="{00000000-0005-0000-0000-0000EA000000}"/>
    <cellStyle name="20% - Accent4 2 2 2 5" xfId="247" xr:uid="{00000000-0005-0000-0000-0000EB000000}"/>
    <cellStyle name="20% - Accent4 2 2 2 6" xfId="248" xr:uid="{00000000-0005-0000-0000-0000EC000000}"/>
    <cellStyle name="20% - Accent4 2 2 3" xfId="249" xr:uid="{00000000-0005-0000-0000-0000ED000000}"/>
    <cellStyle name="20% - Accent4 2 2 4" xfId="250" xr:uid="{00000000-0005-0000-0000-0000EE000000}"/>
    <cellStyle name="20% - Accent4 2 2 5" xfId="251" xr:uid="{00000000-0005-0000-0000-0000EF000000}"/>
    <cellStyle name="20% - Accent4 2 2 6" xfId="252" xr:uid="{00000000-0005-0000-0000-0000F0000000}"/>
    <cellStyle name="20% - Accent4 2 3" xfId="253" xr:uid="{00000000-0005-0000-0000-0000F1000000}"/>
    <cellStyle name="20% - Accent4 2 4" xfId="254" xr:uid="{00000000-0005-0000-0000-0000F2000000}"/>
    <cellStyle name="20% - Accent4 2 5" xfId="255" xr:uid="{00000000-0005-0000-0000-0000F3000000}"/>
    <cellStyle name="20% - Accent4 2 6" xfId="256" xr:uid="{00000000-0005-0000-0000-0000F4000000}"/>
    <cellStyle name="20% - Accent4 2 7" xfId="257" xr:uid="{00000000-0005-0000-0000-0000F5000000}"/>
    <cellStyle name="20% - Accent4 2 8" xfId="258" xr:uid="{00000000-0005-0000-0000-0000F6000000}"/>
    <cellStyle name="20% - Accent4 2 9" xfId="259" xr:uid="{00000000-0005-0000-0000-0000F7000000}"/>
    <cellStyle name="20% - Accent4 20" xfId="260" xr:uid="{00000000-0005-0000-0000-0000F8000000}"/>
    <cellStyle name="20% - Accent4 21" xfId="261" xr:uid="{00000000-0005-0000-0000-0000F9000000}"/>
    <cellStyle name="20% - Accent4 22" xfId="262" xr:uid="{00000000-0005-0000-0000-0000FA000000}"/>
    <cellStyle name="20% - Accent4 23" xfId="263" xr:uid="{00000000-0005-0000-0000-0000FB000000}"/>
    <cellStyle name="20% - Accent4 24" xfId="264" xr:uid="{00000000-0005-0000-0000-0000FC000000}"/>
    <cellStyle name="20% - Accent4 25" xfId="265" xr:uid="{00000000-0005-0000-0000-0000FD000000}"/>
    <cellStyle name="20% - Accent4 26" xfId="266" xr:uid="{00000000-0005-0000-0000-0000FE000000}"/>
    <cellStyle name="20% - Accent4 27" xfId="267" xr:uid="{00000000-0005-0000-0000-0000FF000000}"/>
    <cellStyle name="20% - Accent4 28" xfId="268" xr:uid="{00000000-0005-0000-0000-000000010000}"/>
    <cellStyle name="20% - Accent4 29" xfId="269" xr:uid="{00000000-0005-0000-0000-000001010000}"/>
    <cellStyle name="20% - Accent4 3" xfId="270" xr:uid="{00000000-0005-0000-0000-000002010000}"/>
    <cellStyle name="20% - Accent4 30" xfId="271" xr:uid="{00000000-0005-0000-0000-000003010000}"/>
    <cellStyle name="20% - Accent4 31" xfId="272" xr:uid="{00000000-0005-0000-0000-000004010000}"/>
    <cellStyle name="20% - Accent4 32" xfId="273" xr:uid="{00000000-0005-0000-0000-000005010000}"/>
    <cellStyle name="20% - Accent4 33" xfId="274" xr:uid="{00000000-0005-0000-0000-000006010000}"/>
    <cellStyle name="20% - Accent4 34" xfId="275" xr:uid="{00000000-0005-0000-0000-000007010000}"/>
    <cellStyle name="20% - Accent4 35" xfId="276" xr:uid="{00000000-0005-0000-0000-000008010000}"/>
    <cellStyle name="20% - Accent4 36" xfId="277" xr:uid="{00000000-0005-0000-0000-000009010000}"/>
    <cellStyle name="20% - Accent4 4" xfId="278" xr:uid="{00000000-0005-0000-0000-00000A010000}"/>
    <cellStyle name="20% - Accent4 5" xfId="279" xr:uid="{00000000-0005-0000-0000-00000B010000}"/>
    <cellStyle name="20% - Accent4 6" xfId="280" xr:uid="{00000000-0005-0000-0000-00000C010000}"/>
    <cellStyle name="20% - Accent4 7" xfId="281" xr:uid="{00000000-0005-0000-0000-00000D010000}"/>
    <cellStyle name="20% - Accent4 8" xfId="282" xr:uid="{00000000-0005-0000-0000-00000E010000}"/>
    <cellStyle name="20% - Accent4 9" xfId="283" xr:uid="{00000000-0005-0000-0000-00000F010000}"/>
    <cellStyle name="20% - Accent5 10" xfId="284" xr:uid="{00000000-0005-0000-0000-000010010000}"/>
    <cellStyle name="20% - Accent5 11" xfId="285" xr:uid="{00000000-0005-0000-0000-000011010000}"/>
    <cellStyle name="20% - Accent5 12" xfId="286" xr:uid="{00000000-0005-0000-0000-000012010000}"/>
    <cellStyle name="20% - Accent5 13" xfId="287" xr:uid="{00000000-0005-0000-0000-000013010000}"/>
    <cellStyle name="20% - Accent5 14" xfId="288" xr:uid="{00000000-0005-0000-0000-000014010000}"/>
    <cellStyle name="20% - Accent5 15" xfId="289" xr:uid="{00000000-0005-0000-0000-000015010000}"/>
    <cellStyle name="20% - Accent5 15 2" xfId="290" xr:uid="{00000000-0005-0000-0000-000016010000}"/>
    <cellStyle name="20% - Accent5 15 3" xfId="291" xr:uid="{00000000-0005-0000-0000-000017010000}"/>
    <cellStyle name="20% - Accent5 15 4" xfId="292" xr:uid="{00000000-0005-0000-0000-000018010000}"/>
    <cellStyle name="20% - Accent5 15 5" xfId="293" xr:uid="{00000000-0005-0000-0000-000019010000}"/>
    <cellStyle name="20% - Accent5 16" xfId="294" xr:uid="{00000000-0005-0000-0000-00001A010000}"/>
    <cellStyle name="20% - Accent5 16 2" xfId="295" xr:uid="{00000000-0005-0000-0000-00001B010000}"/>
    <cellStyle name="20% - Accent5 16 3" xfId="296" xr:uid="{00000000-0005-0000-0000-00001C010000}"/>
    <cellStyle name="20% - Accent5 16 4" xfId="297" xr:uid="{00000000-0005-0000-0000-00001D010000}"/>
    <cellStyle name="20% - Accent5 16 5" xfId="298" xr:uid="{00000000-0005-0000-0000-00001E010000}"/>
    <cellStyle name="20% - Accent5 17" xfId="299" xr:uid="{00000000-0005-0000-0000-00001F010000}"/>
    <cellStyle name="20% - Accent5 17 2" xfId="300" xr:uid="{00000000-0005-0000-0000-000020010000}"/>
    <cellStyle name="20% - Accent5 17 3" xfId="301" xr:uid="{00000000-0005-0000-0000-000021010000}"/>
    <cellStyle name="20% - Accent5 17 4" xfId="302" xr:uid="{00000000-0005-0000-0000-000022010000}"/>
    <cellStyle name="20% - Accent5 17 5" xfId="303" xr:uid="{00000000-0005-0000-0000-000023010000}"/>
    <cellStyle name="20% - Accent5 18" xfId="304" xr:uid="{00000000-0005-0000-0000-000024010000}"/>
    <cellStyle name="20% - Accent5 19" xfId="305" xr:uid="{00000000-0005-0000-0000-000025010000}"/>
    <cellStyle name="20% - Accent5 2" xfId="306" xr:uid="{00000000-0005-0000-0000-000026010000}"/>
    <cellStyle name="20% - Accent5 2 10" xfId="307" xr:uid="{00000000-0005-0000-0000-000027010000}"/>
    <cellStyle name="20% - Accent5 2 2" xfId="308" xr:uid="{00000000-0005-0000-0000-000028010000}"/>
    <cellStyle name="20% - Accent5 2 2 2" xfId="309" xr:uid="{00000000-0005-0000-0000-000029010000}"/>
    <cellStyle name="20% - Accent5 2 2 2 2" xfId="310" xr:uid="{00000000-0005-0000-0000-00002A010000}"/>
    <cellStyle name="20% - Accent5 2 2 2 2 2" xfId="311" xr:uid="{00000000-0005-0000-0000-00002B010000}"/>
    <cellStyle name="20% - Accent5 2 2 2 2 3" xfId="312" xr:uid="{00000000-0005-0000-0000-00002C010000}"/>
    <cellStyle name="20% - Accent5 2 2 2 3" xfId="313" xr:uid="{00000000-0005-0000-0000-00002D010000}"/>
    <cellStyle name="20% - Accent5 2 2 2 4" xfId="314" xr:uid="{00000000-0005-0000-0000-00002E010000}"/>
    <cellStyle name="20% - Accent5 2 2 2 5" xfId="315" xr:uid="{00000000-0005-0000-0000-00002F010000}"/>
    <cellStyle name="20% - Accent5 2 2 2 6" xfId="316" xr:uid="{00000000-0005-0000-0000-000030010000}"/>
    <cellStyle name="20% - Accent5 2 2 3" xfId="317" xr:uid="{00000000-0005-0000-0000-000031010000}"/>
    <cellStyle name="20% - Accent5 2 2 4" xfId="318" xr:uid="{00000000-0005-0000-0000-000032010000}"/>
    <cellStyle name="20% - Accent5 2 2 5" xfId="319" xr:uid="{00000000-0005-0000-0000-000033010000}"/>
    <cellStyle name="20% - Accent5 2 2 6" xfId="320" xr:uid="{00000000-0005-0000-0000-000034010000}"/>
    <cellStyle name="20% - Accent5 2 3" xfId="321" xr:uid="{00000000-0005-0000-0000-000035010000}"/>
    <cellStyle name="20% - Accent5 2 4" xfId="322" xr:uid="{00000000-0005-0000-0000-000036010000}"/>
    <cellStyle name="20% - Accent5 2 5" xfId="323" xr:uid="{00000000-0005-0000-0000-000037010000}"/>
    <cellStyle name="20% - Accent5 2 6" xfId="324" xr:uid="{00000000-0005-0000-0000-000038010000}"/>
    <cellStyle name="20% - Accent5 2 7" xfId="325" xr:uid="{00000000-0005-0000-0000-000039010000}"/>
    <cellStyle name="20% - Accent5 2 8" xfId="326" xr:uid="{00000000-0005-0000-0000-00003A010000}"/>
    <cellStyle name="20% - Accent5 2 9" xfId="327" xr:uid="{00000000-0005-0000-0000-00003B010000}"/>
    <cellStyle name="20% - Accent5 20" xfId="328" xr:uid="{00000000-0005-0000-0000-00003C010000}"/>
    <cellStyle name="20% - Accent5 21" xfId="329" xr:uid="{00000000-0005-0000-0000-00003D010000}"/>
    <cellStyle name="20% - Accent5 22" xfId="330" xr:uid="{00000000-0005-0000-0000-00003E010000}"/>
    <cellStyle name="20% - Accent5 23" xfId="331" xr:uid="{00000000-0005-0000-0000-00003F010000}"/>
    <cellStyle name="20% - Accent5 24" xfId="332" xr:uid="{00000000-0005-0000-0000-000040010000}"/>
    <cellStyle name="20% - Accent5 25" xfId="333" xr:uid="{00000000-0005-0000-0000-000041010000}"/>
    <cellStyle name="20% - Accent5 26" xfId="334" xr:uid="{00000000-0005-0000-0000-000042010000}"/>
    <cellStyle name="20% - Accent5 27" xfId="335" xr:uid="{00000000-0005-0000-0000-000043010000}"/>
    <cellStyle name="20% - Accent5 28" xfId="336" xr:uid="{00000000-0005-0000-0000-000044010000}"/>
    <cellStyle name="20% - Accent5 29" xfId="337" xr:uid="{00000000-0005-0000-0000-000045010000}"/>
    <cellStyle name="20% - Accent5 3" xfId="338" xr:uid="{00000000-0005-0000-0000-000046010000}"/>
    <cellStyle name="20% - Accent5 30" xfId="339" xr:uid="{00000000-0005-0000-0000-000047010000}"/>
    <cellStyle name="20% - Accent5 31" xfId="340" xr:uid="{00000000-0005-0000-0000-000048010000}"/>
    <cellStyle name="20% - Accent5 32" xfId="341" xr:uid="{00000000-0005-0000-0000-000049010000}"/>
    <cellStyle name="20% - Accent5 33" xfId="342" xr:uid="{00000000-0005-0000-0000-00004A010000}"/>
    <cellStyle name="20% - Accent5 34" xfId="343" xr:uid="{00000000-0005-0000-0000-00004B010000}"/>
    <cellStyle name="20% - Accent5 35" xfId="344" xr:uid="{00000000-0005-0000-0000-00004C010000}"/>
    <cellStyle name="20% - Accent5 36" xfId="345" xr:uid="{00000000-0005-0000-0000-00004D010000}"/>
    <cellStyle name="20% - Accent5 4" xfId="346" xr:uid="{00000000-0005-0000-0000-00004E010000}"/>
    <cellStyle name="20% - Accent5 5" xfId="347" xr:uid="{00000000-0005-0000-0000-00004F010000}"/>
    <cellStyle name="20% - Accent5 6" xfId="348" xr:uid="{00000000-0005-0000-0000-000050010000}"/>
    <cellStyle name="20% - Accent5 7" xfId="349" xr:uid="{00000000-0005-0000-0000-000051010000}"/>
    <cellStyle name="20% - Accent5 8" xfId="350" xr:uid="{00000000-0005-0000-0000-000052010000}"/>
    <cellStyle name="20% - Accent5 9" xfId="351" xr:uid="{00000000-0005-0000-0000-000053010000}"/>
    <cellStyle name="20% - Accent6 10" xfId="352" xr:uid="{00000000-0005-0000-0000-000054010000}"/>
    <cellStyle name="20% - Accent6 11" xfId="353" xr:uid="{00000000-0005-0000-0000-000055010000}"/>
    <cellStyle name="20% - Accent6 12" xfId="354" xr:uid="{00000000-0005-0000-0000-000056010000}"/>
    <cellStyle name="20% - Accent6 13" xfId="355" xr:uid="{00000000-0005-0000-0000-000057010000}"/>
    <cellStyle name="20% - Accent6 14" xfId="356" xr:uid="{00000000-0005-0000-0000-000058010000}"/>
    <cellStyle name="20% - Accent6 15" xfId="357" xr:uid="{00000000-0005-0000-0000-000059010000}"/>
    <cellStyle name="20% - Accent6 15 2" xfId="358" xr:uid="{00000000-0005-0000-0000-00005A010000}"/>
    <cellStyle name="20% - Accent6 15 3" xfId="359" xr:uid="{00000000-0005-0000-0000-00005B010000}"/>
    <cellStyle name="20% - Accent6 15 4" xfId="360" xr:uid="{00000000-0005-0000-0000-00005C010000}"/>
    <cellStyle name="20% - Accent6 15 5" xfId="361" xr:uid="{00000000-0005-0000-0000-00005D010000}"/>
    <cellStyle name="20% - Accent6 16" xfId="362" xr:uid="{00000000-0005-0000-0000-00005E010000}"/>
    <cellStyle name="20% - Accent6 16 2" xfId="363" xr:uid="{00000000-0005-0000-0000-00005F010000}"/>
    <cellStyle name="20% - Accent6 16 3" xfId="364" xr:uid="{00000000-0005-0000-0000-000060010000}"/>
    <cellStyle name="20% - Accent6 16 4" xfId="365" xr:uid="{00000000-0005-0000-0000-000061010000}"/>
    <cellStyle name="20% - Accent6 16 5" xfId="366" xr:uid="{00000000-0005-0000-0000-000062010000}"/>
    <cellStyle name="20% - Accent6 17" xfId="367" xr:uid="{00000000-0005-0000-0000-000063010000}"/>
    <cellStyle name="20% - Accent6 17 2" xfId="368" xr:uid="{00000000-0005-0000-0000-000064010000}"/>
    <cellStyle name="20% - Accent6 17 3" xfId="369" xr:uid="{00000000-0005-0000-0000-000065010000}"/>
    <cellStyle name="20% - Accent6 17 4" xfId="370" xr:uid="{00000000-0005-0000-0000-000066010000}"/>
    <cellStyle name="20% - Accent6 17 5" xfId="371" xr:uid="{00000000-0005-0000-0000-000067010000}"/>
    <cellStyle name="20% - Accent6 18" xfId="372" xr:uid="{00000000-0005-0000-0000-000068010000}"/>
    <cellStyle name="20% - Accent6 19" xfId="373" xr:uid="{00000000-0005-0000-0000-000069010000}"/>
    <cellStyle name="20% - Accent6 2" xfId="374" xr:uid="{00000000-0005-0000-0000-00006A010000}"/>
    <cellStyle name="20% - Accent6 2 10" xfId="375" xr:uid="{00000000-0005-0000-0000-00006B010000}"/>
    <cellStyle name="20% - Accent6 2 2" xfId="376" xr:uid="{00000000-0005-0000-0000-00006C010000}"/>
    <cellStyle name="20% - Accent6 2 2 2" xfId="377" xr:uid="{00000000-0005-0000-0000-00006D010000}"/>
    <cellStyle name="20% - Accent6 2 2 2 2" xfId="378" xr:uid="{00000000-0005-0000-0000-00006E010000}"/>
    <cellStyle name="20% - Accent6 2 2 2 2 2" xfId="379" xr:uid="{00000000-0005-0000-0000-00006F010000}"/>
    <cellStyle name="20% - Accent6 2 2 2 2 3" xfId="380" xr:uid="{00000000-0005-0000-0000-000070010000}"/>
    <cellStyle name="20% - Accent6 2 2 2 3" xfId="381" xr:uid="{00000000-0005-0000-0000-000071010000}"/>
    <cellStyle name="20% - Accent6 2 2 2 4" xfId="382" xr:uid="{00000000-0005-0000-0000-000072010000}"/>
    <cellStyle name="20% - Accent6 2 2 2 5" xfId="383" xr:uid="{00000000-0005-0000-0000-000073010000}"/>
    <cellStyle name="20% - Accent6 2 2 2 6" xfId="384" xr:uid="{00000000-0005-0000-0000-000074010000}"/>
    <cellStyle name="20% - Accent6 2 2 3" xfId="385" xr:uid="{00000000-0005-0000-0000-000075010000}"/>
    <cellStyle name="20% - Accent6 2 2 4" xfId="386" xr:uid="{00000000-0005-0000-0000-000076010000}"/>
    <cellStyle name="20% - Accent6 2 2 5" xfId="387" xr:uid="{00000000-0005-0000-0000-000077010000}"/>
    <cellStyle name="20% - Accent6 2 2 6" xfId="388" xr:uid="{00000000-0005-0000-0000-000078010000}"/>
    <cellStyle name="20% - Accent6 2 3" xfId="389" xr:uid="{00000000-0005-0000-0000-000079010000}"/>
    <cellStyle name="20% - Accent6 2 4" xfId="390" xr:uid="{00000000-0005-0000-0000-00007A010000}"/>
    <cellStyle name="20% - Accent6 2 5" xfId="391" xr:uid="{00000000-0005-0000-0000-00007B010000}"/>
    <cellStyle name="20% - Accent6 2 6" xfId="392" xr:uid="{00000000-0005-0000-0000-00007C010000}"/>
    <cellStyle name="20% - Accent6 2 7" xfId="393" xr:uid="{00000000-0005-0000-0000-00007D010000}"/>
    <cellStyle name="20% - Accent6 2 8" xfId="394" xr:uid="{00000000-0005-0000-0000-00007E010000}"/>
    <cellStyle name="20% - Accent6 2 9" xfId="395" xr:uid="{00000000-0005-0000-0000-00007F010000}"/>
    <cellStyle name="20% - Accent6 20" xfId="396" xr:uid="{00000000-0005-0000-0000-000080010000}"/>
    <cellStyle name="20% - Accent6 21" xfId="397" xr:uid="{00000000-0005-0000-0000-000081010000}"/>
    <cellStyle name="20% - Accent6 22" xfId="398" xr:uid="{00000000-0005-0000-0000-000082010000}"/>
    <cellStyle name="20% - Accent6 23" xfId="399" xr:uid="{00000000-0005-0000-0000-000083010000}"/>
    <cellStyle name="20% - Accent6 24" xfId="400" xr:uid="{00000000-0005-0000-0000-000084010000}"/>
    <cellStyle name="20% - Accent6 25" xfId="401" xr:uid="{00000000-0005-0000-0000-000085010000}"/>
    <cellStyle name="20% - Accent6 26" xfId="402" xr:uid="{00000000-0005-0000-0000-000086010000}"/>
    <cellStyle name="20% - Accent6 27" xfId="403" xr:uid="{00000000-0005-0000-0000-000087010000}"/>
    <cellStyle name="20% - Accent6 28" xfId="404" xr:uid="{00000000-0005-0000-0000-000088010000}"/>
    <cellStyle name="20% - Accent6 29" xfId="405" xr:uid="{00000000-0005-0000-0000-000089010000}"/>
    <cellStyle name="20% - Accent6 3" xfId="406" xr:uid="{00000000-0005-0000-0000-00008A010000}"/>
    <cellStyle name="20% - Accent6 30" xfId="407" xr:uid="{00000000-0005-0000-0000-00008B010000}"/>
    <cellStyle name="20% - Accent6 31" xfId="408" xr:uid="{00000000-0005-0000-0000-00008C010000}"/>
    <cellStyle name="20% - Accent6 32" xfId="409" xr:uid="{00000000-0005-0000-0000-00008D010000}"/>
    <cellStyle name="20% - Accent6 33" xfId="410" xr:uid="{00000000-0005-0000-0000-00008E010000}"/>
    <cellStyle name="20% - Accent6 34" xfId="411" xr:uid="{00000000-0005-0000-0000-00008F010000}"/>
    <cellStyle name="20% - Accent6 35" xfId="412" xr:uid="{00000000-0005-0000-0000-000090010000}"/>
    <cellStyle name="20% - Accent6 36" xfId="413" xr:uid="{00000000-0005-0000-0000-000091010000}"/>
    <cellStyle name="20% - Accent6 4" xfId="414" xr:uid="{00000000-0005-0000-0000-000092010000}"/>
    <cellStyle name="20% - Accent6 5" xfId="415" xr:uid="{00000000-0005-0000-0000-000093010000}"/>
    <cellStyle name="20% - Accent6 6" xfId="416" xr:uid="{00000000-0005-0000-0000-000094010000}"/>
    <cellStyle name="20% - Accent6 7" xfId="417" xr:uid="{00000000-0005-0000-0000-000095010000}"/>
    <cellStyle name="20% - Accent6 8" xfId="418" xr:uid="{00000000-0005-0000-0000-000096010000}"/>
    <cellStyle name="20% - Accent6 9" xfId="419" xr:uid="{00000000-0005-0000-0000-000097010000}"/>
    <cellStyle name="40% - Accent1 10" xfId="420" xr:uid="{00000000-0005-0000-0000-000098010000}"/>
    <cellStyle name="40% - Accent1 11" xfId="421" xr:uid="{00000000-0005-0000-0000-000099010000}"/>
    <cellStyle name="40% - Accent1 12" xfId="422" xr:uid="{00000000-0005-0000-0000-00009A010000}"/>
    <cellStyle name="40% - Accent1 13" xfId="423" xr:uid="{00000000-0005-0000-0000-00009B010000}"/>
    <cellStyle name="40% - Accent1 14" xfId="424" xr:uid="{00000000-0005-0000-0000-00009C010000}"/>
    <cellStyle name="40% - Accent1 15" xfId="425" xr:uid="{00000000-0005-0000-0000-00009D010000}"/>
    <cellStyle name="40% - Accent1 15 2" xfId="426" xr:uid="{00000000-0005-0000-0000-00009E010000}"/>
    <cellStyle name="40% - Accent1 15 3" xfId="427" xr:uid="{00000000-0005-0000-0000-00009F010000}"/>
    <cellStyle name="40% - Accent1 15 4" xfId="428" xr:uid="{00000000-0005-0000-0000-0000A0010000}"/>
    <cellStyle name="40% - Accent1 15 5" xfId="429" xr:uid="{00000000-0005-0000-0000-0000A1010000}"/>
    <cellStyle name="40% - Accent1 16" xfId="430" xr:uid="{00000000-0005-0000-0000-0000A2010000}"/>
    <cellStyle name="40% - Accent1 16 2" xfId="431" xr:uid="{00000000-0005-0000-0000-0000A3010000}"/>
    <cellStyle name="40% - Accent1 16 3" xfId="432" xr:uid="{00000000-0005-0000-0000-0000A4010000}"/>
    <cellStyle name="40% - Accent1 16 4" xfId="433" xr:uid="{00000000-0005-0000-0000-0000A5010000}"/>
    <cellStyle name="40% - Accent1 16 5" xfId="434" xr:uid="{00000000-0005-0000-0000-0000A6010000}"/>
    <cellStyle name="40% - Accent1 17" xfId="435" xr:uid="{00000000-0005-0000-0000-0000A7010000}"/>
    <cellStyle name="40% - Accent1 17 2" xfId="436" xr:uid="{00000000-0005-0000-0000-0000A8010000}"/>
    <cellStyle name="40% - Accent1 17 3" xfId="437" xr:uid="{00000000-0005-0000-0000-0000A9010000}"/>
    <cellStyle name="40% - Accent1 17 4" xfId="438" xr:uid="{00000000-0005-0000-0000-0000AA010000}"/>
    <cellStyle name="40% - Accent1 17 5" xfId="439" xr:uid="{00000000-0005-0000-0000-0000AB010000}"/>
    <cellStyle name="40% - Accent1 18" xfId="440" xr:uid="{00000000-0005-0000-0000-0000AC010000}"/>
    <cellStyle name="40% - Accent1 19" xfId="441" xr:uid="{00000000-0005-0000-0000-0000AD010000}"/>
    <cellStyle name="40% - Accent1 2" xfId="442" xr:uid="{00000000-0005-0000-0000-0000AE010000}"/>
    <cellStyle name="40% - Accent1 2 10" xfId="443" xr:uid="{00000000-0005-0000-0000-0000AF010000}"/>
    <cellStyle name="40% - Accent1 2 2" xfId="444" xr:uid="{00000000-0005-0000-0000-0000B0010000}"/>
    <cellStyle name="40% - Accent1 2 2 2" xfId="445" xr:uid="{00000000-0005-0000-0000-0000B1010000}"/>
    <cellStyle name="40% - Accent1 2 2 2 2" xfId="446" xr:uid="{00000000-0005-0000-0000-0000B2010000}"/>
    <cellStyle name="40% - Accent1 2 2 2 2 2" xfId="447" xr:uid="{00000000-0005-0000-0000-0000B3010000}"/>
    <cellStyle name="40% - Accent1 2 2 2 2 3" xfId="448" xr:uid="{00000000-0005-0000-0000-0000B4010000}"/>
    <cellStyle name="40% - Accent1 2 2 2 3" xfId="449" xr:uid="{00000000-0005-0000-0000-0000B5010000}"/>
    <cellStyle name="40% - Accent1 2 2 2 4" xfId="450" xr:uid="{00000000-0005-0000-0000-0000B6010000}"/>
    <cellStyle name="40% - Accent1 2 2 2 5" xfId="451" xr:uid="{00000000-0005-0000-0000-0000B7010000}"/>
    <cellStyle name="40% - Accent1 2 2 2 6" xfId="452" xr:uid="{00000000-0005-0000-0000-0000B8010000}"/>
    <cellStyle name="40% - Accent1 2 2 3" xfId="453" xr:uid="{00000000-0005-0000-0000-0000B9010000}"/>
    <cellStyle name="40% - Accent1 2 2 4" xfId="454" xr:uid="{00000000-0005-0000-0000-0000BA010000}"/>
    <cellStyle name="40% - Accent1 2 2 5" xfId="455" xr:uid="{00000000-0005-0000-0000-0000BB010000}"/>
    <cellStyle name="40% - Accent1 2 2 6" xfId="456" xr:uid="{00000000-0005-0000-0000-0000BC010000}"/>
    <cellStyle name="40% - Accent1 2 3" xfId="457" xr:uid="{00000000-0005-0000-0000-0000BD010000}"/>
    <cellStyle name="40% - Accent1 2 4" xfId="458" xr:uid="{00000000-0005-0000-0000-0000BE010000}"/>
    <cellStyle name="40% - Accent1 2 5" xfId="459" xr:uid="{00000000-0005-0000-0000-0000BF010000}"/>
    <cellStyle name="40% - Accent1 2 6" xfId="460" xr:uid="{00000000-0005-0000-0000-0000C0010000}"/>
    <cellStyle name="40% - Accent1 2 7" xfId="461" xr:uid="{00000000-0005-0000-0000-0000C1010000}"/>
    <cellStyle name="40% - Accent1 2 8" xfId="462" xr:uid="{00000000-0005-0000-0000-0000C2010000}"/>
    <cellStyle name="40% - Accent1 2 9" xfId="463" xr:uid="{00000000-0005-0000-0000-0000C3010000}"/>
    <cellStyle name="40% - Accent1 20" xfId="464" xr:uid="{00000000-0005-0000-0000-0000C4010000}"/>
    <cellStyle name="40% - Accent1 21" xfId="465" xr:uid="{00000000-0005-0000-0000-0000C5010000}"/>
    <cellStyle name="40% - Accent1 22" xfId="466" xr:uid="{00000000-0005-0000-0000-0000C6010000}"/>
    <cellStyle name="40% - Accent1 23" xfId="467" xr:uid="{00000000-0005-0000-0000-0000C7010000}"/>
    <cellStyle name="40% - Accent1 24" xfId="468" xr:uid="{00000000-0005-0000-0000-0000C8010000}"/>
    <cellStyle name="40% - Accent1 25" xfId="469" xr:uid="{00000000-0005-0000-0000-0000C9010000}"/>
    <cellStyle name="40% - Accent1 26" xfId="470" xr:uid="{00000000-0005-0000-0000-0000CA010000}"/>
    <cellStyle name="40% - Accent1 27" xfId="471" xr:uid="{00000000-0005-0000-0000-0000CB010000}"/>
    <cellStyle name="40% - Accent1 28" xfId="472" xr:uid="{00000000-0005-0000-0000-0000CC010000}"/>
    <cellStyle name="40% - Accent1 29" xfId="473" xr:uid="{00000000-0005-0000-0000-0000CD010000}"/>
    <cellStyle name="40% - Accent1 3" xfId="474" xr:uid="{00000000-0005-0000-0000-0000CE010000}"/>
    <cellStyle name="40% - Accent1 30" xfId="475" xr:uid="{00000000-0005-0000-0000-0000CF010000}"/>
    <cellStyle name="40% - Accent1 31" xfId="476" xr:uid="{00000000-0005-0000-0000-0000D0010000}"/>
    <cellStyle name="40% - Accent1 32" xfId="477" xr:uid="{00000000-0005-0000-0000-0000D1010000}"/>
    <cellStyle name="40% - Accent1 33" xfId="478" xr:uid="{00000000-0005-0000-0000-0000D2010000}"/>
    <cellStyle name="40% - Accent1 34" xfId="479" xr:uid="{00000000-0005-0000-0000-0000D3010000}"/>
    <cellStyle name="40% - Accent1 35" xfId="480" xr:uid="{00000000-0005-0000-0000-0000D4010000}"/>
    <cellStyle name="40% - Accent1 36" xfId="481" xr:uid="{00000000-0005-0000-0000-0000D5010000}"/>
    <cellStyle name="40% - Accent1 4" xfId="482" xr:uid="{00000000-0005-0000-0000-0000D6010000}"/>
    <cellStyle name="40% - Accent1 5" xfId="483" xr:uid="{00000000-0005-0000-0000-0000D7010000}"/>
    <cellStyle name="40% - Accent1 6" xfId="484" xr:uid="{00000000-0005-0000-0000-0000D8010000}"/>
    <cellStyle name="40% - Accent1 7" xfId="485" xr:uid="{00000000-0005-0000-0000-0000D9010000}"/>
    <cellStyle name="40% - Accent1 8" xfId="486" xr:uid="{00000000-0005-0000-0000-0000DA010000}"/>
    <cellStyle name="40% - Accent1 9" xfId="487" xr:uid="{00000000-0005-0000-0000-0000DB010000}"/>
    <cellStyle name="40% - Accent2 10" xfId="488" xr:uid="{00000000-0005-0000-0000-0000DC010000}"/>
    <cellStyle name="40% - Accent2 11" xfId="489" xr:uid="{00000000-0005-0000-0000-0000DD010000}"/>
    <cellStyle name="40% - Accent2 12" xfId="490" xr:uid="{00000000-0005-0000-0000-0000DE010000}"/>
    <cellStyle name="40% - Accent2 13" xfId="491" xr:uid="{00000000-0005-0000-0000-0000DF010000}"/>
    <cellStyle name="40% - Accent2 14" xfId="492" xr:uid="{00000000-0005-0000-0000-0000E0010000}"/>
    <cellStyle name="40% - Accent2 15" xfId="493" xr:uid="{00000000-0005-0000-0000-0000E1010000}"/>
    <cellStyle name="40% - Accent2 15 2" xfId="494" xr:uid="{00000000-0005-0000-0000-0000E2010000}"/>
    <cellStyle name="40% - Accent2 15 3" xfId="495" xr:uid="{00000000-0005-0000-0000-0000E3010000}"/>
    <cellStyle name="40% - Accent2 15 4" xfId="496" xr:uid="{00000000-0005-0000-0000-0000E4010000}"/>
    <cellStyle name="40% - Accent2 15 5" xfId="497" xr:uid="{00000000-0005-0000-0000-0000E5010000}"/>
    <cellStyle name="40% - Accent2 16" xfId="498" xr:uid="{00000000-0005-0000-0000-0000E6010000}"/>
    <cellStyle name="40% - Accent2 16 2" xfId="499" xr:uid="{00000000-0005-0000-0000-0000E7010000}"/>
    <cellStyle name="40% - Accent2 16 3" xfId="500" xr:uid="{00000000-0005-0000-0000-0000E8010000}"/>
    <cellStyle name="40% - Accent2 16 4" xfId="501" xr:uid="{00000000-0005-0000-0000-0000E9010000}"/>
    <cellStyle name="40% - Accent2 16 5" xfId="502" xr:uid="{00000000-0005-0000-0000-0000EA010000}"/>
    <cellStyle name="40% - Accent2 17" xfId="503" xr:uid="{00000000-0005-0000-0000-0000EB010000}"/>
    <cellStyle name="40% - Accent2 17 2" xfId="504" xr:uid="{00000000-0005-0000-0000-0000EC010000}"/>
    <cellStyle name="40% - Accent2 17 3" xfId="505" xr:uid="{00000000-0005-0000-0000-0000ED010000}"/>
    <cellStyle name="40% - Accent2 17 4" xfId="506" xr:uid="{00000000-0005-0000-0000-0000EE010000}"/>
    <cellStyle name="40% - Accent2 17 5" xfId="507" xr:uid="{00000000-0005-0000-0000-0000EF010000}"/>
    <cellStyle name="40% - Accent2 18" xfId="508" xr:uid="{00000000-0005-0000-0000-0000F0010000}"/>
    <cellStyle name="40% - Accent2 19" xfId="509" xr:uid="{00000000-0005-0000-0000-0000F1010000}"/>
    <cellStyle name="40% - Accent2 2" xfId="510" xr:uid="{00000000-0005-0000-0000-0000F2010000}"/>
    <cellStyle name="40% - Accent2 2 10" xfId="511" xr:uid="{00000000-0005-0000-0000-0000F3010000}"/>
    <cellStyle name="40% - Accent2 2 2" xfId="512" xr:uid="{00000000-0005-0000-0000-0000F4010000}"/>
    <cellStyle name="40% - Accent2 2 2 2" xfId="513" xr:uid="{00000000-0005-0000-0000-0000F5010000}"/>
    <cellStyle name="40% - Accent2 2 2 2 2" xfId="514" xr:uid="{00000000-0005-0000-0000-0000F6010000}"/>
    <cellStyle name="40% - Accent2 2 2 2 2 2" xfId="515" xr:uid="{00000000-0005-0000-0000-0000F7010000}"/>
    <cellStyle name="40% - Accent2 2 2 2 2 3" xfId="516" xr:uid="{00000000-0005-0000-0000-0000F8010000}"/>
    <cellStyle name="40% - Accent2 2 2 2 3" xfId="517" xr:uid="{00000000-0005-0000-0000-0000F9010000}"/>
    <cellStyle name="40% - Accent2 2 2 2 4" xfId="518" xr:uid="{00000000-0005-0000-0000-0000FA010000}"/>
    <cellStyle name="40% - Accent2 2 2 2 5" xfId="519" xr:uid="{00000000-0005-0000-0000-0000FB010000}"/>
    <cellStyle name="40% - Accent2 2 2 2 6" xfId="520" xr:uid="{00000000-0005-0000-0000-0000FC010000}"/>
    <cellStyle name="40% - Accent2 2 2 3" xfId="521" xr:uid="{00000000-0005-0000-0000-0000FD010000}"/>
    <cellStyle name="40% - Accent2 2 2 4" xfId="522" xr:uid="{00000000-0005-0000-0000-0000FE010000}"/>
    <cellStyle name="40% - Accent2 2 2 5" xfId="523" xr:uid="{00000000-0005-0000-0000-0000FF010000}"/>
    <cellStyle name="40% - Accent2 2 2 6" xfId="524" xr:uid="{00000000-0005-0000-0000-000000020000}"/>
    <cellStyle name="40% - Accent2 2 3" xfId="525" xr:uid="{00000000-0005-0000-0000-000001020000}"/>
    <cellStyle name="40% - Accent2 2 4" xfId="526" xr:uid="{00000000-0005-0000-0000-000002020000}"/>
    <cellStyle name="40% - Accent2 2 5" xfId="527" xr:uid="{00000000-0005-0000-0000-000003020000}"/>
    <cellStyle name="40% - Accent2 2 6" xfId="528" xr:uid="{00000000-0005-0000-0000-000004020000}"/>
    <cellStyle name="40% - Accent2 2 7" xfId="529" xr:uid="{00000000-0005-0000-0000-000005020000}"/>
    <cellStyle name="40% - Accent2 2 8" xfId="530" xr:uid="{00000000-0005-0000-0000-000006020000}"/>
    <cellStyle name="40% - Accent2 2 9" xfId="531" xr:uid="{00000000-0005-0000-0000-000007020000}"/>
    <cellStyle name="40% - Accent2 20" xfId="532" xr:uid="{00000000-0005-0000-0000-000008020000}"/>
    <cellStyle name="40% - Accent2 21" xfId="533" xr:uid="{00000000-0005-0000-0000-000009020000}"/>
    <cellStyle name="40% - Accent2 22" xfId="534" xr:uid="{00000000-0005-0000-0000-00000A020000}"/>
    <cellStyle name="40% - Accent2 23" xfId="535" xr:uid="{00000000-0005-0000-0000-00000B020000}"/>
    <cellStyle name="40% - Accent2 24" xfId="536" xr:uid="{00000000-0005-0000-0000-00000C020000}"/>
    <cellStyle name="40% - Accent2 25" xfId="537" xr:uid="{00000000-0005-0000-0000-00000D020000}"/>
    <cellStyle name="40% - Accent2 26" xfId="538" xr:uid="{00000000-0005-0000-0000-00000E020000}"/>
    <cellStyle name="40% - Accent2 27" xfId="539" xr:uid="{00000000-0005-0000-0000-00000F020000}"/>
    <cellStyle name="40% - Accent2 28" xfId="540" xr:uid="{00000000-0005-0000-0000-000010020000}"/>
    <cellStyle name="40% - Accent2 29" xfId="541" xr:uid="{00000000-0005-0000-0000-000011020000}"/>
    <cellStyle name="40% - Accent2 3" xfId="542" xr:uid="{00000000-0005-0000-0000-000012020000}"/>
    <cellStyle name="40% - Accent2 30" xfId="543" xr:uid="{00000000-0005-0000-0000-000013020000}"/>
    <cellStyle name="40% - Accent2 31" xfId="544" xr:uid="{00000000-0005-0000-0000-000014020000}"/>
    <cellStyle name="40% - Accent2 32" xfId="545" xr:uid="{00000000-0005-0000-0000-000015020000}"/>
    <cellStyle name="40% - Accent2 33" xfId="546" xr:uid="{00000000-0005-0000-0000-000016020000}"/>
    <cellStyle name="40% - Accent2 34" xfId="547" xr:uid="{00000000-0005-0000-0000-000017020000}"/>
    <cellStyle name="40% - Accent2 35" xfId="548" xr:uid="{00000000-0005-0000-0000-000018020000}"/>
    <cellStyle name="40% - Accent2 36" xfId="549" xr:uid="{00000000-0005-0000-0000-000019020000}"/>
    <cellStyle name="40% - Accent2 4" xfId="550" xr:uid="{00000000-0005-0000-0000-00001A020000}"/>
    <cellStyle name="40% - Accent2 5" xfId="551" xr:uid="{00000000-0005-0000-0000-00001B020000}"/>
    <cellStyle name="40% - Accent2 6" xfId="552" xr:uid="{00000000-0005-0000-0000-00001C020000}"/>
    <cellStyle name="40% - Accent2 7" xfId="553" xr:uid="{00000000-0005-0000-0000-00001D020000}"/>
    <cellStyle name="40% - Accent2 8" xfId="554" xr:uid="{00000000-0005-0000-0000-00001E020000}"/>
    <cellStyle name="40% - Accent2 9" xfId="555" xr:uid="{00000000-0005-0000-0000-00001F020000}"/>
    <cellStyle name="40% - Accent3 10" xfId="556" xr:uid="{00000000-0005-0000-0000-000020020000}"/>
    <cellStyle name="40% - Accent3 11" xfId="557" xr:uid="{00000000-0005-0000-0000-000021020000}"/>
    <cellStyle name="40% - Accent3 12" xfId="558" xr:uid="{00000000-0005-0000-0000-000022020000}"/>
    <cellStyle name="40% - Accent3 13" xfId="559" xr:uid="{00000000-0005-0000-0000-000023020000}"/>
    <cellStyle name="40% - Accent3 14" xfId="560" xr:uid="{00000000-0005-0000-0000-000024020000}"/>
    <cellStyle name="40% - Accent3 15" xfId="561" xr:uid="{00000000-0005-0000-0000-000025020000}"/>
    <cellStyle name="40% - Accent3 15 2" xfId="562" xr:uid="{00000000-0005-0000-0000-000026020000}"/>
    <cellStyle name="40% - Accent3 15 3" xfId="563" xr:uid="{00000000-0005-0000-0000-000027020000}"/>
    <cellStyle name="40% - Accent3 15 4" xfId="564" xr:uid="{00000000-0005-0000-0000-000028020000}"/>
    <cellStyle name="40% - Accent3 15 5" xfId="565" xr:uid="{00000000-0005-0000-0000-000029020000}"/>
    <cellStyle name="40% - Accent3 16" xfId="566" xr:uid="{00000000-0005-0000-0000-00002A020000}"/>
    <cellStyle name="40% - Accent3 16 2" xfId="567" xr:uid="{00000000-0005-0000-0000-00002B020000}"/>
    <cellStyle name="40% - Accent3 16 3" xfId="568" xr:uid="{00000000-0005-0000-0000-00002C020000}"/>
    <cellStyle name="40% - Accent3 16 4" xfId="569" xr:uid="{00000000-0005-0000-0000-00002D020000}"/>
    <cellStyle name="40% - Accent3 16 5" xfId="570" xr:uid="{00000000-0005-0000-0000-00002E020000}"/>
    <cellStyle name="40% - Accent3 17" xfId="571" xr:uid="{00000000-0005-0000-0000-00002F020000}"/>
    <cellStyle name="40% - Accent3 17 2" xfId="572" xr:uid="{00000000-0005-0000-0000-000030020000}"/>
    <cellStyle name="40% - Accent3 17 3" xfId="573" xr:uid="{00000000-0005-0000-0000-000031020000}"/>
    <cellStyle name="40% - Accent3 17 4" xfId="574" xr:uid="{00000000-0005-0000-0000-000032020000}"/>
    <cellStyle name="40% - Accent3 17 5" xfId="575" xr:uid="{00000000-0005-0000-0000-000033020000}"/>
    <cellStyle name="40% - Accent3 18" xfId="576" xr:uid="{00000000-0005-0000-0000-000034020000}"/>
    <cellStyle name="40% - Accent3 19" xfId="577" xr:uid="{00000000-0005-0000-0000-000035020000}"/>
    <cellStyle name="40% - Accent3 2" xfId="578" xr:uid="{00000000-0005-0000-0000-000036020000}"/>
    <cellStyle name="40% - Accent3 2 10" xfId="579" xr:uid="{00000000-0005-0000-0000-000037020000}"/>
    <cellStyle name="40% - Accent3 2 2" xfId="580" xr:uid="{00000000-0005-0000-0000-000038020000}"/>
    <cellStyle name="40% - Accent3 2 2 2" xfId="581" xr:uid="{00000000-0005-0000-0000-000039020000}"/>
    <cellStyle name="40% - Accent3 2 2 2 2" xfId="582" xr:uid="{00000000-0005-0000-0000-00003A020000}"/>
    <cellStyle name="40% - Accent3 2 2 2 2 2" xfId="583" xr:uid="{00000000-0005-0000-0000-00003B020000}"/>
    <cellStyle name="40% - Accent3 2 2 2 2 3" xfId="584" xr:uid="{00000000-0005-0000-0000-00003C020000}"/>
    <cellStyle name="40% - Accent3 2 2 2 3" xfId="585" xr:uid="{00000000-0005-0000-0000-00003D020000}"/>
    <cellStyle name="40% - Accent3 2 2 2 4" xfId="586" xr:uid="{00000000-0005-0000-0000-00003E020000}"/>
    <cellStyle name="40% - Accent3 2 2 2 5" xfId="587" xr:uid="{00000000-0005-0000-0000-00003F020000}"/>
    <cellStyle name="40% - Accent3 2 2 2 6" xfId="588" xr:uid="{00000000-0005-0000-0000-000040020000}"/>
    <cellStyle name="40% - Accent3 2 2 3" xfId="589" xr:uid="{00000000-0005-0000-0000-000041020000}"/>
    <cellStyle name="40% - Accent3 2 2 4" xfId="590" xr:uid="{00000000-0005-0000-0000-000042020000}"/>
    <cellStyle name="40% - Accent3 2 2 5" xfId="591" xr:uid="{00000000-0005-0000-0000-000043020000}"/>
    <cellStyle name="40% - Accent3 2 2 6" xfId="592" xr:uid="{00000000-0005-0000-0000-000044020000}"/>
    <cellStyle name="40% - Accent3 2 3" xfId="593" xr:uid="{00000000-0005-0000-0000-000045020000}"/>
    <cellStyle name="40% - Accent3 2 4" xfId="594" xr:uid="{00000000-0005-0000-0000-000046020000}"/>
    <cellStyle name="40% - Accent3 2 5" xfId="595" xr:uid="{00000000-0005-0000-0000-000047020000}"/>
    <cellStyle name="40% - Accent3 2 6" xfId="596" xr:uid="{00000000-0005-0000-0000-000048020000}"/>
    <cellStyle name="40% - Accent3 2 7" xfId="597" xr:uid="{00000000-0005-0000-0000-000049020000}"/>
    <cellStyle name="40% - Accent3 2 8" xfId="598" xr:uid="{00000000-0005-0000-0000-00004A020000}"/>
    <cellStyle name="40% - Accent3 2 9" xfId="599" xr:uid="{00000000-0005-0000-0000-00004B020000}"/>
    <cellStyle name="40% - Accent3 20" xfId="600" xr:uid="{00000000-0005-0000-0000-00004C020000}"/>
    <cellStyle name="40% - Accent3 21" xfId="601" xr:uid="{00000000-0005-0000-0000-00004D020000}"/>
    <cellStyle name="40% - Accent3 22" xfId="602" xr:uid="{00000000-0005-0000-0000-00004E020000}"/>
    <cellStyle name="40% - Accent3 23" xfId="603" xr:uid="{00000000-0005-0000-0000-00004F020000}"/>
    <cellStyle name="40% - Accent3 24" xfId="604" xr:uid="{00000000-0005-0000-0000-000050020000}"/>
    <cellStyle name="40% - Accent3 25" xfId="605" xr:uid="{00000000-0005-0000-0000-000051020000}"/>
    <cellStyle name="40% - Accent3 26" xfId="606" xr:uid="{00000000-0005-0000-0000-000052020000}"/>
    <cellStyle name="40% - Accent3 27" xfId="607" xr:uid="{00000000-0005-0000-0000-000053020000}"/>
    <cellStyle name="40% - Accent3 28" xfId="608" xr:uid="{00000000-0005-0000-0000-000054020000}"/>
    <cellStyle name="40% - Accent3 29" xfId="609" xr:uid="{00000000-0005-0000-0000-000055020000}"/>
    <cellStyle name="40% - Accent3 3" xfId="610" xr:uid="{00000000-0005-0000-0000-000056020000}"/>
    <cellStyle name="40% - Accent3 30" xfId="611" xr:uid="{00000000-0005-0000-0000-000057020000}"/>
    <cellStyle name="40% - Accent3 31" xfId="612" xr:uid="{00000000-0005-0000-0000-000058020000}"/>
    <cellStyle name="40% - Accent3 32" xfId="613" xr:uid="{00000000-0005-0000-0000-000059020000}"/>
    <cellStyle name="40% - Accent3 33" xfId="614" xr:uid="{00000000-0005-0000-0000-00005A020000}"/>
    <cellStyle name="40% - Accent3 34" xfId="615" xr:uid="{00000000-0005-0000-0000-00005B020000}"/>
    <cellStyle name="40% - Accent3 35" xfId="616" xr:uid="{00000000-0005-0000-0000-00005C020000}"/>
    <cellStyle name="40% - Accent3 36" xfId="617" xr:uid="{00000000-0005-0000-0000-00005D020000}"/>
    <cellStyle name="40% - Accent3 4" xfId="618" xr:uid="{00000000-0005-0000-0000-00005E020000}"/>
    <cellStyle name="40% - Accent3 5" xfId="619" xr:uid="{00000000-0005-0000-0000-00005F020000}"/>
    <cellStyle name="40% - Accent3 6" xfId="620" xr:uid="{00000000-0005-0000-0000-000060020000}"/>
    <cellStyle name="40% - Accent3 7" xfId="621" xr:uid="{00000000-0005-0000-0000-000061020000}"/>
    <cellStyle name="40% - Accent3 8" xfId="622" xr:uid="{00000000-0005-0000-0000-000062020000}"/>
    <cellStyle name="40% - Accent3 9" xfId="623" xr:uid="{00000000-0005-0000-0000-000063020000}"/>
    <cellStyle name="40% - Accent4 10" xfId="624" xr:uid="{00000000-0005-0000-0000-000064020000}"/>
    <cellStyle name="40% - Accent4 11" xfId="625" xr:uid="{00000000-0005-0000-0000-000065020000}"/>
    <cellStyle name="40% - Accent4 12" xfId="626" xr:uid="{00000000-0005-0000-0000-000066020000}"/>
    <cellStyle name="40% - Accent4 13" xfId="627" xr:uid="{00000000-0005-0000-0000-000067020000}"/>
    <cellStyle name="40% - Accent4 14" xfId="628" xr:uid="{00000000-0005-0000-0000-000068020000}"/>
    <cellStyle name="40% - Accent4 15" xfId="629" xr:uid="{00000000-0005-0000-0000-000069020000}"/>
    <cellStyle name="40% - Accent4 15 2" xfId="630" xr:uid="{00000000-0005-0000-0000-00006A020000}"/>
    <cellStyle name="40% - Accent4 15 3" xfId="631" xr:uid="{00000000-0005-0000-0000-00006B020000}"/>
    <cellStyle name="40% - Accent4 15 4" xfId="632" xr:uid="{00000000-0005-0000-0000-00006C020000}"/>
    <cellStyle name="40% - Accent4 15 5" xfId="633" xr:uid="{00000000-0005-0000-0000-00006D020000}"/>
    <cellStyle name="40% - Accent4 16" xfId="634" xr:uid="{00000000-0005-0000-0000-00006E020000}"/>
    <cellStyle name="40% - Accent4 16 2" xfId="635" xr:uid="{00000000-0005-0000-0000-00006F020000}"/>
    <cellStyle name="40% - Accent4 16 3" xfId="636" xr:uid="{00000000-0005-0000-0000-000070020000}"/>
    <cellStyle name="40% - Accent4 16 4" xfId="637" xr:uid="{00000000-0005-0000-0000-000071020000}"/>
    <cellStyle name="40% - Accent4 16 5" xfId="638" xr:uid="{00000000-0005-0000-0000-000072020000}"/>
    <cellStyle name="40% - Accent4 17" xfId="639" xr:uid="{00000000-0005-0000-0000-000073020000}"/>
    <cellStyle name="40% - Accent4 17 2" xfId="640" xr:uid="{00000000-0005-0000-0000-000074020000}"/>
    <cellStyle name="40% - Accent4 17 3" xfId="641" xr:uid="{00000000-0005-0000-0000-000075020000}"/>
    <cellStyle name="40% - Accent4 17 4" xfId="642" xr:uid="{00000000-0005-0000-0000-000076020000}"/>
    <cellStyle name="40% - Accent4 17 5" xfId="643" xr:uid="{00000000-0005-0000-0000-000077020000}"/>
    <cellStyle name="40% - Accent4 18" xfId="644" xr:uid="{00000000-0005-0000-0000-000078020000}"/>
    <cellStyle name="40% - Accent4 19" xfId="645" xr:uid="{00000000-0005-0000-0000-000079020000}"/>
    <cellStyle name="40% - Accent4 2" xfId="646" xr:uid="{00000000-0005-0000-0000-00007A020000}"/>
    <cellStyle name="40% - Accent4 2 10" xfId="647" xr:uid="{00000000-0005-0000-0000-00007B020000}"/>
    <cellStyle name="40% - Accent4 2 2" xfId="648" xr:uid="{00000000-0005-0000-0000-00007C020000}"/>
    <cellStyle name="40% - Accent4 2 2 2" xfId="649" xr:uid="{00000000-0005-0000-0000-00007D020000}"/>
    <cellStyle name="40% - Accent4 2 2 2 2" xfId="650" xr:uid="{00000000-0005-0000-0000-00007E020000}"/>
    <cellStyle name="40% - Accent4 2 2 2 2 2" xfId="651" xr:uid="{00000000-0005-0000-0000-00007F020000}"/>
    <cellStyle name="40% - Accent4 2 2 2 2 3" xfId="652" xr:uid="{00000000-0005-0000-0000-000080020000}"/>
    <cellStyle name="40% - Accent4 2 2 2 3" xfId="653" xr:uid="{00000000-0005-0000-0000-000081020000}"/>
    <cellStyle name="40% - Accent4 2 2 2 4" xfId="654" xr:uid="{00000000-0005-0000-0000-000082020000}"/>
    <cellStyle name="40% - Accent4 2 2 2 5" xfId="655" xr:uid="{00000000-0005-0000-0000-000083020000}"/>
    <cellStyle name="40% - Accent4 2 2 2 6" xfId="656" xr:uid="{00000000-0005-0000-0000-000084020000}"/>
    <cellStyle name="40% - Accent4 2 2 3" xfId="657" xr:uid="{00000000-0005-0000-0000-000085020000}"/>
    <cellStyle name="40% - Accent4 2 2 4" xfId="658" xr:uid="{00000000-0005-0000-0000-000086020000}"/>
    <cellStyle name="40% - Accent4 2 2 5" xfId="659" xr:uid="{00000000-0005-0000-0000-000087020000}"/>
    <cellStyle name="40% - Accent4 2 2 6" xfId="660" xr:uid="{00000000-0005-0000-0000-000088020000}"/>
    <cellStyle name="40% - Accent4 2 3" xfId="661" xr:uid="{00000000-0005-0000-0000-000089020000}"/>
    <cellStyle name="40% - Accent4 2 4" xfId="662" xr:uid="{00000000-0005-0000-0000-00008A020000}"/>
    <cellStyle name="40% - Accent4 2 5" xfId="663" xr:uid="{00000000-0005-0000-0000-00008B020000}"/>
    <cellStyle name="40% - Accent4 2 6" xfId="664" xr:uid="{00000000-0005-0000-0000-00008C020000}"/>
    <cellStyle name="40% - Accent4 2 7" xfId="665" xr:uid="{00000000-0005-0000-0000-00008D020000}"/>
    <cellStyle name="40% - Accent4 2 8" xfId="666" xr:uid="{00000000-0005-0000-0000-00008E020000}"/>
    <cellStyle name="40% - Accent4 2 9" xfId="667" xr:uid="{00000000-0005-0000-0000-00008F020000}"/>
    <cellStyle name="40% - Accent4 20" xfId="668" xr:uid="{00000000-0005-0000-0000-000090020000}"/>
    <cellStyle name="40% - Accent4 21" xfId="669" xr:uid="{00000000-0005-0000-0000-000091020000}"/>
    <cellStyle name="40% - Accent4 22" xfId="670" xr:uid="{00000000-0005-0000-0000-000092020000}"/>
    <cellStyle name="40% - Accent4 23" xfId="671" xr:uid="{00000000-0005-0000-0000-000093020000}"/>
    <cellStyle name="40% - Accent4 24" xfId="672" xr:uid="{00000000-0005-0000-0000-000094020000}"/>
    <cellStyle name="40% - Accent4 25" xfId="673" xr:uid="{00000000-0005-0000-0000-000095020000}"/>
    <cellStyle name="40% - Accent4 26" xfId="674" xr:uid="{00000000-0005-0000-0000-000096020000}"/>
    <cellStyle name="40% - Accent4 27" xfId="675" xr:uid="{00000000-0005-0000-0000-000097020000}"/>
    <cellStyle name="40% - Accent4 28" xfId="676" xr:uid="{00000000-0005-0000-0000-000098020000}"/>
    <cellStyle name="40% - Accent4 29" xfId="677" xr:uid="{00000000-0005-0000-0000-000099020000}"/>
    <cellStyle name="40% - Accent4 3" xfId="678" xr:uid="{00000000-0005-0000-0000-00009A020000}"/>
    <cellStyle name="40% - Accent4 30" xfId="679" xr:uid="{00000000-0005-0000-0000-00009B020000}"/>
    <cellStyle name="40% - Accent4 31" xfId="680" xr:uid="{00000000-0005-0000-0000-00009C020000}"/>
    <cellStyle name="40% - Accent4 32" xfId="681" xr:uid="{00000000-0005-0000-0000-00009D020000}"/>
    <cellStyle name="40% - Accent4 33" xfId="682" xr:uid="{00000000-0005-0000-0000-00009E020000}"/>
    <cellStyle name="40% - Accent4 34" xfId="683" xr:uid="{00000000-0005-0000-0000-00009F020000}"/>
    <cellStyle name="40% - Accent4 35" xfId="684" xr:uid="{00000000-0005-0000-0000-0000A0020000}"/>
    <cellStyle name="40% - Accent4 36" xfId="685" xr:uid="{00000000-0005-0000-0000-0000A1020000}"/>
    <cellStyle name="40% - Accent4 4" xfId="686" xr:uid="{00000000-0005-0000-0000-0000A2020000}"/>
    <cellStyle name="40% - Accent4 5" xfId="687" xr:uid="{00000000-0005-0000-0000-0000A3020000}"/>
    <cellStyle name="40% - Accent4 6" xfId="688" xr:uid="{00000000-0005-0000-0000-0000A4020000}"/>
    <cellStyle name="40% - Accent4 7" xfId="689" xr:uid="{00000000-0005-0000-0000-0000A5020000}"/>
    <cellStyle name="40% - Accent4 8" xfId="690" xr:uid="{00000000-0005-0000-0000-0000A6020000}"/>
    <cellStyle name="40% - Accent4 9" xfId="691" xr:uid="{00000000-0005-0000-0000-0000A7020000}"/>
    <cellStyle name="40% - Accent5 10" xfId="692" xr:uid="{00000000-0005-0000-0000-0000A8020000}"/>
    <cellStyle name="40% - Accent5 11" xfId="693" xr:uid="{00000000-0005-0000-0000-0000A9020000}"/>
    <cellStyle name="40% - Accent5 12" xfId="694" xr:uid="{00000000-0005-0000-0000-0000AA020000}"/>
    <cellStyle name="40% - Accent5 13" xfId="695" xr:uid="{00000000-0005-0000-0000-0000AB020000}"/>
    <cellStyle name="40% - Accent5 14" xfId="696" xr:uid="{00000000-0005-0000-0000-0000AC020000}"/>
    <cellStyle name="40% - Accent5 15" xfId="697" xr:uid="{00000000-0005-0000-0000-0000AD020000}"/>
    <cellStyle name="40% - Accent5 15 2" xfId="698" xr:uid="{00000000-0005-0000-0000-0000AE020000}"/>
    <cellStyle name="40% - Accent5 15 3" xfId="699" xr:uid="{00000000-0005-0000-0000-0000AF020000}"/>
    <cellStyle name="40% - Accent5 15 4" xfId="700" xr:uid="{00000000-0005-0000-0000-0000B0020000}"/>
    <cellStyle name="40% - Accent5 15 5" xfId="701" xr:uid="{00000000-0005-0000-0000-0000B1020000}"/>
    <cellStyle name="40% - Accent5 16" xfId="702" xr:uid="{00000000-0005-0000-0000-0000B2020000}"/>
    <cellStyle name="40% - Accent5 16 2" xfId="703" xr:uid="{00000000-0005-0000-0000-0000B3020000}"/>
    <cellStyle name="40% - Accent5 16 3" xfId="704" xr:uid="{00000000-0005-0000-0000-0000B4020000}"/>
    <cellStyle name="40% - Accent5 16 4" xfId="705" xr:uid="{00000000-0005-0000-0000-0000B5020000}"/>
    <cellStyle name="40% - Accent5 16 5" xfId="706" xr:uid="{00000000-0005-0000-0000-0000B6020000}"/>
    <cellStyle name="40% - Accent5 17" xfId="707" xr:uid="{00000000-0005-0000-0000-0000B7020000}"/>
    <cellStyle name="40% - Accent5 17 2" xfId="708" xr:uid="{00000000-0005-0000-0000-0000B8020000}"/>
    <cellStyle name="40% - Accent5 17 3" xfId="709" xr:uid="{00000000-0005-0000-0000-0000B9020000}"/>
    <cellStyle name="40% - Accent5 17 4" xfId="710" xr:uid="{00000000-0005-0000-0000-0000BA020000}"/>
    <cellStyle name="40% - Accent5 17 5" xfId="711" xr:uid="{00000000-0005-0000-0000-0000BB020000}"/>
    <cellStyle name="40% - Accent5 18" xfId="712" xr:uid="{00000000-0005-0000-0000-0000BC020000}"/>
    <cellStyle name="40% - Accent5 19" xfId="713" xr:uid="{00000000-0005-0000-0000-0000BD020000}"/>
    <cellStyle name="40% - Accent5 2" xfId="714" xr:uid="{00000000-0005-0000-0000-0000BE020000}"/>
    <cellStyle name="40% - Accent5 2 10" xfId="715" xr:uid="{00000000-0005-0000-0000-0000BF020000}"/>
    <cellStyle name="40% - Accent5 2 2" xfId="716" xr:uid="{00000000-0005-0000-0000-0000C0020000}"/>
    <cellStyle name="40% - Accent5 2 2 2" xfId="717" xr:uid="{00000000-0005-0000-0000-0000C1020000}"/>
    <cellStyle name="40% - Accent5 2 2 2 2" xfId="718" xr:uid="{00000000-0005-0000-0000-0000C2020000}"/>
    <cellStyle name="40% - Accent5 2 2 2 2 2" xfId="719" xr:uid="{00000000-0005-0000-0000-0000C3020000}"/>
    <cellStyle name="40% - Accent5 2 2 2 2 3" xfId="720" xr:uid="{00000000-0005-0000-0000-0000C4020000}"/>
    <cellStyle name="40% - Accent5 2 2 2 3" xfId="721" xr:uid="{00000000-0005-0000-0000-0000C5020000}"/>
    <cellStyle name="40% - Accent5 2 2 2 4" xfId="722" xr:uid="{00000000-0005-0000-0000-0000C6020000}"/>
    <cellStyle name="40% - Accent5 2 2 2 5" xfId="723" xr:uid="{00000000-0005-0000-0000-0000C7020000}"/>
    <cellStyle name="40% - Accent5 2 2 2 6" xfId="724" xr:uid="{00000000-0005-0000-0000-0000C8020000}"/>
    <cellStyle name="40% - Accent5 2 2 3" xfId="725" xr:uid="{00000000-0005-0000-0000-0000C9020000}"/>
    <cellStyle name="40% - Accent5 2 2 4" xfId="726" xr:uid="{00000000-0005-0000-0000-0000CA020000}"/>
    <cellStyle name="40% - Accent5 2 2 5" xfId="727" xr:uid="{00000000-0005-0000-0000-0000CB020000}"/>
    <cellStyle name="40% - Accent5 2 2 6" xfId="728" xr:uid="{00000000-0005-0000-0000-0000CC020000}"/>
    <cellStyle name="40% - Accent5 2 3" xfId="729" xr:uid="{00000000-0005-0000-0000-0000CD020000}"/>
    <cellStyle name="40% - Accent5 2 4" xfId="730" xr:uid="{00000000-0005-0000-0000-0000CE020000}"/>
    <cellStyle name="40% - Accent5 2 5" xfId="731" xr:uid="{00000000-0005-0000-0000-0000CF020000}"/>
    <cellStyle name="40% - Accent5 2 6" xfId="732" xr:uid="{00000000-0005-0000-0000-0000D0020000}"/>
    <cellStyle name="40% - Accent5 2 7" xfId="733" xr:uid="{00000000-0005-0000-0000-0000D1020000}"/>
    <cellStyle name="40% - Accent5 2 8" xfId="734" xr:uid="{00000000-0005-0000-0000-0000D2020000}"/>
    <cellStyle name="40% - Accent5 2 9" xfId="735" xr:uid="{00000000-0005-0000-0000-0000D3020000}"/>
    <cellStyle name="40% - Accent5 20" xfId="736" xr:uid="{00000000-0005-0000-0000-0000D4020000}"/>
    <cellStyle name="40% - Accent5 21" xfId="737" xr:uid="{00000000-0005-0000-0000-0000D5020000}"/>
    <cellStyle name="40% - Accent5 22" xfId="738" xr:uid="{00000000-0005-0000-0000-0000D6020000}"/>
    <cellStyle name="40% - Accent5 23" xfId="739" xr:uid="{00000000-0005-0000-0000-0000D7020000}"/>
    <cellStyle name="40% - Accent5 24" xfId="740" xr:uid="{00000000-0005-0000-0000-0000D8020000}"/>
    <cellStyle name="40% - Accent5 25" xfId="741" xr:uid="{00000000-0005-0000-0000-0000D9020000}"/>
    <cellStyle name="40% - Accent5 26" xfId="742" xr:uid="{00000000-0005-0000-0000-0000DA020000}"/>
    <cellStyle name="40% - Accent5 27" xfId="743" xr:uid="{00000000-0005-0000-0000-0000DB020000}"/>
    <cellStyle name="40% - Accent5 28" xfId="744" xr:uid="{00000000-0005-0000-0000-0000DC020000}"/>
    <cellStyle name="40% - Accent5 29" xfId="745" xr:uid="{00000000-0005-0000-0000-0000DD020000}"/>
    <cellStyle name="40% - Accent5 3" xfId="746" xr:uid="{00000000-0005-0000-0000-0000DE020000}"/>
    <cellStyle name="40% - Accent5 30" xfId="747" xr:uid="{00000000-0005-0000-0000-0000DF020000}"/>
    <cellStyle name="40% - Accent5 31" xfId="748" xr:uid="{00000000-0005-0000-0000-0000E0020000}"/>
    <cellStyle name="40% - Accent5 32" xfId="749" xr:uid="{00000000-0005-0000-0000-0000E1020000}"/>
    <cellStyle name="40% - Accent5 33" xfId="750" xr:uid="{00000000-0005-0000-0000-0000E2020000}"/>
    <cellStyle name="40% - Accent5 34" xfId="751" xr:uid="{00000000-0005-0000-0000-0000E3020000}"/>
    <cellStyle name="40% - Accent5 35" xfId="752" xr:uid="{00000000-0005-0000-0000-0000E4020000}"/>
    <cellStyle name="40% - Accent5 36" xfId="753" xr:uid="{00000000-0005-0000-0000-0000E5020000}"/>
    <cellStyle name="40% - Accent5 4" xfId="754" xr:uid="{00000000-0005-0000-0000-0000E6020000}"/>
    <cellStyle name="40% - Accent5 5" xfId="755" xr:uid="{00000000-0005-0000-0000-0000E7020000}"/>
    <cellStyle name="40% - Accent5 6" xfId="756" xr:uid="{00000000-0005-0000-0000-0000E8020000}"/>
    <cellStyle name="40% - Accent5 7" xfId="757" xr:uid="{00000000-0005-0000-0000-0000E9020000}"/>
    <cellStyle name="40% - Accent5 8" xfId="758" xr:uid="{00000000-0005-0000-0000-0000EA020000}"/>
    <cellStyle name="40% - Accent5 9" xfId="759" xr:uid="{00000000-0005-0000-0000-0000EB020000}"/>
    <cellStyle name="40% - Accent6 10" xfId="760" xr:uid="{00000000-0005-0000-0000-0000EC020000}"/>
    <cellStyle name="40% - Accent6 11" xfId="761" xr:uid="{00000000-0005-0000-0000-0000ED020000}"/>
    <cellStyle name="40% - Accent6 12" xfId="762" xr:uid="{00000000-0005-0000-0000-0000EE020000}"/>
    <cellStyle name="40% - Accent6 13" xfId="763" xr:uid="{00000000-0005-0000-0000-0000EF020000}"/>
    <cellStyle name="40% - Accent6 14" xfId="764" xr:uid="{00000000-0005-0000-0000-0000F0020000}"/>
    <cellStyle name="40% - Accent6 15" xfId="765" xr:uid="{00000000-0005-0000-0000-0000F1020000}"/>
    <cellStyle name="40% - Accent6 15 2" xfId="766" xr:uid="{00000000-0005-0000-0000-0000F2020000}"/>
    <cellStyle name="40% - Accent6 15 3" xfId="767" xr:uid="{00000000-0005-0000-0000-0000F3020000}"/>
    <cellStyle name="40% - Accent6 15 4" xfId="768" xr:uid="{00000000-0005-0000-0000-0000F4020000}"/>
    <cellStyle name="40% - Accent6 15 5" xfId="769" xr:uid="{00000000-0005-0000-0000-0000F5020000}"/>
    <cellStyle name="40% - Accent6 16" xfId="770" xr:uid="{00000000-0005-0000-0000-0000F6020000}"/>
    <cellStyle name="40% - Accent6 16 2" xfId="771" xr:uid="{00000000-0005-0000-0000-0000F7020000}"/>
    <cellStyle name="40% - Accent6 16 3" xfId="772" xr:uid="{00000000-0005-0000-0000-0000F8020000}"/>
    <cellStyle name="40% - Accent6 16 4" xfId="773" xr:uid="{00000000-0005-0000-0000-0000F9020000}"/>
    <cellStyle name="40% - Accent6 16 5" xfId="774" xr:uid="{00000000-0005-0000-0000-0000FA020000}"/>
    <cellStyle name="40% - Accent6 17" xfId="775" xr:uid="{00000000-0005-0000-0000-0000FB020000}"/>
    <cellStyle name="40% - Accent6 17 2" xfId="776" xr:uid="{00000000-0005-0000-0000-0000FC020000}"/>
    <cellStyle name="40% - Accent6 17 3" xfId="777" xr:uid="{00000000-0005-0000-0000-0000FD020000}"/>
    <cellStyle name="40% - Accent6 17 4" xfId="778" xr:uid="{00000000-0005-0000-0000-0000FE020000}"/>
    <cellStyle name="40% - Accent6 17 5" xfId="779" xr:uid="{00000000-0005-0000-0000-0000FF020000}"/>
    <cellStyle name="40% - Accent6 18" xfId="780" xr:uid="{00000000-0005-0000-0000-000000030000}"/>
    <cellStyle name="40% - Accent6 19" xfId="781" xr:uid="{00000000-0005-0000-0000-000001030000}"/>
    <cellStyle name="40% - Accent6 2" xfId="782" xr:uid="{00000000-0005-0000-0000-000002030000}"/>
    <cellStyle name="40% - Accent6 2 10" xfId="783" xr:uid="{00000000-0005-0000-0000-000003030000}"/>
    <cellStyle name="40% - Accent6 2 2" xfId="784" xr:uid="{00000000-0005-0000-0000-000004030000}"/>
    <cellStyle name="40% - Accent6 2 2 2" xfId="785" xr:uid="{00000000-0005-0000-0000-000005030000}"/>
    <cellStyle name="40% - Accent6 2 2 2 2" xfId="786" xr:uid="{00000000-0005-0000-0000-000006030000}"/>
    <cellStyle name="40% - Accent6 2 2 2 2 2" xfId="787" xr:uid="{00000000-0005-0000-0000-000007030000}"/>
    <cellStyle name="40% - Accent6 2 2 2 2 3" xfId="788" xr:uid="{00000000-0005-0000-0000-000008030000}"/>
    <cellStyle name="40% - Accent6 2 2 2 3" xfId="789" xr:uid="{00000000-0005-0000-0000-000009030000}"/>
    <cellStyle name="40% - Accent6 2 2 2 4" xfId="790" xr:uid="{00000000-0005-0000-0000-00000A030000}"/>
    <cellStyle name="40% - Accent6 2 2 2 5" xfId="791" xr:uid="{00000000-0005-0000-0000-00000B030000}"/>
    <cellStyle name="40% - Accent6 2 2 2 6" xfId="792" xr:uid="{00000000-0005-0000-0000-00000C030000}"/>
    <cellStyle name="40% - Accent6 2 2 3" xfId="793" xr:uid="{00000000-0005-0000-0000-00000D030000}"/>
    <cellStyle name="40% - Accent6 2 2 4" xfId="794" xr:uid="{00000000-0005-0000-0000-00000E030000}"/>
    <cellStyle name="40% - Accent6 2 2 5" xfId="795" xr:uid="{00000000-0005-0000-0000-00000F030000}"/>
    <cellStyle name="40% - Accent6 2 2 6" xfId="796" xr:uid="{00000000-0005-0000-0000-000010030000}"/>
    <cellStyle name="40% - Accent6 2 3" xfId="797" xr:uid="{00000000-0005-0000-0000-000011030000}"/>
    <cellStyle name="40% - Accent6 2 4" xfId="798" xr:uid="{00000000-0005-0000-0000-000012030000}"/>
    <cellStyle name="40% - Accent6 2 5" xfId="799" xr:uid="{00000000-0005-0000-0000-000013030000}"/>
    <cellStyle name="40% - Accent6 2 6" xfId="800" xr:uid="{00000000-0005-0000-0000-000014030000}"/>
    <cellStyle name="40% - Accent6 2 7" xfId="801" xr:uid="{00000000-0005-0000-0000-000015030000}"/>
    <cellStyle name="40% - Accent6 2 8" xfId="802" xr:uid="{00000000-0005-0000-0000-000016030000}"/>
    <cellStyle name="40% - Accent6 2 9" xfId="803" xr:uid="{00000000-0005-0000-0000-000017030000}"/>
    <cellStyle name="40% - Accent6 20" xfId="804" xr:uid="{00000000-0005-0000-0000-000018030000}"/>
    <cellStyle name="40% - Accent6 21" xfId="805" xr:uid="{00000000-0005-0000-0000-000019030000}"/>
    <cellStyle name="40% - Accent6 22" xfId="806" xr:uid="{00000000-0005-0000-0000-00001A030000}"/>
    <cellStyle name="40% - Accent6 23" xfId="807" xr:uid="{00000000-0005-0000-0000-00001B030000}"/>
    <cellStyle name="40% - Accent6 24" xfId="808" xr:uid="{00000000-0005-0000-0000-00001C030000}"/>
    <cellStyle name="40% - Accent6 25" xfId="809" xr:uid="{00000000-0005-0000-0000-00001D030000}"/>
    <cellStyle name="40% - Accent6 26" xfId="810" xr:uid="{00000000-0005-0000-0000-00001E030000}"/>
    <cellStyle name="40% - Accent6 27" xfId="811" xr:uid="{00000000-0005-0000-0000-00001F030000}"/>
    <cellStyle name="40% - Accent6 28" xfId="812" xr:uid="{00000000-0005-0000-0000-000020030000}"/>
    <cellStyle name="40% - Accent6 29" xfId="813" xr:uid="{00000000-0005-0000-0000-000021030000}"/>
    <cellStyle name="40% - Accent6 3" xfId="814" xr:uid="{00000000-0005-0000-0000-000022030000}"/>
    <cellStyle name="40% - Accent6 30" xfId="815" xr:uid="{00000000-0005-0000-0000-000023030000}"/>
    <cellStyle name="40% - Accent6 31" xfId="816" xr:uid="{00000000-0005-0000-0000-000024030000}"/>
    <cellStyle name="40% - Accent6 32" xfId="817" xr:uid="{00000000-0005-0000-0000-000025030000}"/>
    <cellStyle name="40% - Accent6 33" xfId="818" xr:uid="{00000000-0005-0000-0000-000026030000}"/>
    <cellStyle name="40% - Accent6 34" xfId="819" xr:uid="{00000000-0005-0000-0000-000027030000}"/>
    <cellStyle name="40% - Accent6 35" xfId="820" xr:uid="{00000000-0005-0000-0000-000028030000}"/>
    <cellStyle name="40% - Accent6 36" xfId="821" xr:uid="{00000000-0005-0000-0000-000029030000}"/>
    <cellStyle name="40% - Accent6 4" xfId="822" xr:uid="{00000000-0005-0000-0000-00002A030000}"/>
    <cellStyle name="40% - Accent6 5" xfId="823" xr:uid="{00000000-0005-0000-0000-00002B030000}"/>
    <cellStyle name="40% - Accent6 6" xfId="824" xr:uid="{00000000-0005-0000-0000-00002C030000}"/>
    <cellStyle name="40% - Accent6 7" xfId="825" xr:uid="{00000000-0005-0000-0000-00002D030000}"/>
    <cellStyle name="40% - Accent6 8" xfId="826" xr:uid="{00000000-0005-0000-0000-00002E030000}"/>
    <cellStyle name="40% - Accent6 9" xfId="827" xr:uid="{00000000-0005-0000-0000-00002F030000}"/>
    <cellStyle name="60% - Accent1 10" xfId="828" xr:uid="{00000000-0005-0000-0000-000030030000}"/>
    <cellStyle name="60% - Accent1 11" xfId="829" xr:uid="{00000000-0005-0000-0000-000031030000}"/>
    <cellStyle name="60% - Accent1 12" xfId="830" xr:uid="{00000000-0005-0000-0000-000032030000}"/>
    <cellStyle name="60% - Accent1 13" xfId="831" xr:uid="{00000000-0005-0000-0000-000033030000}"/>
    <cellStyle name="60% - Accent1 14" xfId="832" xr:uid="{00000000-0005-0000-0000-000034030000}"/>
    <cellStyle name="60% - Accent1 15" xfId="833" xr:uid="{00000000-0005-0000-0000-000035030000}"/>
    <cellStyle name="60% - Accent1 16" xfId="834" xr:uid="{00000000-0005-0000-0000-000036030000}"/>
    <cellStyle name="60% - Accent1 17" xfId="835" xr:uid="{00000000-0005-0000-0000-000037030000}"/>
    <cellStyle name="60% - Accent1 18" xfId="836" xr:uid="{00000000-0005-0000-0000-000038030000}"/>
    <cellStyle name="60% - Accent1 19" xfId="837" xr:uid="{00000000-0005-0000-0000-000039030000}"/>
    <cellStyle name="60% - Accent1 2" xfId="838" xr:uid="{00000000-0005-0000-0000-00003A030000}"/>
    <cellStyle name="60% - Accent1 2 10" xfId="839" xr:uid="{00000000-0005-0000-0000-00003B030000}"/>
    <cellStyle name="60% - Accent1 2 2" xfId="840" xr:uid="{00000000-0005-0000-0000-00003C030000}"/>
    <cellStyle name="60% - Accent1 2 2 2" xfId="841" xr:uid="{00000000-0005-0000-0000-00003D030000}"/>
    <cellStyle name="60% - Accent1 2 2 2 2" xfId="842" xr:uid="{00000000-0005-0000-0000-00003E030000}"/>
    <cellStyle name="60% - Accent1 2 2 2 2 2" xfId="843" xr:uid="{00000000-0005-0000-0000-00003F030000}"/>
    <cellStyle name="60% - Accent1 2 2 2 2 3" xfId="844" xr:uid="{00000000-0005-0000-0000-000040030000}"/>
    <cellStyle name="60% - Accent1 2 2 2 3" xfId="845" xr:uid="{00000000-0005-0000-0000-000041030000}"/>
    <cellStyle name="60% - Accent1 2 2 2 4" xfId="846" xr:uid="{00000000-0005-0000-0000-000042030000}"/>
    <cellStyle name="60% - Accent1 2 2 2 5" xfId="847" xr:uid="{00000000-0005-0000-0000-000043030000}"/>
    <cellStyle name="60% - Accent1 2 2 2 6" xfId="848" xr:uid="{00000000-0005-0000-0000-000044030000}"/>
    <cellStyle name="60% - Accent1 2 2 3" xfId="849" xr:uid="{00000000-0005-0000-0000-000045030000}"/>
    <cellStyle name="60% - Accent1 2 2 4" xfId="850" xr:uid="{00000000-0005-0000-0000-000046030000}"/>
    <cellStyle name="60% - Accent1 2 2 5" xfId="851" xr:uid="{00000000-0005-0000-0000-000047030000}"/>
    <cellStyle name="60% - Accent1 2 2 6" xfId="852" xr:uid="{00000000-0005-0000-0000-000048030000}"/>
    <cellStyle name="60% - Accent1 2 3" xfId="853" xr:uid="{00000000-0005-0000-0000-000049030000}"/>
    <cellStyle name="60% - Accent1 2 4" xfId="854" xr:uid="{00000000-0005-0000-0000-00004A030000}"/>
    <cellStyle name="60% - Accent1 2 5" xfId="855" xr:uid="{00000000-0005-0000-0000-00004B030000}"/>
    <cellStyle name="60% - Accent1 2 6" xfId="856" xr:uid="{00000000-0005-0000-0000-00004C030000}"/>
    <cellStyle name="60% - Accent1 2 7" xfId="857" xr:uid="{00000000-0005-0000-0000-00004D030000}"/>
    <cellStyle name="60% - Accent1 2 8" xfId="858" xr:uid="{00000000-0005-0000-0000-00004E030000}"/>
    <cellStyle name="60% - Accent1 2 9" xfId="859" xr:uid="{00000000-0005-0000-0000-00004F030000}"/>
    <cellStyle name="60% - Accent1 20" xfId="860" xr:uid="{00000000-0005-0000-0000-000050030000}"/>
    <cellStyle name="60% - Accent1 21" xfId="861" xr:uid="{00000000-0005-0000-0000-000051030000}"/>
    <cellStyle name="60% - Accent1 22" xfId="862" xr:uid="{00000000-0005-0000-0000-000052030000}"/>
    <cellStyle name="60% - Accent1 23" xfId="863" xr:uid="{00000000-0005-0000-0000-000053030000}"/>
    <cellStyle name="60% - Accent1 3" xfId="864" xr:uid="{00000000-0005-0000-0000-000054030000}"/>
    <cellStyle name="60% - Accent1 4" xfId="865" xr:uid="{00000000-0005-0000-0000-000055030000}"/>
    <cellStyle name="60% - Accent1 5" xfId="866" xr:uid="{00000000-0005-0000-0000-000056030000}"/>
    <cellStyle name="60% - Accent1 6" xfId="867" xr:uid="{00000000-0005-0000-0000-000057030000}"/>
    <cellStyle name="60% - Accent1 7" xfId="868" xr:uid="{00000000-0005-0000-0000-000058030000}"/>
    <cellStyle name="60% - Accent1 8" xfId="869" xr:uid="{00000000-0005-0000-0000-000059030000}"/>
    <cellStyle name="60% - Accent1 9" xfId="870" xr:uid="{00000000-0005-0000-0000-00005A030000}"/>
    <cellStyle name="60% - Accent2 10" xfId="871" xr:uid="{00000000-0005-0000-0000-00005B030000}"/>
    <cellStyle name="60% - Accent2 11" xfId="872" xr:uid="{00000000-0005-0000-0000-00005C030000}"/>
    <cellStyle name="60% - Accent2 12" xfId="873" xr:uid="{00000000-0005-0000-0000-00005D030000}"/>
    <cellStyle name="60% - Accent2 13" xfId="874" xr:uid="{00000000-0005-0000-0000-00005E030000}"/>
    <cellStyle name="60% - Accent2 14" xfId="875" xr:uid="{00000000-0005-0000-0000-00005F030000}"/>
    <cellStyle name="60% - Accent2 15" xfId="876" xr:uid="{00000000-0005-0000-0000-000060030000}"/>
    <cellStyle name="60% - Accent2 16" xfId="877" xr:uid="{00000000-0005-0000-0000-000061030000}"/>
    <cellStyle name="60% - Accent2 17" xfId="878" xr:uid="{00000000-0005-0000-0000-000062030000}"/>
    <cellStyle name="60% - Accent2 18" xfId="879" xr:uid="{00000000-0005-0000-0000-000063030000}"/>
    <cellStyle name="60% - Accent2 19" xfId="880" xr:uid="{00000000-0005-0000-0000-000064030000}"/>
    <cellStyle name="60% - Accent2 2" xfId="881" xr:uid="{00000000-0005-0000-0000-000065030000}"/>
    <cellStyle name="60% - Accent2 2 10" xfId="882" xr:uid="{00000000-0005-0000-0000-000066030000}"/>
    <cellStyle name="60% - Accent2 2 2" xfId="883" xr:uid="{00000000-0005-0000-0000-000067030000}"/>
    <cellStyle name="60% - Accent2 2 2 2" xfId="884" xr:uid="{00000000-0005-0000-0000-000068030000}"/>
    <cellStyle name="60% - Accent2 2 2 2 2" xfId="885" xr:uid="{00000000-0005-0000-0000-000069030000}"/>
    <cellStyle name="60% - Accent2 2 2 2 2 2" xfId="886" xr:uid="{00000000-0005-0000-0000-00006A030000}"/>
    <cellStyle name="60% - Accent2 2 2 2 2 3" xfId="887" xr:uid="{00000000-0005-0000-0000-00006B030000}"/>
    <cellStyle name="60% - Accent2 2 2 2 3" xfId="888" xr:uid="{00000000-0005-0000-0000-00006C030000}"/>
    <cellStyle name="60% - Accent2 2 2 2 4" xfId="889" xr:uid="{00000000-0005-0000-0000-00006D030000}"/>
    <cellStyle name="60% - Accent2 2 2 2 5" xfId="890" xr:uid="{00000000-0005-0000-0000-00006E030000}"/>
    <cellStyle name="60% - Accent2 2 2 2 6" xfId="891" xr:uid="{00000000-0005-0000-0000-00006F030000}"/>
    <cellStyle name="60% - Accent2 2 2 3" xfId="892" xr:uid="{00000000-0005-0000-0000-000070030000}"/>
    <cellStyle name="60% - Accent2 2 2 4" xfId="893" xr:uid="{00000000-0005-0000-0000-000071030000}"/>
    <cellStyle name="60% - Accent2 2 2 5" xfId="894" xr:uid="{00000000-0005-0000-0000-000072030000}"/>
    <cellStyle name="60% - Accent2 2 2 6" xfId="895" xr:uid="{00000000-0005-0000-0000-000073030000}"/>
    <cellStyle name="60% - Accent2 2 3" xfId="896" xr:uid="{00000000-0005-0000-0000-000074030000}"/>
    <cellStyle name="60% - Accent2 2 4" xfId="897" xr:uid="{00000000-0005-0000-0000-000075030000}"/>
    <cellStyle name="60% - Accent2 2 5" xfId="898" xr:uid="{00000000-0005-0000-0000-000076030000}"/>
    <cellStyle name="60% - Accent2 2 6" xfId="899" xr:uid="{00000000-0005-0000-0000-000077030000}"/>
    <cellStyle name="60% - Accent2 2 7" xfId="900" xr:uid="{00000000-0005-0000-0000-000078030000}"/>
    <cellStyle name="60% - Accent2 2 8" xfId="901" xr:uid="{00000000-0005-0000-0000-000079030000}"/>
    <cellStyle name="60% - Accent2 2 9" xfId="902" xr:uid="{00000000-0005-0000-0000-00007A030000}"/>
    <cellStyle name="60% - Accent2 20" xfId="903" xr:uid="{00000000-0005-0000-0000-00007B030000}"/>
    <cellStyle name="60% - Accent2 21" xfId="904" xr:uid="{00000000-0005-0000-0000-00007C030000}"/>
    <cellStyle name="60% - Accent2 22" xfId="905" xr:uid="{00000000-0005-0000-0000-00007D030000}"/>
    <cellStyle name="60% - Accent2 23" xfId="906" xr:uid="{00000000-0005-0000-0000-00007E030000}"/>
    <cellStyle name="60% - Accent2 3" xfId="907" xr:uid="{00000000-0005-0000-0000-00007F030000}"/>
    <cellStyle name="60% - Accent2 4" xfId="908" xr:uid="{00000000-0005-0000-0000-000080030000}"/>
    <cellStyle name="60% - Accent2 5" xfId="909" xr:uid="{00000000-0005-0000-0000-000081030000}"/>
    <cellStyle name="60% - Accent2 6" xfId="910" xr:uid="{00000000-0005-0000-0000-000082030000}"/>
    <cellStyle name="60% - Accent2 7" xfId="911" xr:uid="{00000000-0005-0000-0000-000083030000}"/>
    <cellStyle name="60% - Accent2 8" xfId="912" xr:uid="{00000000-0005-0000-0000-000084030000}"/>
    <cellStyle name="60% - Accent2 9" xfId="913" xr:uid="{00000000-0005-0000-0000-000085030000}"/>
    <cellStyle name="60% - Accent3 10" xfId="914" xr:uid="{00000000-0005-0000-0000-000086030000}"/>
    <cellStyle name="60% - Accent3 11" xfId="915" xr:uid="{00000000-0005-0000-0000-000087030000}"/>
    <cellStyle name="60% - Accent3 12" xfId="916" xr:uid="{00000000-0005-0000-0000-000088030000}"/>
    <cellStyle name="60% - Accent3 13" xfId="917" xr:uid="{00000000-0005-0000-0000-000089030000}"/>
    <cellStyle name="60% - Accent3 14" xfId="918" xr:uid="{00000000-0005-0000-0000-00008A030000}"/>
    <cellStyle name="60% - Accent3 15" xfId="919" xr:uid="{00000000-0005-0000-0000-00008B030000}"/>
    <cellStyle name="60% - Accent3 16" xfId="920" xr:uid="{00000000-0005-0000-0000-00008C030000}"/>
    <cellStyle name="60% - Accent3 17" xfId="921" xr:uid="{00000000-0005-0000-0000-00008D030000}"/>
    <cellStyle name="60% - Accent3 18" xfId="922" xr:uid="{00000000-0005-0000-0000-00008E030000}"/>
    <cellStyle name="60% - Accent3 19" xfId="923" xr:uid="{00000000-0005-0000-0000-00008F030000}"/>
    <cellStyle name="60% - Accent3 2" xfId="924" xr:uid="{00000000-0005-0000-0000-000090030000}"/>
    <cellStyle name="60% - Accent3 2 10" xfId="925" xr:uid="{00000000-0005-0000-0000-000091030000}"/>
    <cellStyle name="60% - Accent3 2 2" xfId="926" xr:uid="{00000000-0005-0000-0000-000092030000}"/>
    <cellStyle name="60% - Accent3 2 2 2" xfId="927" xr:uid="{00000000-0005-0000-0000-000093030000}"/>
    <cellStyle name="60% - Accent3 2 2 2 2" xfId="928" xr:uid="{00000000-0005-0000-0000-000094030000}"/>
    <cellStyle name="60% - Accent3 2 2 2 2 2" xfId="929" xr:uid="{00000000-0005-0000-0000-000095030000}"/>
    <cellStyle name="60% - Accent3 2 2 2 2 3" xfId="930" xr:uid="{00000000-0005-0000-0000-000096030000}"/>
    <cellStyle name="60% - Accent3 2 2 2 3" xfId="931" xr:uid="{00000000-0005-0000-0000-000097030000}"/>
    <cellStyle name="60% - Accent3 2 2 2 4" xfId="932" xr:uid="{00000000-0005-0000-0000-000098030000}"/>
    <cellStyle name="60% - Accent3 2 2 2 5" xfId="933" xr:uid="{00000000-0005-0000-0000-000099030000}"/>
    <cellStyle name="60% - Accent3 2 2 2 6" xfId="934" xr:uid="{00000000-0005-0000-0000-00009A030000}"/>
    <cellStyle name="60% - Accent3 2 2 3" xfId="935" xr:uid="{00000000-0005-0000-0000-00009B030000}"/>
    <cellStyle name="60% - Accent3 2 2 4" xfId="936" xr:uid="{00000000-0005-0000-0000-00009C030000}"/>
    <cellStyle name="60% - Accent3 2 2 5" xfId="937" xr:uid="{00000000-0005-0000-0000-00009D030000}"/>
    <cellStyle name="60% - Accent3 2 2 6" xfId="938" xr:uid="{00000000-0005-0000-0000-00009E030000}"/>
    <cellStyle name="60% - Accent3 2 3" xfId="939" xr:uid="{00000000-0005-0000-0000-00009F030000}"/>
    <cellStyle name="60% - Accent3 2 4" xfId="940" xr:uid="{00000000-0005-0000-0000-0000A0030000}"/>
    <cellStyle name="60% - Accent3 2 5" xfId="941" xr:uid="{00000000-0005-0000-0000-0000A1030000}"/>
    <cellStyle name="60% - Accent3 2 6" xfId="942" xr:uid="{00000000-0005-0000-0000-0000A2030000}"/>
    <cellStyle name="60% - Accent3 2 7" xfId="943" xr:uid="{00000000-0005-0000-0000-0000A3030000}"/>
    <cellStyle name="60% - Accent3 2 8" xfId="944" xr:uid="{00000000-0005-0000-0000-0000A4030000}"/>
    <cellStyle name="60% - Accent3 2 9" xfId="945" xr:uid="{00000000-0005-0000-0000-0000A5030000}"/>
    <cellStyle name="60% - Accent3 20" xfId="946" xr:uid="{00000000-0005-0000-0000-0000A6030000}"/>
    <cellStyle name="60% - Accent3 21" xfId="947" xr:uid="{00000000-0005-0000-0000-0000A7030000}"/>
    <cellStyle name="60% - Accent3 22" xfId="948" xr:uid="{00000000-0005-0000-0000-0000A8030000}"/>
    <cellStyle name="60% - Accent3 23" xfId="949" xr:uid="{00000000-0005-0000-0000-0000A9030000}"/>
    <cellStyle name="60% - Accent3 3" xfId="950" xr:uid="{00000000-0005-0000-0000-0000AA030000}"/>
    <cellStyle name="60% - Accent3 4" xfId="951" xr:uid="{00000000-0005-0000-0000-0000AB030000}"/>
    <cellStyle name="60% - Accent3 5" xfId="952" xr:uid="{00000000-0005-0000-0000-0000AC030000}"/>
    <cellStyle name="60% - Accent3 6" xfId="953" xr:uid="{00000000-0005-0000-0000-0000AD030000}"/>
    <cellStyle name="60% - Accent3 7" xfId="954" xr:uid="{00000000-0005-0000-0000-0000AE030000}"/>
    <cellStyle name="60% - Accent3 8" xfId="955" xr:uid="{00000000-0005-0000-0000-0000AF030000}"/>
    <cellStyle name="60% - Accent3 9" xfId="956" xr:uid="{00000000-0005-0000-0000-0000B0030000}"/>
    <cellStyle name="60% - Accent4 10" xfId="957" xr:uid="{00000000-0005-0000-0000-0000B1030000}"/>
    <cellStyle name="60% - Accent4 11" xfId="958" xr:uid="{00000000-0005-0000-0000-0000B2030000}"/>
    <cellStyle name="60% - Accent4 12" xfId="959" xr:uid="{00000000-0005-0000-0000-0000B3030000}"/>
    <cellStyle name="60% - Accent4 13" xfId="960" xr:uid="{00000000-0005-0000-0000-0000B4030000}"/>
    <cellStyle name="60% - Accent4 14" xfId="961" xr:uid="{00000000-0005-0000-0000-0000B5030000}"/>
    <cellStyle name="60% - Accent4 15" xfId="962" xr:uid="{00000000-0005-0000-0000-0000B6030000}"/>
    <cellStyle name="60% - Accent4 16" xfId="963" xr:uid="{00000000-0005-0000-0000-0000B7030000}"/>
    <cellStyle name="60% - Accent4 17" xfId="964" xr:uid="{00000000-0005-0000-0000-0000B8030000}"/>
    <cellStyle name="60% - Accent4 18" xfId="965" xr:uid="{00000000-0005-0000-0000-0000B9030000}"/>
    <cellStyle name="60% - Accent4 19" xfId="966" xr:uid="{00000000-0005-0000-0000-0000BA030000}"/>
    <cellStyle name="60% - Accent4 2" xfId="967" xr:uid="{00000000-0005-0000-0000-0000BB030000}"/>
    <cellStyle name="60% - Accent4 2 10" xfId="968" xr:uid="{00000000-0005-0000-0000-0000BC030000}"/>
    <cellStyle name="60% - Accent4 2 2" xfId="969" xr:uid="{00000000-0005-0000-0000-0000BD030000}"/>
    <cellStyle name="60% - Accent4 2 2 2" xfId="970" xr:uid="{00000000-0005-0000-0000-0000BE030000}"/>
    <cellStyle name="60% - Accent4 2 2 2 2" xfId="971" xr:uid="{00000000-0005-0000-0000-0000BF030000}"/>
    <cellStyle name="60% - Accent4 2 2 2 2 2" xfId="972" xr:uid="{00000000-0005-0000-0000-0000C0030000}"/>
    <cellStyle name="60% - Accent4 2 2 2 2 3" xfId="973" xr:uid="{00000000-0005-0000-0000-0000C1030000}"/>
    <cellStyle name="60% - Accent4 2 2 2 3" xfId="974" xr:uid="{00000000-0005-0000-0000-0000C2030000}"/>
    <cellStyle name="60% - Accent4 2 2 2 4" xfId="975" xr:uid="{00000000-0005-0000-0000-0000C3030000}"/>
    <cellStyle name="60% - Accent4 2 2 2 5" xfId="976" xr:uid="{00000000-0005-0000-0000-0000C4030000}"/>
    <cellStyle name="60% - Accent4 2 2 2 6" xfId="977" xr:uid="{00000000-0005-0000-0000-0000C5030000}"/>
    <cellStyle name="60% - Accent4 2 2 3" xfId="978" xr:uid="{00000000-0005-0000-0000-0000C6030000}"/>
    <cellStyle name="60% - Accent4 2 2 4" xfId="979" xr:uid="{00000000-0005-0000-0000-0000C7030000}"/>
    <cellStyle name="60% - Accent4 2 2 5" xfId="980" xr:uid="{00000000-0005-0000-0000-0000C8030000}"/>
    <cellStyle name="60% - Accent4 2 2 6" xfId="981" xr:uid="{00000000-0005-0000-0000-0000C9030000}"/>
    <cellStyle name="60% - Accent4 2 3" xfId="982" xr:uid="{00000000-0005-0000-0000-0000CA030000}"/>
    <cellStyle name="60% - Accent4 2 4" xfId="983" xr:uid="{00000000-0005-0000-0000-0000CB030000}"/>
    <cellStyle name="60% - Accent4 2 5" xfId="984" xr:uid="{00000000-0005-0000-0000-0000CC030000}"/>
    <cellStyle name="60% - Accent4 2 6" xfId="985" xr:uid="{00000000-0005-0000-0000-0000CD030000}"/>
    <cellStyle name="60% - Accent4 2 7" xfId="986" xr:uid="{00000000-0005-0000-0000-0000CE030000}"/>
    <cellStyle name="60% - Accent4 2 8" xfId="987" xr:uid="{00000000-0005-0000-0000-0000CF030000}"/>
    <cellStyle name="60% - Accent4 2 9" xfId="988" xr:uid="{00000000-0005-0000-0000-0000D0030000}"/>
    <cellStyle name="60% - Accent4 20" xfId="989" xr:uid="{00000000-0005-0000-0000-0000D1030000}"/>
    <cellStyle name="60% - Accent4 21" xfId="990" xr:uid="{00000000-0005-0000-0000-0000D2030000}"/>
    <cellStyle name="60% - Accent4 22" xfId="991" xr:uid="{00000000-0005-0000-0000-0000D3030000}"/>
    <cellStyle name="60% - Accent4 23" xfId="992" xr:uid="{00000000-0005-0000-0000-0000D4030000}"/>
    <cellStyle name="60% - Accent4 3" xfId="993" xr:uid="{00000000-0005-0000-0000-0000D5030000}"/>
    <cellStyle name="60% - Accent4 4" xfId="994" xr:uid="{00000000-0005-0000-0000-0000D6030000}"/>
    <cellStyle name="60% - Accent4 5" xfId="995" xr:uid="{00000000-0005-0000-0000-0000D7030000}"/>
    <cellStyle name="60% - Accent4 6" xfId="996" xr:uid="{00000000-0005-0000-0000-0000D8030000}"/>
    <cellStyle name="60% - Accent4 7" xfId="997" xr:uid="{00000000-0005-0000-0000-0000D9030000}"/>
    <cellStyle name="60% - Accent4 8" xfId="998" xr:uid="{00000000-0005-0000-0000-0000DA030000}"/>
    <cellStyle name="60% - Accent4 9" xfId="999" xr:uid="{00000000-0005-0000-0000-0000DB030000}"/>
    <cellStyle name="60% - Accent5 10" xfId="1000" xr:uid="{00000000-0005-0000-0000-0000DC030000}"/>
    <cellStyle name="60% - Accent5 11" xfId="1001" xr:uid="{00000000-0005-0000-0000-0000DD030000}"/>
    <cellStyle name="60% - Accent5 12" xfId="1002" xr:uid="{00000000-0005-0000-0000-0000DE030000}"/>
    <cellStyle name="60% - Accent5 13" xfId="1003" xr:uid="{00000000-0005-0000-0000-0000DF030000}"/>
    <cellStyle name="60% - Accent5 14" xfId="1004" xr:uid="{00000000-0005-0000-0000-0000E0030000}"/>
    <cellStyle name="60% - Accent5 15" xfId="1005" xr:uid="{00000000-0005-0000-0000-0000E1030000}"/>
    <cellStyle name="60% - Accent5 16" xfId="1006" xr:uid="{00000000-0005-0000-0000-0000E2030000}"/>
    <cellStyle name="60% - Accent5 17" xfId="1007" xr:uid="{00000000-0005-0000-0000-0000E3030000}"/>
    <cellStyle name="60% - Accent5 18" xfId="1008" xr:uid="{00000000-0005-0000-0000-0000E4030000}"/>
    <cellStyle name="60% - Accent5 19" xfId="1009" xr:uid="{00000000-0005-0000-0000-0000E5030000}"/>
    <cellStyle name="60% - Accent5 2" xfId="1010" xr:uid="{00000000-0005-0000-0000-0000E6030000}"/>
    <cellStyle name="60% - Accent5 2 10" xfId="1011" xr:uid="{00000000-0005-0000-0000-0000E7030000}"/>
    <cellStyle name="60% - Accent5 2 2" xfId="1012" xr:uid="{00000000-0005-0000-0000-0000E8030000}"/>
    <cellStyle name="60% - Accent5 2 2 2" xfId="1013" xr:uid="{00000000-0005-0000-0000-0000E9030000}"/>
    <cellStyle name="60% - Accent5 2 2 2 2" xfId="1014" xr:uid="{00000000-0005-0000-0000-0000EA030000}"/>
    <cellStyle name="60% - Accent5 2 2 2 2 2" xfId="1015" xr:uid="{00000000-0005-0000-0000-0000EB030000}"/>
    <cellStyle name="60% - Accent5 2 2 2 2 3" xfId="1016" xr:uid="{00000000-0005-0000-0000-0000EC030000}"/>
    <cellStyle name="60% - Accent5 2 2 2 3" xfId="1017" xr:uid="{00000000-0005-0000-0000-0000ED030000}"/>
    <cellStyle name="60% - Accent5 2 2 2 4" xfId="1018" xr:uid="{00000000-0005-0000-0000-0000EE030000}"/>
    <cellStyle name="60% - Accent5 2 2 2 5" xfId="1019" xr:uid="{00000000-0005-0000-0000-0000EF030000}"/>
    <cellStyle name="60% - Accent5 2 2 2 6" xfId="1020" xr:uid="{00000000-0005-0000-0000-0000F0030000}"/>
    <cellStyle name="60% - Accent5 2 2 3" xfId="1021" xr:uid="{00000000-0005-0000-0000-0000F1030000}"/>
    <cellStyle name="60% - Accent5 2 2 4" xfId="1022" xr:uid="{00000000-0005-0000-0000-0000F2030000}"/>
    <cellStyle name="60% - Accent5 2 2 5" xfId="1023" xr:uid="{00000000-0005-0000-0000-0000F3030000}"/>
    <cellStyle name="60% - Accent5 2 2 6" xfId="1024" xr:uid="{00000000-0005-0000-0000-0000F4030000}"/>
    <cellStyle name="60% - Accent5 2 3" xfId="1025" xr:uid="{00000000-0005-0000-0000-0000F5030000}"/>
    <cellStyle name="60% - Accent5 2 4" xfId="1026" xr:uid="{00000000-0005-0000-0000-0000F6030000}"/>
    <cellStyle name="60% - Accent5 2 5" xfId="1027" xr:uid="{00000000-0005-0000-0000-0000F7030000}"/>
    <cellStyle name="60% - Accent5 2 6" xfId="1028" xr:uid="{00000000-0005-0000-0000-0000F8030000}"/>
    <cellStyle name="60% - Accent5 2 7" xfId="1029" xr:uid="{00000000-0005-0000-0000-0000F9030000}"/>
    <cellStyle name="60% - Accent5 2 8" xfId="1030" xr:uid="{00000000-0005-0000-0000-0000FA030000}"/>
    <cellStyle name="60% - Accent5 2 9" xfId="1031" xr:uid="{00000000-0005-0000-0000-0000FB030000}"/>
    <cellStyle name="60% - Accent5 20" xfId="1032" xr:uid="{00000000-0005-0000-0000-0000FC030000}"/>
    <cellStyle name="60% - Accent5 21" xfId="1033" xr:uid="{00000000-0005-0000-0000-0000FD030000}"/>
    <cellStyle name="60% - Accent5 22" xfId="1034" xr:uid="{00000000-0005-0000-0000-0000FE030000}"/>
    <cellStyle name="60% - Accent5 23" xfId="1035" xr:uid="{00000000-0005-0000-0000-0000FF030000}"/>
    <cellStyle name="60% - Accent5 3" xfId="1036" xr:uid="{00000000-0005-0000-0000-000000040000}"/>
    <cellStyle name="60% - Accent5 4" xfId="1037" xr:uid="{00000000-0005-0000-0000-000001040000}"/>
    <cellStyle name="60% - Accent5 5" xfId="1038" xr:uid="{00000000-0005-0000-0000-000002040000}"/>
    <cellStyle name="60% - Accent5 6" xfId="1039" xr:uid="{00000000-0005-0000-0000-000003040000}"/>
    <cellStyle name="60% - Accent5 7" xfId="1040" xr:uid="{00000000-0005-0000-0000-000004040000}"/>
    <cellStyle name="60% - Accent5 8" xfId="1041" xr:uid="{00000000-0005-0000-0000-000005040000}"/>
    <cellStyle name="60% - Accent5 9" xfId="1042" xr:uid="{00000000-0005-0000-0000-000006040000}"/>
    <cellStyle name="60% - Accent6 10" xfId="1043" xr:uid="{00000000-0005-0000-0000-000007040000}"/>
    <cellStyle name="60% - Accent6 11" xfId="1044" xr:uid="{00000000-0005-0000-0000-000008040000}"/>
    <cellStyle name="60% - Accent6 12" xfId="1045" xr:uid="{00000000-0005-0000-0000-000009040000}"/>
    <cellStyle name="60% - Accent6 13" xfId="1046" xr:uid="{00000000-0005-0000-0000-00000A040000}"/>
    <cellStyle name="60% - Accent6 14" xfId="1047" xr:uid="{00000000-0005-0000-0000-00000B040000}"/>
    <cellStyle name="60% - Accent6 15" xfId="1048" xr:uid="{00000000-0005-0000-0000-00000C040000}"/>
    <cellStyle name="60% - Accent6 16" xfId="1049" xr:uid="{00000000-0005-0000-0000-00000D040000}"/>
    <cellStyle name="60% - Accent6 17" xfId="1050" xr:uid="{00000000-0005-0000-0000-00000E040000}"/>
    <cellStyle name="60% - Accent6 18" xfId="1051" xr:uid="{00000000-0005-0000-0000-00000F040000}"/>
    <cellStyle name="60% - Accent6 19" xfId="1052" xr:uid="{00000000-0005-0000-0000-000010040000}"/>
    <cellStyle name="60% - Accent6 2" xfId="1053" xr:uid="{00000000-0005-0000-0000-000011040000}"/>
    <cellStyle name="60% - Accent6 2 10" xfId="1054" xr:uid="{00000000-0005-0000-0000-000012040000}"/>
    <cellStyle name="60% - Accent6 2 2" xfId="1055" xr:uid="{00000000-0005-0000-0000-000013040000}"/>
    <cellStyle name="60% - Accent6 2 2 2" xfId="1056" xr:uid="{00000000-0005-0000-0000-000014040000}"/>
    <cellStyle name="60% - Accent6 2 2 2 2" xfId="1057" xr:uid="{00000000-0005-0000-0000-000015040000}"/>
    <cellStyle name="60% - Accent6 2 2 2 2 2" xfId="1058" xr:uid="{00000000-0005-0000-0000-000016040000}"/>
    <cellStyle name="60% - Accent6 2 2 2 2 3" xfId="1059" xr:uid="{00000000-0005-0000-0000-000017040000}"/>
    <cellStyle name="60% - Accent6 2 2 2 3" xfId="1060" xr:uid="{00000000-0005-0000-0000-000018040000}"/>
    <cellStyle name="60% - Accent6 2 2 2 4" xfId="1061" xr:uid="{00000000-0005-0000-0000-000019040000}"/>
    <cellStyle name="60% - Accent6 2 2 2 5" xfId="1062" xr:uid="{00000000-0005-0000-0000-00001A040000}"/>
    <cellStyle name="60% - Accent6 2 2 2 6" xfId="1063" xr:uid="{00000000-0005-0000-0000-00001B040000}"/>
    <cellStyle name="60% - Accent6 2 2 3" xfId="1064" xr:uid="{00000000-0005-0000-0000-00001C040000}"/>
    <cellStyle name="60% - Accent6 2 2 4" xfId="1065" xr:uid="{00000000-0005-0000-0000-00001D040000}"/>
    <cellStyle name="60% - Accent6 2 2 5" xfId="1066" xr:uid="{00000000-0005-0000-0000-00001E040000}"/>
    <cellStyle name="60% - Accent6 2 2 6" xfId="1067" xr:uid="{00000000-0005-0000-0000-00001F040000}"/>
    <cellStyle name="60% - Accent6 2 3" xfId="1068" xr:uid="{00000000-0005-0000-0000-000020040000}"/>
    <cellStyle name="60% - Accent6 2 4" xfId="1069" xr:uid="{00000000-0005-0000-0000-000021040000}"/>
    <cellStyle name="60% - Accent6 2 5" xfId="1070" xr:uid="{00000000-0005-0000-0000-000022040000}"/>
    <cellStyle name="60% - Accent6 2 6" xfId="1071" xr:uid="{00000000-0005-0000-0000-000023040000}"/>
    <cellStyle name="60% - Accent6 2 7" xfId="1072" xr:uid="{00000000-0005-0000-0000-000024040000}"/>
    <cellStyle name="60% - Accent6 2 8" xfId="1073" xr:uid="{00000000-0005-0000-0000-000025040000}"/>
    <cellStyle name="60% - Accent6 2 9" xfId="1074" xr:uid="{00000000-0005-0000-0000-000026040000}"/>
    <cellStyle name="60% - Accent6 20" xfId="1075" xr:uid="{00000000-0005-0000-0000-000027040000}"/>
    <cellStyle name="60% - Accent6 21" xfId="1076" xr:uid="{00000000-0005-0000-0000-000028040000}"/>
    <cellStyle name="60% - Accent6 22" xfId="1077" xr:uid="{00000000-0005-0000-0000-000029040000}"/>
    <cellStyle name="60% - Accent6 23" xfId="1078" xr:uid="{00000000-0005-0000-0000-00002A040000}"/>
    <cellStyle name="60% - Accent6 3" xfId="1079" xr:uid="{00000000-0005-0000-0000-00002B040000}"/>
    <cellStyle name="60% - Accent6 4" xfId="1080" xr:uid="{00000000-0005-0000-0000-00002C040000}"/>
    <cellStyle name="60% - Accent6 5" xfId="1081" xr:uid="{00000000-0005-0000-0000-00002D040000}"/>
    <cellStyle name="60% - Accent6 6" xfId="1082" xr:uid="{00000000-0005-0000-0000-00002E040000}"/>
    <cellStyle name="60% - Accent6 7" xfId="1083" xr:uid="{00000000-0005-0000-0000-00002F040000}"/>
    <cellStyle name="60% - Accent6 8" xfId="1084" xr:uid="{00000000-0005-0000-0000-000030040000}"/>
    <cellStyle name="60% - Accent6 9" xfId="1085" xr:uid="{00000000-0005-0000-0000-000031040000}"/>
    <cellStyle name="Accent1 10" xfId="1086" xr:uid="{00000000-0005-0000-0000-000032040000}"/>
    <cellStyle name="Accent1 11" xfId="1087" xr:uid="{00000000-0005-0000-0000-000033040000}"/>
    <cellStyle name="Accent1 12" xfId="1088" xr:uid="{00000000-0005-0000-0000-000034040000}"/>
    <cellStyle name="Accent1 13" xfId="1089" xr:uid="{00000000-0005-0000-0000-000035040000}"/>
    <cellStyle name="Accent1 14" xfId="1090" xr:uid="{00000000-0005-0000-0000-000036040000}"/>
    <cellStyle name="Accent1 15" xfId="1091" xr:uid="{00000000-0005-0000-0000-000037040000}"/>
    <cellStyle name="Accent1 16" xfId="1092" xr:uid="{00000000-0005-0000-0000-000038040000}"/>
    <cellStyle name="Accent1 17" xfId="1093" xr:uid="{00000000-0005-0000-0000-000039040000}"/>
    <cellStyle name="Accent1 18" xfId="1094" xr:uid="{00000000-0005-0000-0000-00003A040000}"/>
    <cellStyle name="Accent1 19" xfId="1095" xr:uid="{00000000-0005-0000-0000-00003B040000}"/>
    <cellStyle name="Accent1 2" xfId="1096" xr:uid="{00000000-0005-0000-0000-00003C040000}"/>
    <cellStyle name="Accent1 2 10" xfId="1097" xr:uid="{00000000-0005-0000-0000-00003D040000}"/>
    <cellStyle name="Accent1 2 2" xfId="1098" xr:uid="{00000000-0005-0000-0000-00003E040000}"/>
    <cellStyle name="Accent1 2 2 2" xfId="1099" xr:uid="{00000000-0005-0000-0000-00003F040000}"/>
    <cellStyle name="Accent1 2 2 2 2" xfId="1100" xr:uid="{00000000-0005-0000-0000-000040040000}"/>
    <cellStyle name="Accent1 2 2 2 2 2" xfId="1101" xr:uid="{00000000-0005-0000-0000-000041040000}"/>
    <cellStyle name="Accent1 2 2 2 2 3" xfId="1102" xr:uid="{00000000-0005-0000-0000-000042040000}"/>
    <cellStyle name="Accent1 2 2 2 3" xfId="1103" xr:uid="{00000000-0005-0000-0000-000043040000}"/>
    <cellStyle name="Accent1 2 2 2 4" xfId="1104" xr:uid="{00000000-0005-0000-0000-000044040000}"/>
    <cellStyle name="Accent1 2 2 2 5" xfId="1105" xr:uid="{00000000-0005-0000-0000-000045040000}"/>
    <cellStyle name="Accent1 2 2 2 6" xfId="1106" xr:uid="{00000000-0005-0000-0000-000046040000}"/>
    <cellStyle name="Accent1 2 2 3" xfId="1107" xr:uid="{00000000-0005-0000-0000-000047040000}"/>
    <cellStyle name="Accent1 2 2 4" xfId="1108" xr:uid="{00000000-0005-0000-0000-000048040000}"/>
    <cellStyle name="Accent1 2 2 5" xfId="1109" xr:uid="{00000000-0005-0000-0000-000049040000}"/>
    <cellStyle name="Accent1 2 2 6" xfId="1110" xr:uid="{00000000-0005-0000-0000-00004A040000}"/>
    <cellStyle name="Accent1 2 3" xfId="1111" xr:uid="{00000000-0005-0000-0000-00004B040000}"/>
    <cellStyle name="Accent1 2 4" xfId="1112" xr:uid="{00000000-0005-0000-0000-00004C040000}"/>
    <cellStyle name="Accent1 2 5" xfId="1113" xr:uid="{00000000-0005-0000-0000-00004D040000}"/>
    <cellStyle name="Accent1 2 6" xfId="1114" xr:uid="{00000000-0005-0000-0000-00004E040000}"/>
    <cellStyle name="Accent1 2 7" xfId="1115" xr:uid="{00000000-0005-0000-0000-00004F040000}"/>
    <cellStyle name="Accent1 2 8" xfId="1116" xr:uid="{00000000-0005-0000-0000-000050040000}"/>
    <cellStyle name="Accent1 2 9" xfId="1117" xr:uid="{00000000-0005-0000-0000-000051040000}"/>
    <cellStyle name="Accent1 20" xfId="1118" xr:uid="{00000000-0005-0000-0000-000052040000}"/>
    <cellStyle name="Accent1 21" xfId="1119" xr:uid="{00000000-0005-0000-0000-000053040000}"/>
    <cellStyle name="Accent1 22" xfId="1120" xr:uid="{00000000-0005-0000-0000-000054040000}"/>
    <cellStyle name="Accent1 23" xfId="1121" xr:uid="{00000000-0005-0000-0000-000055040000}"/>
    <cellStyle name="Accent1 3" xfId="1122" xr:uid="{00000000-0005-0000-0000-000056040000}"/>
    <cellStyle name="Accent1 4" xfId="1123" xr:uid="{00000000-0005-0000-0000-000057040000}"/>
    <cellStyle name="Accent1 5" xfId="1124" xr:uid="{00000000-0005-0000-0000-000058040000}"/>
    <cellStyle name="Accent1 6" xfId="1125" xr:uid="{00000000-0005-0000-0000-000059040000}"/>
    <cellStyle name="Accent1 7" xfId="1126" xr:uid="{00000000-0005-0000-0000-00005A040000}"/>
    <cellStyle name="Accent1 8" xfId="1127" xr:uid="{00000000-0005-0000-0000-00005B040000}"/>
    <cellStyle name="Accent1 9" xfId="1128" xr:uid="{00000000-0005-0000-0000-00005C040000}"/>
    <cellStyle name="Accent2 10" xfId="1129" xr:uid="{00000000-0005-0000-0000-00005D040000}"/>
    <cellStyle name="Accent2 11" xfId="1130" xr:uid="{00000000-0005-0000-0000-00005E040000}"/>
    <cellStyle name="Accent2 12" xfId="1131" xr:uid="{00000000-0005-0000-0000-00005F040000}"/>
    <cellStyle name="Accent2 13" xfId="1132" xr:uid="{00000000-0005-0000-0000-000060040000}"/>
    <cellStyle name="Accent2 14" xfId="1133" xr:uid="{00000000-0005-0000-0000-000061040000}"/>
    <cellStyle name="Accent2 15" xfId="1134" xr:uid="{00000000-0005-0000-0000-000062040000}"/>
    <cellStyle name="Accent2 16" xfId="1135" xr:uid="{00000000-0005-0000-0000-000063040000}"/>
    <cellStyle name="Accent2 17" xfId="1136" xr:uid="{00000000-0005-0000-0000-000064040000}"/>
    <cellStyle name="Accent2 18" xfId="1137" xr:uid="{00000000-0005-0000-0000-000065040000}"/>
    <cellStyle name="Accent2 19" xfId="1138" xr:uid="{00000000-0005-0000-0000-000066040000}"/>
    <cellStyle name="Accent2 2" xfId="1139" xr:uid="{00000000-0005-0000-0000-000067040000}"/>
    <cellStyle name="Accent2 2 10" xfId="1140" xr:uid="{00000000-0005-0000-0000-000068040000}"/>
    <cellStyle name="Accent2 2 2" xfId="1141" xr:uid="{00000000-0005-0000-0000-000069040000}"/>
    <cellStyle name="Accent2 2 2 2" xfId="1142" xr:uid="{00000000-0005-0000-0000-00006A040000}"/>
    <cellStyle name="Accent2 2 2 2 2" xfId="1143" xr:uid="{00000000-0005-0000-0000-00006B040000}"/>
    <cellStyle name="Accent2 2 2 2 2 2" xfId="1144" xr:uid="{00000000-0005-0000-0000-00006C040000}"/>
    <cellStyle name="Accent2 2 2 2 2 3" xfId="1145" xr:uid="{00000000-0005-0000-0000-00006D040000}"/>
    <cellStyle name="Accent2 2 2 2 3" xfId="1146" xr:uid="{00000000-0005-0000-0000-00006E040000}"/>
    <cellStyle name="Accent2 2 2 2 4" xfId="1147" xr:uid="{00000000-0005-0000-0000-00006F040000}"/>
    <cellStyle name="Accent2 2 2 2 5" xfId="1148" xr:uid="{00000000-0005-0000-0000-000070040000}"/>
    <cellStyle name="Accent2 2 2 2 6" xfId="1149" xr:uid="{00000000-0005-0000-0000-000071040000}"/>
    <cellStyle name="Accent2 2 2 3" xfId="1150" xr:uid="{00000000-0005-0000-0000-000072040000}"/>
    <cellStyle name="Accent2 2 2 4" xfId="1151" xr:uid="{00000000-0005-0000-0000-000073040000}"/>
    <cellStyle name="Accent2 2 2 5" xfId="1152" xr:uid="{00000000-0005-0000-0000-000074040000}"/>
    <cellStyle name="Accent2 2 2 6" xfId="1153" xr:uid="{00000000-0005-0000-0000-000075040000}"/>
    <cellStyle name="Accent2 2 3" xfId="1154" xr:uid="{00000000-0005-0000-0000-000076040000}"/>
    <cellStyle name="Accent2 2 4" xfId="1155" xr:uid="{00000000-0005-0000-0000-000077040000}"/>
    <cellStyle name="Accent2 2 5" xfId="1156" xr:uid="{00000000-0005-0000-0000-000078040000}"/>
    <cellStyle name="Accent2 2 6" xfId="1157" xr:uid="{00000000-0005-0000-0000-000079040000}"/>
    <cellStyle name="Accent2 2 7" xfId="1158" xr:uid="{00000000-0005-0000-0000-00007A040000}"/>
    <cellStyle name="Accent2 2 8" xfId="1159" xr:uid="{00000000-0005-0000-0000-00007B040000}"/>
    <cellStyle name="Accent2 2 9" xfId="1160" xr:uid="{00000000-0005-0000-0000-00007C040000}"/>
    <cellStyle name="Accent2 20" xfId="1161" xr:uid="{00000000-0005-0000-0000-00007D040000}"/>
    <cellStyle name="Accent2 21" xfId="1162" xr:uid="{00000000-0005-0000-0000-00007E040000}"/>
    <cellStyle name="Accent2 22" xfId="1163" xr:uid="{00000000-0005-0000-0000-00007F040000}"/>
    <cellStyle name="Accent2 23" xfId="1164" xr:uid="{00000000-0005-0000-0000-000080040000}"/>
    <cellStyle name="Accent2 3" xfId="1165" xr:uid="{00000000-0005-0000-0000-000081040000}"/>
    <cellStyle name="Accent2 4" xfId="1166" xr:uid="{00000000-0005-0000-0000-000082040000}"/>
    <cellStyle name="Accent2 5" xfId="1167" xr:uid="{00000000-0005-0000-0000-000083040000}"/>
    <cellStyle name="Accent2 6" xfId="1168" xr:uid="{00000000-0005-0000-0000-000084040000}"/>
    <cellStyle name="Accent2 7" xfId="1169" xr:uid="{00000000-0005-0000-0000-000085040000}"/>
    <cellStyle name="Accent2 8" xfId="1170" xr:uid="{00000000-0005-0000-0000-000086040000}"/>
    <cellStyle name="Accent2 9" xfId="1171" xr:uid="{00000000-0005-0000-0000-000087040000}"/>
    <cellStyle name="Accent3 10" xfId="1172" xr:uid="{00000000-0005-0000-0000-000088040000}"/>
    <cellStyle name="Accent3 11" xfId="1173" xr:uid="{00000000-0005-0000-0000-000089040000}"/>
    <cellStyle name="Accent3 12" xfId="1174" xr:uid="{00000000-0005-0000-0000-00008A040000}"/>
    <cellStyle name="Accent3 13" xfId="1175" xr:uid="{00000000-0005-0000-0000-00008B040000}"/>
    <cellStyle name="Accent3 14" xfId="1176" xr:uid="{00000000-0005-0000-0000-00008C040000}"/>
    <cellStyle name="Accent3 15" xfId="1177" xr:uid="{00000000-0005-0000-0000-00008D040000}"/>
    <cellStyle name="Accent3 16" xfId="1178" xr:uid="{00000000-0005-0000-0000-00008E040000}"/>
    <cellStyle name="Accent3 17" xfId="1179" xr:uid="{00000000-0005-0000-0000-00008F040000}"/>
    <cellStyle name="Accent3 18" xfId="1180" xr:uid="{00000000-0005-0000-0000-000090040000}"/>
    <cellStyle name="Accent3 19" xfId="1181" xr:uid="{00000000-0005-0000-0000-000091040000}"/>
    <cellStyle name="Accent3 2" xfId="1182" xr:uid="{00000000-0005-0000-0000-000092040000}"/>
    <cellStyle name="Accent3 2 10" xfId="1183" xr:uid="{00000000-0005-0000-0000-000093040000}"/>
    <cellStyle name="Accent3 2 2" xfId="1184" xr:uid="{00000000-0005-0000-0000-000094040000}"/>
    <cellStyle name="Accent3 2 2 2" xfId="1185" xr:uid="{00000000-0005-0000-0000-000095040000}"/>
    <cellStyle name="Accent3 2 2 2 2" xfId="1186" xr:uid="{00000000-0005-0000-0000-000096040000}"/>
    <cellStyle name="Accent3 2 2 2 2 2" xfId="1187" xr:uid="{00000000-0005-0000-0000-000097040000}"/>
    <cellStyle name="Accent3 2 2 2 2 3" xfId="1188" xr:uid="{00000000-0005-0000-0000-000098040000}"/>
    <cellStyle name="Accent3 2 2 2 3" xfId="1189" xr:uid="{00000000-0005-0000-0000-000099040000}"/>
    <cellStyle name="Accent3 2 2 2 4" xfId="1190" xr:uid="{00000000-0005-0000-0000-00009A040000}"/>
    <cellStyle name="Accent3 2 2 2 5" xfId="1191" xr:uid="{00000000-0005-0000-0000-00009B040000}"/>
    <cellStyle name="Accent3 2 2 2 6" xfId="1192" xr:uid="{00000000-0005-0000-0000-00009C040000}"/>
    <cellStyle name="Accent3 2 2 3" xfId="1193" xr:uid="{00000000-0005-0000-0000-00009D040000}"/>
    <cellStyle name="Accent3 2 2 4" xfId="1194" xr:uid="{00000000-0005-0000-0000-00009E040000}"/>
    <cellStyle name="Accent3 2 2 5" xfId="1195" xr:uid="{00000000-0005-0000-0000-00009F040000}"/>
    <cellStyle name="Accent3 2 2 6" xfId="1196" xr:uid="{00000000-0005-0000-0000-0000A0040000}"/>
    <cellStyle name="Accent3 2 3" xfId="1197" xr:uid="{00000000-0005-0000-0000-0000A1040000}"/>
    <cellStyle name="Accent3 2 4" xfId="1198" xr:uid="{00000000-0005-0000-0000-0000A2040000}"/>
    <cellStyle name="Accent3 2 5" xfId="1199" xr:uid="{00000000-0005-0000-0000-0000A3040000}"/>
    <cellStyle name="Accent3 2 6" xfId="1200" xr:uid="{00000000-0005-0000-0000-0000A4040000}"/>
    <cellStyle name="Accent3 2 7" xfId="1201" xr:uid="{00000000-0005-0000-0000-0000A5040000}"/>
    <cellStyle name="Accent3 2 8" xfId="1202" xr:uid="{00000000-0005-0000-0000-0000A6040000}"/>
    <cellStyle name="Accent3 2 9" xfId="1203" xr:uid="{00000000-0005-0000-0000-0000A7040000}"/>
    <cellStyle name="Accent3 20" xfId="1204" xr:uid="{00000000-0005-0000-0000-0000A8040000}"/>
    <cellStyle name="Accent3 21" xfId="1205" xr:uid="{00000000-0005-0000-0000-0000A9040000}"/>
    <cellStyle name="Accent3 22" xfId="1206" xr:uid="{00000000-0005-0000-0000-0000AA040000}"/>
    <cellStyle name="Accent3 23" xfId="1207" xr:uid="{00000000-0005-0000-0000-0000AB040000}"/>
    <cellStyle name="Accent3 3" xfId="1208" xr:uid="{00000000-0005-0000-0000-0000AC040000}"/>
    <cellStyle name="Accent3 4" xfId="1209" xr:uid="{00000000-0005-0000-0000-0000AD040000}"/>
    <cellStyle name="Accent3 5" xfId="1210" xr:uid="{00000000-0005-0000-0000-0000AE040000}"/>
    <cellStyle name="Accent3 6" xfId="1211" xr:uid="{00000000-0005-0000-0000-0000AF040000}"/>
    <cellStyle name="Accent3 7" xfId="1212" xr:uid="{00000000-0005-0000-0000-0000B0040000}"/>
    <cellStyle name="Accent3 8" xfId="1213" xr:uid="{00000000-0005-0000-0000-0000B1040000}"/>
    <cellStyle name="Accent3 9" xfId="1214" xr:uid="{00000000-0005-0000-0000-0000B2040000}"/>
    <cellStyle name="Accent4 10" xfId="1215" xr:uid="{00000000-0005-0000-0000-0000B3040000}"/>
    <cellStyle name="Accent4 11" xfId="1216" xr:uid="{00000000-0005-0000-0000-0000B4040000}"/>
    <cellStyle name="Accent4 12" xfId="1217" xr:uid="{00000000-0005-0000-0000-0000B5040000}"/>
    <cellStyle name="Accent4 13" xfId="1218" xr:uid="{00000000-0005-0000-0000-0000B6040000}"/>
    <cellStyle name="Accent4 14" xfId="1219" xr:uid="{00000000-0005-0000-0000-0000B7040000}"/>
    <cellStyle name="Accent4 15" xfId="1220" xr:uid="{00000000-0005-0000-0000-0000B8040000}"/>
    <cellStyle name="Accent4 16" xfId="1221" xr:uid="{00000000-0005-0000-0000-0000B9040000}"/>
    <cellStyle name="Accent4 17" xfId="1222" xr:uid="{00000000-0005-0000-0000-0000BA040000}"/>
    <cellStyle name="Accent4 18" xfId="1223" xr:uid="{00000000-0005-0000-0000-0000BB040000}"/>
    <cellStyle name="Accent4 19" xfId="1224" xr:uid="{00000000-0005-0000-0000-0000BC040000}"/>
    <cellStyle name="Accent4 2" xfId="1225" xr:uid="{00000000-0005-0000-0000-0000BD040000}"/>
    <cellStyle name="Accent4 2 10" xfId="1226" xr:uid="{00000000-0005-0000-0000-0000BE040000}"/>
    <cellStyle name="Accent4 2 2" xfId="1227" xr:uid="{00000000-0005-0000-0000-0000BF040000}"/>
    <cellStyle name="Accent4 2 2 2" xfId="1228" xr:uid="{00000000-0005-0000-0000-0000C0040000}"/>
    <cellStyle name="Accent4 2 2 2 2" xfId="1229" xr:uid="{00000000-0005-0000-0000-0000C1040000}"/>
    <cellStyle name="Accent4 2 2 2 2 2" xfId="1230" xr:uid="{00000000-0005-0000-0000-0000C2040000}"/>
    <cellStyle name="Accent4 2 2 2 2 3" xfId="1231" xr:uid="{00000000-0005-0000-0000-0000C3040000}"/>
    <cellStyle name="Accent4 2 2 2 3" xfId="1232" xr:uid="{00000000-0005-0000-0000-0000C4040000}"/>
    <cellStyle name="Accent4 2 2 2 4" xfId="1233" xr:uid="{00000000-0005-0000-0000-0000C5040000}"/>
    <cellStyle name="Accent4 2 2 2 5" xfId="1234" xr:uid="{00000000-0005-0000-0000-0000C6040000}"/>
    <cellStyle name="Accent4 2 2 2 6" xfId="1235" xr:uid="{00000000-0005-0000-0000-0000C7040000}"/>
    <cellStyle name="Accent4 2 2 3" xfId="1236" xr:uid="{00000000-0005-0000-0000-0000C8040000}"/>
    <cellStyle name="Accent4 2 2 4" xfId="1237" xr:uid="{00000000-0005-0000-0000-0000C9040000}"/>
    <cellStyle name="Accent4 2 2 5" xfId="1238" xr:uid="{00000000-0005-0000-0000-0000CA040000}"/>
    <cellStyle name="Accent4 2 2 6" xfId="1239" xr:uid="{00000000-0005-0000-0000-0000CB040000}"/>
    <cellStyle name="Accent4 2 3" xfId="1240" xr:uid="{00000000-0005-0000-0000-0000CC040000}"/>
    <cellStyle name="Accent4 2 4" xfId="1241" xr:uid="{00000000-0005-0000-0000-0000CD040000}"/>
    <cellStyle name="Accent4 2 5" xfId="1242" xr:uid="{00000000-0005-0000-0000-0000CE040000}"/>
    <cellStyle name="Accent4 2 6" xfId="1243" xr:uid="{00000000-0005-0000-0000-0000CF040000}"/>
    <cellStyle name="Accent4 2 7" xfId="1244" xr:uid="{00000000-0005-0000-0000-0000D0040000}"/>
    <cellStyle name="Accent4 2 8" xfId="1245" xr:uid="{00000000-0005-0000-0000-0000D1040000}"/>
    <cellStyle name="Accent4 2 9" xfId="1246" xr:uid="{00000000-0005-0000-0000-0000D2040000}"/>
    <cellStyle name="Accent4 20" xfId="1247" xr:uid="{00000000-0005-0000-0000-0000D3040000}"/>
    <cellStyle name="Accent4 21" xfId="1248" xr:uid="{00000000-0005-0000-0000-0000D4040000}"/>
    <cellStyle name="Accent4 22" xfId="1249" xr:uid="{00000000-0005-0000-0000-0000D5040000}"/>
    <cellStyle name="Accent4 23" xfId="1250" xr:uid="{00000000-0005-0000-0000-0000D6040000}"/>
    <cellStyle name="Accent4 3" xfId="1251" xr:uid="{00000000-0005-0000-0000-0000D7040000}"/>
    <cellStyle name="Accent4 4" xfId="1252" xr:uid="{00000000-0005-0000-0000-0000D8040000}"/>
    <cellStyle name="Accent4 5" xfId="1253" xr:uid="{00000000-0005-0000-0000-0000D9040000}"/>
    <cellStyle name="Accent4 6" xfId="1254" xr:uid="{00000000-0005-0000-0000-0000DA040000}"/>
    <cellStyle name="Accent4 7" xfId="1255" xr:uid="{00000000-0005-0000-0000-0000DB040000}"/>
    <cellStyle name="Accent4 8" xfId="1256" xr:uid="{00000000-0005-0000-0000-0000DC040000}"/>
    <cellStyle name="Accent4 9" xfId="1257" xr:uid="{00000000-0005-0000-0000-0000DD040000}"/>
    <cellStyle name="Accent5 10" xfId="1258" xr:uid="{00000000-0005-0000-0000-0000DE040000}"/>
    <cellStyle name="Accent5 11" xfId="1259" xr:uid="{00000000-0005-0000-0000-0000DF040000}"/>
    <cellStyle name="Accent5 12" xfId="1260" xr:uid="{00000000-0005-0000-0000-0000E0040000}"/>
    <cellStyle name="Accent5 13" xfId="1261" xr:uid="{00000000-0005-0000-0000-0000E1040000}"/>
    <cellStyle name="Accent5 14" xfId="1262" xr:uid="{00000000-0005-0000-0000-0000E2040000}"/>
    <cellStyle name="Accent5 15" xfId="1263" xr:uid="{00000000-0005-0000-0000-0000E3040000}"/>
    <cellStyle name="Accent5 16" xfId="1264" xr:uid="{00000000-0005-0000-0000-0000E4040000}"/>
    <cellStyle name="Accent5 17" xfId="1265" xr:uid="{00000000-0005-0000-0000-0000E5040000}"/>
    <cellStyle name="Accent5 18" xfId="1266" xr:uid="{00000000-0005-0000-0000-0000E6040000}"/>
    <cellStyle name="Accent5 19" xfId="1267" xr:uid="{00000000-0005-0000-0000-0000E7040000}"/>
    <cellStyle name="Accent5 2" xfId="1268" xr:uid="{00000000-0005-0000-0000-0000E8040000}"/>
    <cellStyle name="Accent5 2 10" xfId="1269" xr:uid="{00000000-0005-0000-0000-0000E9040000}"/>
    <cellStyle name="Accent5 2 2" xfId="1270" xr:uid="{00000000-0005-0000-0000-0000EA040000}"/>
    <cellStyle name="Accent5 2 2 2" xfId="1271" xr:uid="{00000000-0005-0000-0000-0000EB040000}"/>
    <cellStyle name="Accent5 2 2 2 2" xfId="1272" xr:uid="{00000000-0005-0000-0000-0000EC040000}"/>
    <cellStyle name="Accent5 2 2 2 2 2" xfId="1273" xr:uid="{00000000-0005-0000-0000-0000ED040000}"/>
    <cellStyle name="Accent5 2 2 2 2 3" xfId="1274" xr:uid="{00000000-0005-0000-0000-0000EE040000}"/>
    <cellStyle name="Accent5 2 2 2 3" xfId="1275" xr:uid="{00000000-0005-0000-0000-0000EF040000}"/>
    <cellStyle name="Accent5 2 2 2 4" xfId="1276" xr:uid="{00000000-0005-0000-0000-0000F0040000}"/>
    <cellStyle name="Accent5 2 2 2 5" xfId="1277" xr:uid="{00000000-0005-0000-0000-0000F1040000}"/>
    <cellStyle name="Accent5 2 2 2 6" xfId="1278" xr:uid="{00000000-0005-0000-0000-0000F2040000}"/>
    <cellStyle name="Accent5 2 2 3" xfId="1279" xr:uid="{00000000-0005-0000-0000-0000F3040000}"/>
    <cellStyle name="Accent5 2 2 4" xfId="1280" xr:uid="{00000000-0005-0000-0000-0000F4040000}"/>
    <cellStyle name="Accent5 2 2 5" xfId="1281" xr:uid="{00000000-0005-0000-0000-0000F5040000}"/>
    <cellStyle name="Accent5 2 2 6" xfId="1282" xr:uid="{00000000-0005-0000-0000-0000F6040000}"/>
    <cellStyle name="Accent5 2 3" xfId="1283" xr:uid="{00000000-0005-0000-0000-0000F7040000}"/>
    <cellStyle name="Accent5 2 4" xfId="1284" xr:uid="{00000000-0005-0000-0000-0000F8040000}"/>
    <cellStyle name="Accent5 2 5" xfId="1285" xr:uid="{00000000-0005-0000-0000-0000F9040000}"/>
    <cellStyle name="Accent5 2 6" xfId="1286" xr:uid="{00000000-0005-0000-0000-0000FA040000}"/>
    <cellStyle name="Accent5 2 7" xfId="1287" xr:uid="{00000000-0005-0000-0000-0000FB040000}"/>
    <cellStyle name="Accent5 2 8" xfId="1288" xr:uid="{00000000-0005-0000-0000-0000FC040000}"/>
    <cellStyle name="Accent5 2 9" xfId="1289" xr:uid="{00000000-0005-0000-0000-0000FD040000}"/>
    <cellStyle name="Accent5 20" xfId="1290" xr:uid="{00000000-0005-0000-0000-0000FE040000}"/>
    <cellStyle name="Accent5 21" xfId="1291" xr:uid="{00000000-0005-0000-0000-0000FF040000}"/>
    <cellStyle name="Accent5 22" xfId="1292" xr:uid="{00000000-0005-0000-0000-000000050000}"/>
    <cellStyle name="Accent5 23" xfId="1293" xr:uid="{00000000-0005-0000-0000-000001050000}"/>
    <cellStyle name="Accent5 3" xfId="1294" xr:uid="{00000000-0005-0000-0000-000002050000}"/>
    <cellStyle name="Accent5 4" xfId="1295" xr:uid="{00000000-0005-0000-0000-000003050000}"/>
    <cellStyle name="Accent5 5" xfId="1296" xr:uid="{00000000-0005-0000-0000-000004050000}"/>
    <cellStyle name="Accent5 6" xfId="1297" xr:uid="{00000000-0005-0000-0000-000005050000}"/>
    <cellStyle name="Accent5 7" xfId="1298" xr:uid="{00000000-0005-0000-0000-000006050000}"/>
    <cellStyle name="Accent5 8" xfId="1299" xr:uid="{00000000-0005-0000-0000-000007050000}"/>
    <cellStyle name="Accent5 9" xfId="1300" xr:uid="{00000000-0005-0000-0000-000008050000}"/>
    <cellStyle name="Accent6 10" xfId="1301" xr:uid="{00000000-0005-0000-0000-000009050000}"/>
    <cellStyle name="Accent6 11" xfId="1302" xr:uid="{00000000-0005-0000-0000-00000A050000}"/>
    <cellStyle name="Accent6 12" xfId="1303" xr:uid="{00000000-0005-0000-0000-00000B050000}"/>
    <cellStyle name="Accent6 13" xfId="1304" xr:uid="{00000000-0005-0000-0000-00000C050000}"/>
    <cellStyle name="Accent6 14" xfId="1305" xr:uid="{00000000-0005-0000-0000-00000D050000}"/>
    <cellStyle name="Accent6 15" xfId="1306" xr:uid="{00000000-0005-0000-0000-00000E050000}"/>
    <cellStyle name="Accent6 16" xfId="1307" xr:uid="{00000000-0005-0000-0000-00000F050000}"/>
    <cellStyle name="Accent6 17" xfId="1308" xr:uid="{00000000-0005-0000-0000-000010050000}"/>
    <cellStyle name="Accent6 18" xfId="1309" xr:uid="{00000000-0005-0000-0000-000011050000}"/>
    <cellStyle name="Accent6 19" xfId="1310" xr:uid="{00000000-0005-0000-0000-000012050000}"/>
    <cellStyle name="Accent6 2" xfId="1311" xr:uid="{00000000-0005-0000-0000-000013050000}"/>
    <cellStyle name="Accent6 2 10" xfId="1312" xr:uid="{00000000-0005-0000-0000-000014050000}"/>
    <cellStyle name="Accent6 2 2" xfId="1313" xr:uid="{00000000-0005-0000-0000-000015050000}"/>
    <cellStyle name="Accent6 2 2 2" xfId="1314" xr:uid="{00000000-0005-0000-0000-000016050000}"/>
    <cellStyle name="Accent6 2 2 2 2" xfId="1315" xr:uid="{00000000-0005-0000-0000-000017050000}"/>
    <cellStyle name="Accent6 2 2 2 2 2" xfId="1316" xr:uid="{00000000-0005-0000-0000-000018050000}"/>
    <cellStyle name="Accent6 2 2 2 2 3" xfId="1317" xr:uid="{00000000-0005-0000-0000-000019050000}"/>
    <cellStyle name="Accent6 2 2 2 3" xfId="1318" xr:uid="{00000000-0005-0000-0000-00001A050000}"/>
    <cellStyle name="Accent6 2 2 2 4" xfId="1319" xr:uid="{00000000-0005-0000-0000-00001B050000}"/>
    <cellStyle name="Accent6 2 2 2 5" xfId="1320" xr:uid="{00000000-0005-0000-0000-00001C050000}"/>
    <cellStyle name="Accent6 2 2 2 6" xfId="1321" xr:uid="{00000000-0005-0000-0000-00001D050000}"/>
    <cellStyle name="Accent6 2 2 3" xfId="1322" xr:uid="{00000000-0005-0000-0000-00001E050000}"/>
    <cellStyle name="Accent6 2 2 4" xfId="1323" xr:uid="{00000000-0005-0000-0000-00001F050000}"/>
    <cellStyle name="Accent6 2 2 5" xfId="1324" xr:uid="{00000000-0005-0000-0000-000020050000}"/>
    <cellStyle name="Accent6 2 2 6" xfId="1325" xr:uid="{00000000-0005-0000-0000-000021050000}"/>
    <cellStyle name="Accent6 2 3" xfId="1326" xr:uid="{00000000-0005-0000-0000-000022050000}"/>
    <cellStyle name="Accent6 2 4" xfId="1327" xr:uid="{00000000-0005-0000-0000-000023050000}"/>
    <cellStyle name="Accent6 2 5" xfId="1328" xr:uid="{00000000-0005-0000-0000-000024050000}"/>
    <cellStyle name="Accent6 2 6" xfId="1329" xr:uid="{00000000-0005-0000-0000-000025050000}"/>
    <cellStyle name="Accent6 2 7" xfId="1330" xr:uid="{00000000-0005-0000-0000-000026050000}"/>
    <cellStyle name="Accent6 2 8" xfId="1331" xr:uid="{00000000-0005-0000-0000-000027050000}"/>
    <cellStyle name="Accent6 2 9" xfId="1332" xr:uid="{00000000-0005-0000-0000-000028050000}"/>
    <cellStyle name="Accent6 20" xfId="1333" xr:uid="{00000000-0005-0000-0000-000029050000}"/>
    <cellStyle name="Accent6 21" xfId="1334" xr:uid="{00000000-0005-0000-0000-00002A050000}"/>
    <cellStyle name="Accent6 22" xfId="1335" xr:uid="{00000000-0005-0000-0000-00002B050000}"/>
    <cellStyle name="Accent6 23" xfId="1336" xr:uid="{00000000-0005-0000-0000-00002C050000}"/>
    <cellStyle name="Accent6 3" xfId="1337" xr:uid="{00000000-0005-0000-0000-00002D050000}"/>
    <cellStyle name="Accent6 4" xfId="1338" xr:uid="{00000000-0005-0000-0000-00002E050000}"/>
    <cellStyle name="Accent6 5" xfId="1339" xr:uid="{00000000-0005-0000-0000-00002F050000}"/>
    <cellStyle name="Accent6 6" xfId="1340" xr:uid="{00000000-0005-0000-0000-000030050000}"/>
    <cellStyle name="Accent6 7" xfId="1341" xr:uid="{00000000-0005-0000-0000-000031050000}"/>
    <cellStyle name="Accent6 8" xfId="1342" xr:uid="{00000000-0005-0000-0000-000032050000}"/>
    <cellStyle name="Accent6 9" xfId="1343" xr:uid="{00000000-0005-0000-0000-000033050000}"/>
    <cellStyle name="Bad 10" xfId="1344" xr:uid="{00000000-0005-0000-0000-000034050000}"/>
    <cellStyle name="Bad 11" xfId="1345" xr:uid="{00000000-0005-0000-0000-000035050000}"/>
    <cellStyle name="Bad 12" xfId="1346" xr:uid="{00000000-0005-0000-0000-000036050000}"/>
    <cellStyle name="Bad 13" xfId="1347" xr:uid="{00000000-0005-0000-0000-000037050000}"/>
    <cellStyle name="Bad 14" xfId="1348" xr:uid="{00000000-0005-0000-0000-000038050000}"/>
    <cellStyle name="Bad 15" xfId="1349" xr:uid="{00000000-0005-0000-0000-000039050000}"/>
    <cellStyle name="Bad 16" xfId="1350" xr:uid="{00000000-0005-0000-0000-00003A050000}"/>
    <cellStyle name="Bad 17" xfId="1351" xr:uid="{00000000-0005-0000-0000-00003B050000}"/>
    <cellStyle name="Bad 18" xfId="1352" xr:uid="{00000000-0005-0000-0000-00003C050000}"/>
    <cellStyle name="Bad 19" xfId="1353" xr:uid="{00000000-0005-0000-0000-00003D050000}"/>
    <cellStyle name="Bad 2" xfId="1354" xr:uid="{00000000-0005-0000-0000-00003E050000}"/>
    <cellStyle name="Bad 2 10" xfId="1355" xr:uid="{00000000-0005-0000-0000-00003F050000}"/>
    <cellStyle name="Bad 2 2" xfId="1356" xr:uid="{00000000-0005-0000-0000-000040050000}"/>
    <cellStyle name="Bad 2 2 2" xfId="1357" xr:uid="{00000000-0005-0000-0000-000041050000}"/>
    <cellStyle name="Bad 2 2 2 2" xfId="1358" xr:uid="{00000000-0005-0000-0000-000042050000}"/>
    <cellStyle name="Bad 2 2 2 2 2" xfId="1359" xr:uid="{00000000-0005-0000-0000-000043050000}"/>
    <cellStyle name="Bad 2 2 2 2 3" xfId="1360" xr:uid="{00000000-0005-0000-0000-000044050000}"/>
    <cellStyle name="Bad 2 2 2 3" xfId="1361" xr:uid="{00000000-0005-0000-0000-000045050000}"/>
    <cellStyle name="Bad 2 2 2 4" xfId="1362" xr:uid="{00000000-0005-0000-0000-000046050000}"/>
    <cellStyle name="Bad 2 2 2 5" xfId="1363" xr:uid="{00000000-0005-0000-0000-000047050000}"/>
    <cellStyle name="Bad 2 2 2 6" xfId="1364" xr:uid="{00000000-0005-0000-0000-000048050000}"/>
    <cellStyle name="Bad 2 2 3" xfId="1365" xr:uid="{00000000-0005-0000-0000-000049050000}"/>
    <cellStyle name="Bad 2 2 4" xfId="1366" xr:uid="{00000000-0005-0000-0000-00004A050000}"/>
    <cellStyle name="Bad 2 2 5" xfId="1367" xr:uid="{00000000-0005-0000-0000-00004B050000}"/>
    <cellStyle name="Bad 2 2 6" xfId="1368" xr:uid="{00000000-0005-0000-0000-00004C050000}"/>
    <cellStyle name="Bad 2 3" xfId="1369" xr:uid="{00000000-0005-0000-0000-00004D050000}"/>
    <cellStyle name="Bad 2 4" xfId="1370" xr:uid="{00000000-0005-0000-0000-00004E050000}"/>
    <cellStyle name="Bad 2 5" xfId="1371" xr:uid="{00000000-0005-0000-0000-00004F050000}"/>
    <cellStyle name="Bad 2 6" xfId="1372" xr:uid="{00000000-0005-0000-0000-000050050000}"/>
    <cellStyle name="Bad 2 7" xfId="1373" xr:uid="{00000000-0005-0000-0000-000051050000}"/>
    <cellStyle name="Bad 2 8" xfId="1374" xr:uid="{00000000-0005-0000-0000-000052050000}"/>
    <cellStyle name="Bad 2 9" xfId="1375" xr:uid="{00000000-0005-0000-0000-000053050000}"/>
    <cellStyle name="Bad 20" xfId="1376" xr:uid="{00000000-0005-0000-0000-000054050000}"/>
    <cellStyle name="Bad 21" xfId="1377" xr:uid="{00000000-0005-0000-0000-000055050000}"/>
    <cellStyle name="Bad 22" xfId="1378" xr:uid="{00000000-0005-0000-0000-000056050000}"/>
    <cellStyle name="Bad 23" xfId="1379" xr:uid="{00000000-0005-0000-0000-000057050000}"/>
    <cellStyle name="Bad 3" xfId="1380" xr:uid="{00000000-0005-0000-0000-000058050000}"/>
    <cellStyle name="Bad 4" xfId="1381" xr:uid="{00000000-0005-0000-0000-000059050000}"/>
    <cellStyle name="Bad 5" xfId="1382" xr:uid="{00000000-0005-0000-0000-00005A050000}"/>
    <cellStyle name="Bad 6" xfId="1383" xr:uid="{00000000-0005-0000-0000-00005B050000}"/>
    <cellStyle name="Bad 7" xfId="1384" xr:uid="{00000000-0005-0000-0000-00005C050000}"/>
    <cellStyle name="Bad 8" xfId="1385" xr:uid="{00000000-0005-0000-0000-00005D050000}"/>
    <cellStyle name="Bad 9" xfId="1386" xr:uid="{00000000-0005-0000-0000-00005E050000}"/>
    <cellStyle name="Calculation 10" xfId="1387" xr:uid="{00000000-0005-0000-0000-00005F050000}"/>
    <cellStyle name="Calculation 11" xfId="1388" xr:uid="{00000000-0005-0000-0000-000060050000}"/>
    <cellStyle name="Calculation 12" xfId="1389" xr:uid="{00000000-0005-0000-0000-000061050000}"/>
    <cellStyle name="Calculation 13" xfId="1390" xr:uid="{00000000-0005-0000-0000-000062050000}"/>
    <cellStyle name="Calculation 14" xfId="1391" xr:uid="{00000000-0005-0000-0000-000063050000}"/>
    <cellStyle name="Calculation 15" xfId="1392" xr:uid="{00000000-0005-0000-0000-000064050000}"/>
    <cellStyle name="Calculation 16" xfId="1393" xr:uid="{00000000-0005-0000-0000-000065050000}"/>
    <cellStyle name="Calculation 17" xfId="1394" xr:uid="{00000000-0005-0000-0000-000066050000}"/>
    <cellStyle name="Calculation 18" xfId="1395" xr:uid="{00000000-0005-0000-0000-000067050000}"/>
    <cellStyle name="Calculation 19" xfId="1396" xr:uid="{00000000-0005-0000-0000-000068050000}"/>
    <cellStyle name="Calculation 2" xfId="1397" xr:uid="{00000000-0005-0000-0000-000069050000}"/>
    <cellStyle name="Calculation 2 10" xfId="1398" xr:uid="{00000000-0005-0000-0000-00006A050000}"/>
    <cellStyle name="Calculation 2 2" xfId="1399" xr:uid="{00000000-0005-0000-0000-00006B050000}"/>
    <cellStyle name="Calculation 2 2 2" xfId="1400" xr:uid="{00000000-0005-0000-0000-00006C050000}"/>
    <cellStyle name="Calculation 2 2 2 2" xfId="1401" xr:uid="{00000000-0005-0000-0000-00006D050000}"/>
    <cellStyle name="Calculation 2 2 2 2 2" xfId="1402" xr:uid="{00000000-0005-0000-0000-00006E050000}"/>
    <cellStyle name="Calculation 2 2 2 2 3" xfId="1403" xr:uid="{00000000-0005-0000-0000-00006F050000}"/>
    <cellStyle name="Calculation 2 2 2 3" xfId="1404" xr:uid="{00000000-0005-0000-0000-000070050000}"/>
    <cellStyle name="Calculation 2 2 2 4" xfId="1405" xr:uid="{00000000-0005-0000-0000-000071050000}"/>
    <cellStyle name="Calculation 2 2 2 5" xfId="1406" xr:uid="{00000000-0005-0000-0000-000072050000}"/>
    <cellStyle name="Calculation 2 2 2 6" xfId="1407" xr:uid="{00000000-0005-0000-0000-000073050000}"/>
    <cellStyle name="Calculation 2 2 3" xfId="1408" xr:uid="{00000000-0005-0000-0000-000074050000}"/>
    <cellStyle name="Calculation 2 2 4" xfId="1409" xr:uid="{00000000-0005-0000-0000-000075050000}"/>
    <cellStyle name="Calculation 2 2 5" xfId="1410" xr:uid="{00000000-0005-0000-0000-000076050000}"/>
    <cellStyle name="Calculation 2 2 6" xfId="1411" xr:uid="{00000000-0005-0000-0000-000077050000}"/>
    <cellStyle name="Calculation 2 3" xfId="1412" xr:uid="{00000000-0005-0000-0000-000078050000}"/>
    <cellStyle name="Calculation 2 4" xfId="1413" xr:uid="{00000000-0005-0000-0000-000079050000}"/>
    <cellStyle name="Calculation 2 5" xfId="1414" xr:uid="{00000000-0005-0000-0000-00007A050000}"/>
    <cellStyle name="Calculation 2 6" xfId="1415" xr:uid="{00000000-0005-0000-0000-00007B050000}"/>
    <cellStyle name="Calculation 2 7" xfId="1416" xr:uid="{00000000-0005-0000-0000-00007C050000}"/>
    <cellStyle name="Calculation 2 8" xfId="1417" xr:uid="{00000000-0005-0000-0000-00007D050000}"/>
    <cellStyle name="Calculation 2 9" xfId="1418" xr:uid="{00000000-0005-0000-0000-00007E050000}"/>
    <cellStyle name="Calculation 20" xfId="1419" xr:uid="{00000000-0005-0000-0000-00007F050000}"/>
    <cellStyle name="Calculation 21" xfId="1420" xr:uid="{00000000-0005-0000-0000-000080050000}"/>
    <cellStyle name="Calculation 22" xfId="1421" xr:uid="{00000000-0005-0000-0000-000081050000}"/>
    <cellStyle name="Calculation 23" xfId="1422" xr:uid="{00000000-0005-0000-0000-000082050000}"/>
    <cellStyle name="Calculation 3" xfId="1423" xr:uid="{00000000-0005-0000-0000-000083050000}"/>
    <cellStyle name="Calculation 4" xfId="1424" xr:uid="{00000000-0005-0000-0000-000084050000}"/>
    <cellStyle name="Calculation 5" xfId="1425" xr:uid="{00000000-0005-0000-0000-000085050000}"/>
    <cellStyle name="Calculation 6" xfId="1426" xr:uid="{00000000-0005-0000-0000-000086050000}"/>
    <cellStyle name="Calculation 7" xfId="1427" xr:uid="{00000000-0005-0000-0000-000087050000}"/>
    <cellStyle name="Calculation 8" xfId="1428" xr:uid="{00000000-0005-0000-0000-000088050000}"/>
    <cellStyle name="Calculation 9" xfId="1429" xr:uid="{00000000-0005-0000-0000-000089050000}"/>
    <cellStyle name="Check Cell 10" xfId="1430" xr:uid="{00000000-0005-0000-0000-00008A050000}"/>
    <cellStyle name="Check Cell 11" xfId="1431" xr:uid="{00000000-0005-0000-0000-00008B050000}"/>
    <cellStyle name="Check Cell 12" xfId="1432" xr:uid="{00000000-0005-0000-0000-00008C050000}"/>
    <cellStyle name="Check Cell 13" xfId="1433" xr:uid="{00000000-0005-0000-0000-00008D050000}"/>
    <cellStyle name="Check Cell 14" xfId="1434" xr:uid="{00000000-0005-0000-0000-00008E050000}"/>
    <cellStyle name="Check Cell 15" xfId="1435" xr:uid="{00000000-0005-0000-0000-00008F050000}"/>
    <cellStyle name="Check Cell 16" xfId="1436" xr:uid="{00000000-0005-0000-0000-000090050000}"/>
    <cellStyle name="Check Cell 17" xfId="1437" xr:uid="{00000000-0005-0000-0000-000091050000}"/>
    <cellStyle name="Check Cell 18" xfId="1438" xr:uid="{00000000-0005-0000-0000-000092050000}"/>
    <cellStyle name="Check Cell 19" xfId="1439" xr:uid="{00000000-0005-0000-0000-000093050000}"/>
    <cellStyle name="Check Cell 2" xfId="1440" xr:uid="{00000000-0005-0000-0000-000094050000}"/>
    <cellStyle name="Check Cell 2 10" xfId="1441" xr:uid="{00000000-0005-0000-0000-000095050000}"/>
    <cellStyle name="Check Cell 2 2" xfId="1442" xr:uid="{00000000-0005-0000-0000-000096050000}"/>
    <cellStyle name="Check Cell 2 2 2" xfId="1443" xr:uid="{00000000-0005-0000-0000-000097050000}"/>
    <cellStyle name="Check Cell 2 2 2 2" xfId="1444" xr:uid="{00000000-0005-0000-0000-000098050000}"/>
    <cellStyle name="Check Cell 2 2 2 2 2" xfId="1445" xr:uid="{00000000-0005-0000-0000-000099050000}"/>
    <cellStyle name="Check Cell 2 2 2 2 3" xfId="1446" xr:uid="{00000000-0005-0000-0000-00009A050000}"/>
    <cellStyle name="Check Cell 2 2 2 3" xfId="1447" xr:uid="{00000000-0005-0000-0000-00009B050000}"/>
    <cellStyle name="Check Cell 2 2 2 4" xfId="1448" xr:uid="{00000000-0005-0000-0000-00009C050000}"/>
    <cellStyle name="Check Cell 2 2 2 5" xfId="1449" xr:uid="{00000000-0005-0000-0000-00009D050000}"/>
    <cellStyle name="Check Cell 2 2 2 6" xfId="1450" xr:uid="{00000000-0005-0000-0000-00009E050000}"/>
    <cellStyle name="Check Cell 2 2 3" xfId="1451" xr:uid="{00000000-0005-0000-0000-00009F050000}"/>
    <cellStyle name="Check Cell 2 2 4" xfId="1452" xr:uid="{00000000-0005-0000-0000-0000A0050000}"/>
    <cellStyle name="Check Cell 2 2 5" xfId="1453" xr:uid="{00000000-0005-0000-0000-0000A1050000}"/>
    <cellStyle name="Check Cell 2 2 6" xfId="1454" xr:uid="{00000000-0005-0000-0000-0000A2050000}"/>
    <cellStyle name="Check Cell 2 3" xfId="1455" xr:uid="{00000000-0005-0000-0000-0000A3050000}"/>
    <cellStyle name="Check Cell 2 4" xfId="1456" xr:uid="{00000000-0005-0000-0000-0000A4050000}"/>
    <cellStyle name="Check Cell 2 5" xfId="1457" xr:uid="{00000000-0005-0000-0000-0000A5050000}"/>
    <cellStyle name="Check Cell 2 6" xfId="1458" xr:uid="{00000000-0005-0000-0000-0000A6050000}"/>
    <cellStyle name="Check Cell 2 7" xfId="1459" xr:uid="{00000000-0005-0000-0000-0000A7050000}"/>
    <cellStyle name="Check Cell 2 8" xfId="1460" xr:uid="{00000000-0005-0000-0000-0000A8050000}"/>
    <cellStyle name="Check Cell 2 9" xfId="1461" xr:uid="{00000000-0005-0000-0000-0000A9050000}"/>
    <cellStyle name="Check Cell 20" xfId="1462" xr:uid="{00000000-0005-0000-0000-0000AA050000}"/>
    <cellStyle name="Check Cell 21" xfId="1463" xr:uid="{00000000-0005-0000-0000-0000AB050000}"/>
    <cellStyle name="Check Cell 22" xfId="1464" xr:uid="{00000000-0005-0000-0000-0000AC050000}"/>
    <cellStyle name="Check Cell 23" xfId="1465" xr:uid="{00000000-0005-0000-0000-0000AD050000}"/>
    <cellStyle name="Check Cell 3" xfId="1466" xr:uid="{00000000-0005-0000-0000-0000AE050000}"/>
    <cellStyle name="Check Cell 4" xfId="1467" xr:uid="{00000000-0005-0000-0000-0000AF050000}"/>
    <cellStyle name="Check Cell 5" xfId="1468" xr:uid="{00000000-0005-0000-0000-0000B0050000}"/>
    <cellStyle name="Check Cell 6" xfId="1469" xr:uid="{00000000-0005-0000-0000-0000B1050000}"/>
    <cellStyle name="Check Cell 7" xfId="1470" xr:uid="{00000000-0005-0000-0000-0000B2050000}"/>
    <cellStyle name="Check Cell 8" xfId="1471" xr:uid="{00000000-0005-0000-0000-0000B3050000}"/>
    <cellStyle name="Check Cell 9" xfId="1472" xr:uid="{00000000-0005-0000-0000-0000B4050000}"/>
    <cellStyle name="ColumnAttributeAbovePrompt" xfId="1473" xr:uid="{00000000-0005-0000-0000-0000B5050000}"/>
    <cellStyle name="ColumnAttributePrompt" xfId="1474" xr:uid="{00000000-0005-0000-0000-0000B6050000}"/>
    <cellStyle name="ColumnAttributeValue" xfId="1475" xr:uid="{00000000-0005-0000-0000-0000B7050000}"/>
    <cellStyle name="ColumnHeadingPrompt" xfId="1476" xr:uid="{00000000-0005-0000-0000-0000B8050000}"/>
    <cellStyle name="ColumnHeadingValue" xfId="1477" xr:uid="{00000000-0005-0000-0000-0000B9050000}"/>
    <cellStyle name="Comma" xfId="1" builtinId="3"/>
    <cellStyle name="Comma 10" xfId="1478" xr:uid="{00000000-0005-0000-0000-0000BB050000}"/>
    <cellStyle name="Comma 11" xfId="1479" xr:uid="{00000000-0005-0000-0000-0000BC050000}"/>
    <cellStyle name="Comma 12" xfId="1480" xr:uid="{00000000-0005-0000-0000-0000BD050000}"/>
    <cellStyle name="Comma 13" xfId="1481" xr:uid="{00000000-0005-0000-0000-0000BE050000}"/>
    <cellStyle name="Comma 14" xfId="1482" xr:uid="{00000000-0005-0000-0000-0000BF050000}"/>
    <cellStyle name="Comma 15" xfId="1483" xr:uid="{00000000-0005-0000-0000-0000C0050000}"/>
    <cellStyle name="Comma 16" xfId="1484" xr:uid="{00000000-0005-0000-0000-0000C1050000}"/>
    <cellStyle name="Comma 17" xfId="1485" xr:uid="{00000000-0005-0000-0000-0000C2050000}"/>
    <cellStyle name="Comma 18" xfId="8" xr:uid="{00000000-0005-0000-0000-0000C3050000}"/>
    <cellStyle name="Comma 19" xfId="2398" xr:uid="{00000000-0005-0000-0000-0000C4050000}"/>
    <cellStyle name="Comma 2" xfId="5" xr:uid="{00000000-0005-0000-0000-0000C5050000}"/>
    <cellStyle name="Comma 2 10" xfId="1486" xr:uid="{00000000-0005-0000-0000-0000C6050000}"/>
    <cellStyle name="Comma 2 11" xfId="1487" xr:uid="{00000000-0005-0000-0000-0000C7050000}"/>
    <cellStyle name="Comma 2 12" xfId="1488" xr:uid="{00000000-0005-0000-0000-0000C8050000}"/>
    <cellStyle name="Comma 2 13" xfId="1489" xr:uid="{00000000-0005-0000-0000-0000C9050000}"/>
    <cellStyle name="Comma 2 14" xfId="1490" xr:uid="{00000000-0005-0000-0000-0000CA050000}"/>
    <cellStyle name="Comma 2 15" xfId="1491" xr:uid="{00000000-0005-0000-0000-0000CB050000}"/>
    <cellStyle name="Comma 2 16" xfId="1492" xr:uid="{00000000-0005-0000-0000-0000CC050000}"/>
    <cellStyle name="Comma 2 17" xfId="1493" xr:uid="{00000000-0005-0000-0000-0000CD050000}"/>
    <cellStyle name="Comma 2 18" xfId="1494" xr:uid="{00000000-0005-0000-0000-0000CE050000}"/>
    <cellStyle name="Comma 2 19" xfId="1495" xr:uid="{00000000-0005-0000-0000-0000CF050000}"/>
    <cellStyle name="Comma 2 2" xfId="1496" xr:uid="{00000000-0005-0000-0000-0000D0050000}"/>
    <cellStyle name="Comma 2 20" xfId="1497" xr:uid="{00000000-0005-0000-0000-0000D1050000}"/>
    <cellStyle name="Comma 2 21" xfId="1498" xr:uid="{00000000-0005-0000-0000-0000D2050000}"/>
    <cellStyle name="Comma 2 22" xfId="1499" xr:uid="{00000000-0005-0000-0000-0000D3050000}"/>
    <cellStyle name="Comma 2 23" xfId="2402" xr:uid="{00000000-0005-0000-0000-0000D4050000}"/>
    <cellStyle name="Comma 2 3" xfId="1500" xr:uid="{00000000-0005-0000-0000-0000D5050000}"/>
    <cellStyle name="Comma 2 4" xfId="1501" xr:uid="{00000000-0005-0000-0000-0000D6050000}"/>
    <cellStyle name="Comma 2 4 2" xfId="2391" xr:uid="{00000000-0005-0000-0000-0000D7050000}"/>
    <cellStyle name="Comma 2 5" xfId="1502" xr:uid="{00000000-0005-0000-0000-0000D8050000}"/>
    <cellStyle name="Comma 2 6" xfId="1503" xr:uid="{00000000-0005-0000-0000-0000D9050000}"/>
    <cellStyle name="Comma 2 7" xfId="1504" xr:uid="{00000000-0005-0000-0000-0000DA050000}"/>
    <cellStyle name="Comma 2 8" xfId="1505" xr:uid="{00000000-0005-0000-0000-0000DB050000}"/>
    <cellStyle name="Comma 2 9" xfId="1506" xr:uid="{00000000-0005-0000-0000-0000DC050000}"/>
    <cellStyle name="Comma 3" xfId="10" xr:uid="{00000000-0005-0000-0000-0000DD050000}"/>
    <cellStyle name="Comma 3 2" xfId="1507" xr:uid="{00000000-0005-0000-0000-0000DE050000}"/>
    <cellStyle name="Comma 3 3" xfId="1508" xr:uid="{00000000-0005-0000-0000-0000DF050000}"/>
    <cellStyle name="Comma 3 4" xfId="1509" xr:uid="{00000000-0005-0000-0000-0000E0050000}"/>
    <cellStyle name="Comma 3 5" xfId="1510" xr:uid="{00000000-0005-0000-0000-0000E1050000}"/>
    <cellStyle name="Comma 4" xfId="1511" xr:uid="{00000000-0005-0000-0000-0000E2050000}"/>
    <cellStyle name="Comma 4 2" xfId="1512" xr:uid="{00000000-0005-0000-0000-0000E3050000}"/>
    <cellStyle name="Comma 4 3" xfId="1513" xr:uid="{00000000-0005-0000-0000-0000E4050000}"/>
    <cellStyle name="Comma 4 4" xfId="1514" xr:uid="{00000000-0005-0000-0000-0000E5050000}"/>
    <cellStyle name="Comma 4 5" xfId="1515" xr:uid="{00000000-0005-0000-0000-0000E6050000}"/>
    <cellStyle name="Comma 5" xfId="1516" xr:uid="{00000000-0005-0000-0000-0000E7050000}"/>
    <cellStyle name="Comma 6" xfId="1517" xr:uid="{00000000-0005-0000-0000-0000E8050000}"/>
    <cellStyle name="Comma 7" xfId="1518" xr:uid="{00000000-0005-0000-0000-0000E9050000}"/>
    <cellStyle name="Comma 8" xfId="1519" xr:uid="{00000000-0005-0000-0000-0000EA050000}"/>
    <cellStyle name="Comma 9" xfId="1520" xr:uid="{00000000-0005-0000-0000-0000EB050000}"/>
    <cellStyle name="Comma0" xfId="1521" xr:uid="{00000000-0005-0000-0000-0000EC050000}"/>
    <cellStyle name="Currency" xfId="2" builtinId="4"/>
    <cellStyle name="Currency 2" xfId="11" xr:uid="{00000000-0005-0000-0000-0000EE050000}"/>
    <cellStyle name="Currency 2 2" xfId="1522" xr:uid="{00000000-0005-0000-0000-0000EF050000}"/>
    <cellStyle name="Currency 2 2 2" xfId="1523" xr:uid="{00000000-0005-0000-0000-0000F0050000}"/>
    <cellStyle name="Currency 2 2 3" xfId="1524" xr:uid="{00000000-0005-0000-0000-0000F1050000}"/>
    <cellStyle name="Currency 2 3" xfId="1525" xr:uid="{00000000-0005-0000-0000-0000F2050000}"/>
    <cellStyle name="Currency 2 4" xfId="1526" xr:uid="{00000000-0005-0000-0000-0000F3050000}"/>
    <cellStyle name="Currency 2 5" xfId="1527" xr:uid="{00000000-0005-0000-0000-0000F4050000}"/>
    <cellStyle name="Currency 2 6" xfId="1528" xr:uid="{00000000-0005-0000-0000-0000F5050000}"/>
    <cellStyle name="Currency 26" xfId="2399" xr:uid="{00000000-0005-0000-0000-0000F6050000}"/>
    <cellStyle name="Currency 3" xfId="1529" xr:uid="{00000000-0005-0000-0000-0000F7050000}"/>
    <cellStyle name="Currency 3 2" xfId="1530" xr:uid="{00000000-0005-0000-0000-0000F8050000}"/>
    <cellStyle name="Currency 3 3" xfId="1531" xr:uid="{00000000-0005-0000-0000-0000F9050000}"/>
    <cellStyle name="Currency 3 4" xfId="1532" xr:uid="{00000000-0005-0000-0000-0000FA050000}"/>
    <cellStyle name="Currency 3 5" xfId="1533" xr:uid="{00000000-0005-0000-0000-0000FB050000}"/>
    <cellStyle name="Currency 4" xfId="1534" xr:uid="{00000000-0005-0000-0000-0000FC050000}"/>
    <cellStyle name="Currency 5" xfId="2384" xr:uid="{00000000-0005-0000-0000-0000FD050000}"/>
    <cellStyle name="Currency 6" xfId="2401" xr:uid="{00000000-0005-0000-0000-0000FE050000}"/>
    <cellStyle name="Currency0" xfId="1535" xr:uid="{00000000-0005-0000-0000-0000FF050000}"/>
    <cellStyle name="Date" xfId="1536" xr:uid="{00000000-0005-0000-0000-000000060000}"/>
    <cellStyle name="Euro" xfId="1537" xr:uid="{00000000-0005-0000-0000-000001060000}"/>
    <cellStyle name="Explanatory Text 10" xfId="1538" xr:uid="{00000000-0005-0000-0000-000002060000}"/>
    <cellStyle name="Explanatory Text 11" xfId="1539" xr:uid="{00000000-0005-0000-0000-000003060000}"/>
    <cellStyle name="Explanatory Text 12" xfId="1540" xr:uid="{00000000-0005-0000-0000-000004060000}"/>
    <cellStyle name="Explanatory Text 13" xfId="1541" xr:uid="{00000000-0005-0000-0000-000005060000}"/>
    <cellStyle name="Explanatory Text 14" xfId="1542" xr:uid="{00000000-0005-0000-0000-000006060000}"/>
    <cellStyle name="Explanatory Text 15" xfId="1543" xr:uid="{00000000-0005-0000-0000-000007060000}"/>
    <cellStyle name="Explanatory Text 16" xfId="1544" xr:uid="{00000000-0005-0000-0000-000008060000}"/>
    <cellStyle name="Explanatory Text 17" xfId="1545" xr:uid="{00000000-0005-0000-0000-000009060000}"/>
    <cellStyle name="Explanatory Text 18" xfId="1546" xr:uid="{00000000-0005-0000-0000-00000A060000}"/>
    <cellStyle name="Explanatory Text 19" xfId="1547" xr:uid="{00000000-0005-0000-0000-00000B060000}"/>
    <cellStyle name="Explanatory Text 2" xfId="1548" xr:uid="{00000000-0005-0000-0000-00000C060000}"/>
    <cellStyle name="Explanatory Text 2 10" xfId="1549" xr:uid="{00000000-0005-0000-0000-00000D060000}"/>
    <cellStyle name="Explanatory Text 2 2" xfId="1550" xr:uid="{00000000-0005-0000-0000-00000E060000}"/>
    <cellStyle name="Explanatory Text 2 2 2" xfId="1551" xr:uid="{00000000-0005-0000-0000-00000F060000}"/>
    <cellStyle name="Explanatory Text 2 2 2 2" xfId="1552" xr:uid="{00000000-0005-0000-0000-000010060000}"/>
    <cellStyle name="Explanatory Text 2 2 2 2 2" xfId="1553" xr:uid="{00000000-0005-0000-0000-000011060000}"/>
    <cellStyle name="Explanatory Text 2 2 2 2 3" xfId="1554" xr:uid="{00000000-0005-0000-0000-000012060000}"/>
    <cellStyle name="Explanatory Text 2 2 2 3" xfId="1555" xr:uid="{00000000-0005-0000-0000-000013060000}"/>
    <cellStyle name="Explanatory Text 2 2 2 4" xfId="1556" xr:uid="{00000000-0005-0000-0000-000014060000}"/>
    <cellStyle name="Explanatory Text 2 2 2 5" xfId="1557" xr:uid="{00000000-0005-0000-0000-000015060000}"/>
    <cellStyle name="Explanatory Text 2 2 2 6" xfId="1558" xr:uid="{00000000-0005-0000-0000-000016060000}"/>
    <cellStyle name="Explanatory Text 2 2 3" xfId="1559" xr:uid="{00000000-0005-0000-0000-000017060000}"/>
    <cellStyle name="Explanatory Text 2 2 4" xfId="1560" xr:uid="{00000000-0005-0000-0000-000018060000}"/>
    <cellStyle name="Explanatory Text 2 2 5" xfId="1561" xr:uid="{00000000-0005-0000-0000-000019060000}"/>
    <cellStyle name="Explanatory Text 2 2 6" xfId="1562" xr:uid="{00000000-0005-0000-0000-00001A060000}"/>
    <cellStyle name="Explanatory Text 2 3" xfId="1563" xr:uid="{00000000-0005-0000-0000-00001B060000}"/>
    <cellStyle name="Explanatory Text 2 4" xfId="1564" xr:uid="{00000000-0005-0000-0000-00001C060000}"/>
    <cellStyle name="Explanatory Text 2 5" xfId="1565" xr:uid="{00000000-0005-0000-0000-00001D060000}"/>
    <cellStyle name="Explanatory Text 2 6" xfId="1566" xr:uid="{00000000-0005-0000-0000-00001E060000}"/>
    <cellStyle name="Explanatory Text 2 7" xfId="1567" xr:uid="{00000000-0005-0000-0000-00001F060000}"/>
    <cellStyle name="Explanatory Text 2 8" xfId="1568" xr:uid="{00000000-0005-0000-0000-000020060000}"/>
    <cellStyle name="Explanatory Text 2 9" xfId="1569" xr:uid="{00000000-0005-0000-0000-000021060000}"/>
    <cellStyle name="Explanatory Text 20" xfId="1570" xr:uid="{00000000-0005-0000-0000-000022060000}"/>
    <cellStyle name="Explanatory Text 21" xfId="1571" xr:uid="{00000000-0005-0000-0000-000023060000}"/>
    <cellStyle name="Explanatory Text 22" xfId="1572" xr:uid="{00000000-0005-0000-0000-000024060000}"/>
    <cellStyle name="Explanatory Text 23" xfId="1573" xr:uid="{00000000-0005-0000-0000-000025060000}"/>
    <cellStyle name="Explanatory Text 3" xfId="1574" xr:uid="{00000000-0005-0000-0000-000026060000}"/>
    <cellStyle name="Explanatory Text 4" xfId="1575" xr:uid="{00000000-0005-0000-0000-000027060000}"/>
    <cellStyle name="Explanatory Text 5" xfId="1576" xr:uid="{00000000-0005-0000-0000-000028060000}"/>
    <cellStyle name="Explanatory Text 6" xfId="1577" xr:uid="{00000000-0005-0000-0000-000029060000}"/>
    <cellStyle name="Explanatory Text 7" xfId="1578" xr:uid="{00000000-0005-0000-0000-00002A060000}"/>
    <cellStyle name="Explanatory Text 8" xfId="1579" xr:uid="{00000000-0005-0000-0000-00002B060000}"/>
    <cellStyle name="Explanatory Text 9" xfId="1580" xr:uid="{00000000-0005-0000-0000-00002C060000}"/>
    <cellStyle name="F2" xfId="1581" xr:uid="{00000000-0005-0000-0000-00002D060000}"/>
    <cellStyle name="F2 2" xfId="1582" xr:uid="{00000000-0005-0000-0000-00002E060000}"/>
    <cellStyle name="F2 3" xfId="1583" xr:uid="{00000000-0005-0000-0000-00002F060000}"/>
    <cellStyle name="F2 4" xfId="1584" xr:uid="{00000000-0005-0000-0000-000030060000}"/>
    <cellStyle name="F2 5" xfId="1585" xr:uid="{00000000-0005-0000-0000-000031060000}"/>
    <cellStyle name="F2 6" xfId="1586" xr:uid="{00000000-0005-0000-0000-000032060000}"/>
    <cellStyle name="F2 7" xfId="1587" xr:uid="{00000000-0005-0000-0000-000033060000}"/>
    <cellStyle name="F3" xfId="1588" xr:uid="{00000000-0005-0000-0000-000034060000}"/>
    <cellStyle name="F3 2" xfId="1589" xr:uid="{00000000-0005-0000-0000-000035060000}"/>
    <cellStyle name="F3 3" xfId="1590" xr:uid="{00000000-0005-0000-0000-000036060000}"/>
    <cellStyle name="F3 4" xfId="1591" xr:uid="{00000000-0005-0000-0000-000037060000}"/>
    <cellStyle name="F3 5" xfId="1592" xr:uid="{00000000-0005-0000-0000-000038060000}"/>
    <cellStyle name="F3 6" xfId="1593" xr:uid="{00000000-0005-0000-0000-000039060000}"/>
    <cellStyle name="F3 7" xfId="1594" xr:uid="{00000000-0005-0000-0000-00003A060000}"/>
    <cellStyle name="F4" xfId="1595" xr:uid="{00000000-0005-0000-0000-00003B060000}"/>
    <cellStyle name="F4 2" xfId="1596" xr:uid="{00000000-0005-0000-0000-00003C060000}"/>
    <cellStyle name="F4 3" xfId="1597" xr:uid="{00000000-0005-0000-0000-00003D060000}"/>
    <cellStyle name="F4 4" xfId="1598" xr:uid="{00000000-0005-0000-0000-00003E060000}"/>
    <cellStyle name="F4 5" xfId="1599" xr:uid="{00000000-0005-0000-0000-00003F060000}"/>
    <cellStyle name="F4 6" xfId="1600" xr:uid="{00000000-0005-0000-0000-000040060000}"/>
    <cellStyle name="F4 7" xfId="1601" xr:uid="{00000000-0005-0000-0000-000041060000}"/>
    <cellStyle name="F5" xfId="1602" xr:uid="{00000000-0005-0000-0000-000042060000}"/>
    <cellStyle name="F5 2" xfId="1603" xr:uid="{00000000-0005-0000-0000-000043060000}"/>
    <cellStyle name="F5 3" xfId="1604" xr:uid="{00000000-0005-0000-0000-000044060000}"/>
    <cellStyle name="F5 4" xfId="1605" xr:uid="{00000000-0005-0000-0000-000045060000}"/>
    <cellStyle name="F5 5" xfId="1606" xr:uid="{00000000-0005-0000-0000-000046060000}"/>
    <cellStyle name="F5 6" xfId="1607" xr:uid="{00000000-0005-0000-0000-000047060000}"/>
    <cellStyle name="F5 7" xfId="1608" xr:uid="{00000000-0005-0000-0000-000048060000}"/>
    <cellStyle name="F6" xfId="1609" xr:uid="{00000000-0005-0000-0000-000049060000}"/>
    <cellStyle name="F6 2" xfId="1610" xr:uid="{00000000-0005-0000-0000-00004A060000}"/>
    <cellStyle name="F6 3" xfId="1611" xr:uid="{00000000-0005-0000-0000-00004B060000}"/>
    <cellStyle name="F6 4" xfId="1612" xr:uid="{00000000-0005-0000-0000-00004C060000}"/>
    <cellStyle name="F6 5" xfId="1613" xr:uid="{00000000-0005-0000-0000-00004D060000}"/>
    <cellStyle name="F6 6" xfId="1614" xr:uid="{00000000-0005-0000-0000-00004E060000}"/>
    <cellStyle name="F6 7" xfId="1615" xr:uid="{00000000-0005-0000-0000-00004F060000}"/>
    <cellStyle name="F7" xfId="1616" xr:uid="{00000000-0005-0000-0000-000050060000}"/>
    <cellStyle name="F7 2" xfId="1617" xr:uid="{00000000-0005-0000-0000-000051060000}"/>
    <cellStyle name="F7 3" xfId="1618" xr:uid="{00000000-0005-0000-0000-000052060000}"/>
    <cellStyle name="F7 4" xfId="1619" xr:uid="{00000000-0005-0000-0000-000053060000}"/>
    <cellStyle name="F7 5" xfId="1620" xr:uid="{00000000-0005-0000-0000-000054060000}"/>
    <cellStyle name="F7 6" xfId="1621" xr:uid="{00000000-0005-0000-0000-000055060000}"/>
    <cellStyle name="F7 7" xfId="1622" xr:uid="{00000000-0005-0000-0000-000056060000}"/>
    <cellStyle name="F8" xfId="1623" xr:uid="{00000000-0005-0000-0000-000057060000}"/>
    <cellStyle name="F8 2" xfId="1624" xr:uid="{00000000-0005-0000-0000-000058060000}"/>
    <cellStyle name="F8 3" xfId="1625" xr:uid="{00000000-0005-0000-0000-000059060000}"/>
    <cellStyle name="F8 4" xfId="1626" xr:uid="{00000000-0005-0000-0000-00005A060000}"/>
    <cellStyle name="F8 5" xfId="1627" xr:uid="{00000000-0005-0000-0000-00005B060000}"/>
    <cellStyle name="F8 6" xfId="1628" xr:uid="{00000000-0005-0000-0000-00005C060000}"/>
    <cellStyle name="F8 7" xfId="1629" xr:uid="{00000000-0005-0000-0000-00005D060000}"/>
    <cellStyle name="Fixed" xfId="1630" xr:uid="{00000000-0005-0000-0000-00005E060000}"/>
    <cellStyle name="Good 10" xfId="1631" xr:uid="{00000000-0005-0000-0000-00005F060000}"/>
    <cellStyle name="Good 11" xfId="1632" xr:uid="{00000000-0005-0000-0000-000060060000}"/>
    <cellStyle name="Good 12" xfId="1633" xr:uid="{00000000-0005-0000-0000-000061060000}"/>
    <cellStyle name="Good 13" xfId="1634" xr:uid="{00000000-0005-0000-0000-000062060000}"/>
    <cellStyle name="Good 14" xfId="1635" xr:uid="{00000000-0005-0000-0000-000063060000}"/>
    <cellStyle name="Good 15" xfId="1636" xr:uid="{00000000-0005-0000-0000-000064060000}"/>
    <cellStyle name="Good 16" xfId="1637" xr:uid="{00000000-0005-0000-0000-000065060000}"/>
    <cellStyle name="Good 17" xfId="1638" xr:uid="{00000000-0005-0000-0000-000066060000}"/>
    <cellStyle name="Good 18" xfId="1639" xr:uid="{00000000-0005-0000-0000-000067060000}"/>
    <cellStyle name="Good 19" xfId="1640" xr:uid="{00000000-0005-0000-0000-000068060000}"/>
    <cellStyle name="Good 2" xfId="1641" xr:uid="{00000000-0005-0000-0000-000069060000}"/>
    <cellStyle name="Good 2 10" xfId="1642" xr:uid="{00000000-0005-0000-0000-00006A060000}"/>
    <cellStyle name="Good 2 2" xfId="1643" xr:uid="{00000000-0005-0000-0000-00006B060000}"/>
    <cellStyle name="Good 2 2 2" xfId="1644" xr:uid="{00000000-0005-0000-0000-00006C060000}"/>
    <cellStyle name="Good 2 2 2 2" xfId="1645" xr:uid="{00000000-0005-0000-0000-00006D060000}"/>
    <cellStyle name="Good 2 2 2 2 2" xfId="1646" xr:uid="{00000000-0005-0000-0000-00006E060000}"/>
    <cellStyle name="Good 2 2 2 2 3" xfId="1647" xr:uid="{00000000-0005-0000-0000-00006F060000}"/>
    <cellStyle name="Good 2 2 2 3" xfId="1648" xr:uid="{00000000-0005-0000-0000-000070060000}"/>
    <cellStyle name="Good 2 2 2 4" xfId="1649" xr:uid="{00000000-0005-0000-0000-000071060000}"/>
    <cellStyle name="Good 2 2 2 5" xfId="1650" xr:uid="{00000000-0005-0000-0000-000072060000}"/>
    <cellStyle name="Good 2 2 2 6" xfId="1651" xr:uid="{00000000-0005-0000-0000-000073060000}"/>
    <cellStyle name="Good 2 2 3" xfId="1652" xr:uid="{00000000-0005-0000-0000-000074060000}"/>
    <cellStyle name="Good 2 2 4" xfId="1653" xr:uid="{00000000-0005-0000-0000-000075060000}"/>
    <cellStyle name="Good 2 2 5" xfId="1654" xr:uid="{00000000-0005-0000-0000-000076060000}"/>
    <cellStyle name="Good 2 2 6" xfId="1655" xr:uid="{00000000-0005-0000-0000-000077060000}"/>
    <cellStyle name="Good 2 3" xfId="1656" xr:uid="{00000000-0005-0000-0000-000078060000}"/>
    <cellStyle name="Good 2 4" xfId="1657" xr:uid="{00000000-0005-0000-0000-000079060000}"/>
    <cellStyle name="Good 2 5" xfId="1658" xr:uid="{00000000-0005-0000-0000-00007A060000}"/>
    <cellStyle name="Good 2 6" xfId="1659" xr:uid="{00000000-0005-0000-0000-00007B060000}"/>
    <cellStyle name="Good 2 7" xfId="1660" xr:uid="{00000000-0005-0000-0000-00007C060000}"/>
    <cellStyle name="Good 2 8" xfId="1661" xr:uid="{00000000-0005-0000-0000-00007D060000}"/>
    <cellStyle name="Good 2 9" xfId="1662" xr:uid="{00000000-0005-0000-0000-00007E060000}"/>
    <cellStyle name="Good 20" xfId="1663" xr:uid="{00000000-0005-0000-0000-00007F060000}"/>
    <cellStyle name="Good 21" xfId="1664" xr:uid="{00000000-0005-0000-0000-000080060000}"/>
    <cellStyle name="Good 22" xfId="1665" xr:uid="{00000000-0005-0000-0000-000081060000}"/>
    <cellStyle name="Good 23" xfId="1666" xr:uid="{00000000-0005-0000-0000-000082060000}"/>
    <cellStyle name="Good 3" xfId="1667" xr:uid="{00000000-0005-0000-0000-000083060000}"/>
    <cellStyle name="Good 4" xfId="1668" xr:uid="{00000000-0005-0000-0000-000084060000}"/>
    <cellStyle name="Good 5" xfId="1669" xr:uid="{00000000-0005-0000-0000-000085060000}"/>
    <cellStyle name="Good 6" xfId="1670" xr:uid="{00000000-0005-0000-0000-000086060000}"/>
    <cellStyle name="Good 7" xfId="1671" xr:uid="{00000000-0005-0000-0000-000087060000}"/>
    <cellStyle name="Good 8" xfId="1672" xr:uid="{00000000-0005-0000-0000-000088060000}"/>
    <cellStyle name="Good 9" xfId="1673" xr:uid="{00000000-0005-0000-0000-000089060000}"/>
    <cellStyle name="Heading 1 10" xfId="1674" xr:uid="{00000000-0005-0000-0000-00008A060000}"/>
    <cellStyle name="Heading 1 11" xfId="1675" xr:uid="{00000000-0005-0000-0000-00008B060000}"/>
    <cellStyle name="Heading 1 12" xfId="1676" xr:uid="{00000000-0005-0000-0000-00008C060000}"/>
    <cellStyle name="Heading 1 13" xfId="1677" xr:uid="{00000000-0005-0000-0000-00008D060000}"/>
    <cellStyle name="Heading 1 14" xfId="1678" xr:uid="{00000000-0005-0000-0000-00008E060000}"/>
    <cellStyle name="Heading 1 15" xfId="1679" xr:uid="{00000000-0005-0000-0000-00008F060000}"/>
    <cellStyle name="Heading 1 16" xfId="1680" xr:uid="{00000000-0005-0000-0000-000090060000}"/>
    <cellStyle name="Heading 1 17" xfId="1681" xr:uid="{00000000-0005-0000-0000-000091060000}"/>
    <cellStyle name="Heading 1 18" xfId="1682" xr:uid="{00000000-0005-0000-0000-000092060000}"/>
    <cellStyle name="Heading 1 19" xfId="1683" xr:uid="{00000000-0005-0000-0000-000093060000}"/>
    <cellStyle name="Heading 1 2" xfId="1684" xr:uid="{00000000-0005-0000-0000-000094060000}"/>
    <cellStyle name="Heading 1 2 10" xfId="1685" xr:uid="{00000000-0005-0000-0000-000095060000}"/>
    <cellStyle name="Heading 1 2 2" xfId="1686" xr:uid="{00000000-0005-0000-0000-000096060000}"/>
    <cellStyle name="Heading 1 2 2 2" xfId="1687" xr:uid="{00000000-0005-0000-0000-000097060000}"/>
    <cellStyle name="Heading 1 2 2 2 2" xfId="1688" xr:uid="{00000000-0005-0000-0000-000098060000}"/>
    <cellStyle name="Heading 1 2 2 2 2 2" xfId="1689" xr:uid="{00000000-0005-0000-0000-000099060000}"/>
    <cellStyle name="Heading 1 2 2 2 2 3" xfId="1690" xr:uid="{00000000-0005-0000-0000-00009A060000}"/>
    <cellStyle name="Heading 1 2 2 2 3" xfId="1691" xr:uid="{00000000-0005-0000-0000-00009B060000}"/>
    <cellStyle name="Heading 1 2 2 2 4" xfId="1692" xr:uid="{00000000-0005-0000-0000-00009C060000}"/>
    <cellStyle name="Heading 1 2 2 2 5" xfId="1693" xr:uid="{00000000-0005-0000-0000-00009D060000}"/>
    <cellStyle name="Heading 1 2 2 2 6" xfId="1694" xr:uid="{00000000-0005-0000-0000-00009E060000}"/>
    <cellStyle name="Heading 1 2 2 3" xfId="1695" xr:uid="{00000000-0005-0000-0000-00009F060000}"/>
    <cellStyle name="Heading 1 2 2 4" xfId="1696" xr:uid="{00000000-0005-0000-0000-0000A0060000}"/>
    <cellStyle name="Heading 1 2 2 5" xfId="1697" xr:uid="{00000000-0005-0000-0000-0000A1060000}"/>
    <cellStyle name="Heading 1 2 2 6" xfId="1698" xr:uid="{00000000-0005-0000-0000-0000A2060000}"/>
    <cellStyle name="Heading 1 2 3" xfId="1699" xr:uid="{00000000-0005-0000-0000-0000A3060000}"/>
    <cellStyle name="Heading 1 2 4" xfId="1700" xr:uid="{00000000-0005-0000-0000-0000A4060000}"/>
    <cellStyle name="Heading 1 2 5" xfId="1701" xr:uid="{00000000-0005-0000-0000-0000A5060000}"/>
    <cellStyle name="Heading 1 2 6" xfId="1702" xr:uid="{00000000-0005-0000-0000-0000A6060000}"/>
    <cellStyle name="Heading 1 2 7" xfId="1703" xr:uid="{00000000-0005-0000-0000-0000A7060000}"/>
    <cellStyle name="Heading 1 2 8" xfId="1704" xr:uid="{00000000-0005-0000-0000-0000A8060000}"/>
    <cellStyle name="Heading 1 2 9" xfId="1705" xr:uid="{00000000-0005-0000-0000-0000A9060000}"/>
    <cellStyle name="Heading 1 20" xfId="1706" xr:uid="{00000000-0005-0000-0000-0000AA060000}"/>
    <cellStyle name="Heading 1 21" xfId="1707" xr:uid="{00000000-0005-0000-0000-0000AB060000}"/>
    <cellStyle name="Heading 1 22" xfId="1708" xr:uid="{00000000-0005-0000-0000-0000AC060000}"/>
    <cellStyle name="Heading 1 23" xfId="1709" xr:uid="{00000000-0005-0000-0000-0000AD060000}"/>
    <cellStyle name="Heading 1 24" xfId="1710" xr:uid="{00000000-0005-0000-0000-0000AE060000}"/>
    <cellStyle name="Heading 1 25" xfId="1711" xr:uid="{00000000-0005-0000-0000-0000AF060000}"/>
    <cellStyle name="Heading 1 3" xfId="1712" xr:uid="{00000000-0005-0000-0000-0000B0060000}"/>
    <cellStyle name="Heading 1 4" xfId="1713" xr:uid="{00000000-0005-0000-0000-0000B1060000}"/>
    <cellStyle name="Heading 1 5" xfId="1714" xr:uid="{00000000-0005-0000-0000-0000B2060000}"/>
    <cellStyle name="Heading 1 6" xfId="1715" xr:uid="{00000000-0005-0000-0000-0000B3060000}"/>
    <cellStyle name="Heading 1 7" xfId="1716" xr:uid="{00000000-0005-0000-0000-0000B4060000}"/>
    <cellStyle name="Heading 1 8" xfId="1717" xr:uid="{00000000-0005-0000-0000-0000B5060000}"/>
    <cellStyle name="Heading 1 9" xfId="1718" xr:uid="{00000000-0005-0000-0000-0000B6060000}"/>
    <cellStyle name="Heading 2 10" xfId="1719" xr:uid="{00000000-0005-0000-0000-0000B7060000}"/>
    <cellStyle name="Heading 2 11" xfId="1720" xr:uid="{00000000-0005-0000-0000-0000B8060000}"/>
    <cellStyle name="Heading 2 12" xfId="1721" xr:uid="{00000000-0005-0000-0000-0000B9060000}"/>
    <cellStyle name="Heading 2 13" xfId="1722" xr:uid="{00000000-0005-0000-0000-0000BA060000}"/>
    <cellStyle name="Heading 2 14" xfId="1723" xr:uid="{00000000-0005-0000-0000-0000BB060000}"/>
    <cellStyle name="Heading 2 15" xfId="1724" xr:uid="{00000000-0005-0000-0000-0000BC060000}"/>
    <cellStyle name="Heading 2 16" xfId="1725" xr:uid="{00000000-0005-0000-0000-0000BD060000}"/>
    <cellStyle name="Heading 2 17" xfId="1726" xr:uid="{00000000-0005-0000-0000-0000BE060000}"/>
    <cellStyle name="Heading 2 18" xfId="1727" xr:uid="{00000000-0005-0000-0000-0000BF060000}"/>
    <cellStyle name="Heading 2 19" xfId="1728" xr:uid="{00000000-0005-0000-0000-0000C0060000}"/>
    <cellStyle name="Heading 2 2" xfId="1729" xr:uid="{00000000-0005-0000-0000-0000C1060000}"/>
    <cellStyle name="Heading 2 2 10" xfId="1730" xr:uid="{00000000-0005-0000-0000-0000C2060000}"/>
    <cellStyle name="Heading 2 2 2" xfId="1731" xr:uid="{00000000-0005-0000-0000-0000C3060000}"/>
    <cellStyle name="Heading 2 2 2 2" xfId="1732" xr:uid="{00000000-0005-0000-0000-0000C4060000}"/>
    <cellStyle name="Heading 2 2 2 2 2" xfId="1733" xr:uid="{00000000-0005-0000-0000-0000C5060000}"/>
    <cellStyle name="Heading 2 2 2 2 2 2" xfId="1734" xr:uid="{00000000-0005-0000-0000-0000C6060000}"/>
    <cellStyle name="Heading 2 2 2 2 2 3" xfId="1735" xr:uid="{00000000-0005-0000-0000-0000C7060000}"/>
    <cellStyle name="Heading 2 2 2 2 3" xfId="1736" xr:uid="{00000000-0005-0000-0000-0000C8060000}"/>
    <cellStyle name="Heading 2 2 2 2 4" xfId="1737" xr:uid="{00000000-0005-0000-0000-0000C9060000}"/>
    <cellStyle name="Heading 2 2 2 2 5" xfId="1738" xr:uid="{00000000-0005-0000-0000-0000CA060000}"/>
    <cellStyle name="Heading 2 2 2 2 6" xfId="1739" xr:uid="{00000000-0005-0000-0000-0000CB060000}"/>
    <cellStyle name="Heading 2 2 2 3" xfId="1740" xr:uid="{00000000-0005-0000-0000-0000CC060000}"/>
    <cellStyle name="Heading 2 2 2 4" xfId="1741" xr:uid="{00000000-0005-0000-0000-0000CD060000}"/>
    <cellStyle name="Heading 2 2 2 5" xfId="1742" xr:uid="{00000000-0005-0000-0000-0000CE060000}"/>
    <cellStyle name="Heading 2 2 2 6" xfId="1743" xr:uid="{00000000-0005-0000-0000-0000CF060000}"/>
    <cellStyle name="Heading 2 2 3" xfId="1744" xr:uid="{00000000-0005-0000-0000-0000D0060000}"/>
    <cellStyle name="Heading 2 2 4" xfId="1745" xr:uid="{00000000-0005-0000-0000-0000D1060000}"/>
    <cellStyle name="Heading 2 2 5" xfId="1746" xr:uid="{00000000-0005-0000-0000-0000D2060000}"/>
    <cellStyle name="Heading 2 2 6" xfId="1747" xr:uid="{00000000-0005-0000-0000-0000D3060000}"/>
    <cellStyle name="Heading 2 2 7" xfId="1748" xr:uid="{00000000-0005-0000-0000-0000D4060000}"/>
    <cellStyle name="Heading 2 2 8" xfId="1749" xr:uid="{00000000-0005-0000-0000-0000D5060000}"/>
    <cellStyle name="Heading 2 2 9" xfId="1750" xr:uid="{00000000-0005-0000-0000-0000D6060000}"/>
    <cellStyle name="Heading 2 20" xfId="1751" xr:uid="{00000000-0005-0000-0000-0000D7060000}"/>
    <cellStyle name="Heading 2 21" xfId="1752" xr:uid="{00000000-0005-0000-0000-0000D8060000}"/>
    <cellStyle name="Heading 2 22" xfId="1753" xr:uid="{00000000-0005-0000-0000-0000D9060000}"/>
    <cellStyle name="Heading 2 23" xfId="1754" xr:uid="{00000000-0005-0000-0000-0000DA060000}"/>
    <cellStyle name="Heading 2 24" xfId="1755" xr:uid="{00000000-0005-0000-0000-0000DB060000}"/>
    <cellStyle name="Heading 2 25" xfId="1756" xr:uid="{00000000-0005-0000-0000-0000DC060000}"/>
    <cellStyle name="Heading 2 3" xfId="1757" xr:uid="{00000000-0005-0000-0000-0000DD060000}"/>
    <cellStyle name="Heading 2 4" xfId="1758" xr:uid="{00000000-0005-0000-0000-0000DE060000}"/>
    <cellStyle name="Heading 2 5" xfId="1759" xr:uid="{00000000-0005-0000-0000-0000DF060000}"/>
    <cellStyle name="Heading 2 6" xfId="1760" xr:uid="{00000000-0005-0000-0000-0000E0060000}"/>
    <cellStyle name="Heading 2 7" xfId="1761" xr:uid="{00000000-0005-0000-0000-0000E1060000}"/>
    <cellStyle name="Heading 2 8" xfId="1762" xr:uid="{00000000-0005-0000-0000-0000E2060000}"/>
    <cellStyle name="Heading 2 9" xfId="1763" xr:uid="{00000000-0005-0000-0000-0000E3060000}"/>
    <cellStyle name="Heading 3 10" xfId="1764" xr:uid="{00000000-0005-0000-0000-0000E4060000}"/>
    <cellStyle name="Heading 3 11" xfId="1765" xr:uid="{00000000-0005-0000-0000-0000E5060000}"/>
    <cellStyle name="Heading 3 12" xfId="1766" xr:uid="{00000000-0005-0000-0000-0000E6060000}"/>
    <cellStyle name="Heading 3 13" xfId="1767" xr:uid="{00000000-0005-0000-0000-0000E7060000}"/>
    <cellStyle name="Heading 3 14" xfId="1768" xr:uid="{00000000-0005-0000-0000-0000E8060000}"/>
    <cellStyle name="Heading 3 15" xfId="1769" xr:uid="{00000000-0005-0000-0000-0000E9060000}"/>
    <cellStyle name="Heading 3 16" xfId="1770" xr:uid="{00000000-0005-0000-0000-0000EA060000}"/>
    <cellStyle name="Heading 3 17" xfId="1771" xr:uid="{00000000-0005-0000-0000-0000EB060000}"/>
    <cellStyle name="Heading 3 18" xfId="1772" xr:uid="{00000000-0005-0000-0000-0000EC060000}"/>
    <cellStyle name="Heading 3 19" xfId="1773" xr:uid="{00000000-0005-0000-0000-0000ED060000}"/>
    <cellStyle name="Heading 3 2" xfId="1774" xr:uid="{00000000-0005-0000-0000-0000EE060000}"/>
    <cellStyle name="Heading 3 2 10" xfId="1775" xr:uid="{00000000-0005-0000-0000-0000EF060000}"/>
    <cellStyle name="Heading 3 2 2" xfId="1776" xr:uid="{00000000-0005-0000-0000-0000F0060000}"/>
    <cellStyle name="Heading 3 2 2 2" xfId="1777" xr:uid="{00000000-0005-0000-0000-0000F1060000}"/>
    <cellStyle name="Heading 3 2 2 2 2" xfId="1778" xr:uid="{00000000-0005-0000-0000-0000F2060000}"/>
    <cellStyle name="Heading 3 2 2 2 2 2" xfId="1779" xr:uid="{00000000-0005-0000-0000-0000F3060000}"/>
    <cellStyle name="Heading 3 2 2 2 2 3" xfId="1780" xr:uid="{00000000-0005-0000-0000-0000F4060000}"/>
    <cellStyle name="Heading 3 2 2 2 3" xfId="1781" xr:uid="{00000000-0005-0000-0000-0000F5060000}"/>
    <cellStyle name="Heading 3 2 2 2 4" xfId="1782" xr:uid="{00000000-0005-0000-0000-0000F6060000}"/>
    <cellStyle name="Heading 3 2 2 2 5" xfId="1783" xr:uid="{00000000-0005-0000-0000-0000F7060000}"/>
    <cellStyle name="Heading 3 2 2 2 6" xfId="1784" xr:uid="{00000000-0005-0000-0000-0000F8060000}"/>
    <cellStyle name="Heading 3 2 2 3" xfId="1785" xr:uid="{00000000-0005-0000-0000-0000F9060000}"/>
    <cellStyle name="Heading 3 2 2 4" xfId="1786" xr:uid="{00000000-0005-0000-0000-0000FA060000}"/>
    <cellStyle name="Heading 3 2 2 5" xfId="1787" xr:uid="{00000000-0005-0000-0000-0000FB060000}"/>
    <cellStyle name="Heading 3 2 2 6" xfId="1788" xr:uid="{00000000-0005-0000-0000-0000FC060000}"/>
    <cellStyle name="Heading 3 2 3" xfId="1789" xr:uid="{00000000-0005-0000-0000-0000FD060000}"/>
    <cellStyle name="Heading 3 2 4" xfId="1790" xr:uid="{00000000-0005-0000-0000-0000FE060000}"/>
    <cellStyle name="Heading 3 2 5" xfId="1791" xr:uid="{00000000-0005-0000-0000-0000FF060000}"/>
    <cellStyle name="Heading 3 2 6" xfId="1792" xr:uid="{00000000-0005-0000-0000-000000070000}"/>
    <cellStyle name="Heading 3 2 7" xfId="1793" xr:uid="{00000000-0005-0000-0000-000001070000}"/>
    <cellStyle name="Heading 3 2 8" xfId="1794" xr:uid="{00000000-0005-0000-0000-000002070000}"/>
    <cellStyle name="Heading 3 2 9" xfId="1795" xr:uid="{00000000-0005-0000-0000-000003070000}"/>
    <cellStyle name="Heading 3 20" xfId="1796" xr:uid="{00000000-0005-0000-0000-000004070000}"/>
    <cellStyle name="Heading 3 21" xfId="1797" xr:uid="{00000000-0005-0000-0000-000005070000}"/>
    <cellStyle name="Heading 3 22" xfId="1798" xr:uid="{00000000-0005-0000-0000-000006070000}"/>
    <cellStyle name="Heading 3 23" xfId="1799" xr:uid="{00000000-0005-0000-0000-000007070000}"/>
    <cellStyle name="Heading 3 3" xfId="1800" xr:uid="{00000000-0005-0000-0000-000008070000}"/>
    <cellStyle name="Heading 3 4" xfId="1801" xr:uid="{00000000-0005-0000-0000-000009070000}"/>
    <cellStyle name="Heading 3 5" xfId="1802" xr:uid="{00000000-0005-0000-0000-00000A070000}"/>
    <cellStyle name="Heading 3 6" xfId="1803" xr:uid="{00000000-0005-0000-0000-00000B070000}"/>
    <cellStyle name="Heading 3 7" xfId="1804" xr:uid="{00000000-0005-0000-0000-00000C070000}"/>
    <cellStyle name="Heading 3 8" xfId="1805" xr:uid="{00000000-0005-0000-0000-00000D070000}"/>
    <cellStyle name="Heading 3 9" xfId="1806" xr:uid="{00000000-0005-0000-0000-00000E070000}"/>
    <cellStyle name="Heading 4 10" xfId="1807" xr:uid="{00000000-0005-0000-0000-00000F070000}"/>
    <cellStyle name="Heading 4 11" xfId="1808" xr:uid="{00000000-0005-0000-0000-000010070000}"/>
    <cellStyle name="Heading 4 12" xfId="1809" xr:uid="{00000000-0005-0000-0000-000011070000}"/>
    <cellStyle name="Heading 4 13" xfId="1810" xr:uid="{00000000-0005-0000-0000-000012070000}"/>
    <cellStyle name="Heading 4 14" xfId="1811" xr:uid="{00000000-0005-0000-0000-000013070000}"/>
    <cellStyle name="Heading 4 15" xfId="1812" xr:uid="{00000000-0005-0000-0000-000014070000}"/>
    <cellStyle name="Heading 4 16" xfId="1813" xr:uid="{00000000-0005-0000-0000-000015070000}"/>
    <cellStyle name="Heading 4 17" xfId="1814" xr:uid="{00000000-0005-0000-0000-000016070000}"/>
    <cellStyle name="Heading 4 18" xfId="1815" xr:uid="{00000000-0005-0000-0000-000017070000}"/>
    <cellStyle name="Heading 4 19" xfId="1816" xr:uid="{00000000-0005-0000-0000-000018070000}"/>
    <cellStyle name="Heading 4 2" xfId="1817" xr:uid="{00000000-0005-0000-0000-000019070000}"/>
    <cellStyle name="Heading 4 2 10" xfId="1818" xr:uid="{00000000-0005-0000-0000-00001A070000}"/>
    <cellStyle name="Heading 4 2 2" xfId="1819" xr:uid="{00000000-0005-0000-0000-00001B070000}"/>
    <cellStyle name="Heading 4 2 2 2" xfId="1820" xr:uid="{00000000-0005-0000-0000-00001C070000}"/>
    <cellStyle name="Heading 4 2 2 2 2" xfId="1821" xr:uid="{00000000-0005-0000-0000-00001D070000}"/>
    <cellStyle name="Heading 4 2 2 2 2 2" xfId="1822" xr:uid="{00000000-0005-0000-0000-00001E070000}"/>
    <cellStyle name="Heading 4 2 2 2 2 3" xfId="1823" xr:uid="{00000000-0005-0000-0000-00001F070000}"/>
    <cellStyle name="Heading 4 2 2 2 3" xfId="1824" xr:uid="{00000000-0005-0000-0000-000020070000}"/>
    <cellStyle name="Heading 4 2 2 2 4" xfId="1825" xr:uid="{00000000-0005-0000-0000-000021070000}"/>
    <cellStyle name="Heading 4 2 2 2 5" xfId="1826" xr:uid="{00000000-0005-0000-0000-000022070000}"/>
    <cellStyle name="Heading 4 2 2 2 6" xfId="1827" xr:uid="{00000000-0005-0000-0000-000023070000}"/>
    <cellStyle name="Heading 4 2 2 3" xfId="1828" xr:uid="{00000000-0005-0000-0000-000024070000}"/>
    <cellStyle name="Heading 4 2 2 4" xfId="1829" xr:uid="{00000000-0005-0000-0000-000025070000}"/>
    <cellStyle name="Heading 4 2 2 5" xfId="1830" xr:uid="{00000000-0005-0000-0000-000026070000}"/>
    <cellStyle name="Heading 4 2 2 6" xfId="1831" xr:uid="{00000000-0005-0000-0000-000027070000}"/>
    <cellStyle name="Heading 4 2 3" xfId="1832" xr:uid="{00000000-0005-0000-0000-000028070000}"/>
    <cellStyle name="Heading 4 2 4" xfId="1833" xr:uid="{00000000-0005-0000-0000-000029070000}"/>
    <cellStyle name="Heading 4 2 5" xfId="1834" xr:uid="{00000000-0005-0000-0000-00002A070000}"/>
    <cellStyle name="Heading 4 2 6" xfId="1835" xr:uid="{00000000-0005-0000-0000-00002B070000}"/>
    <cellStyle name="Heading 4 2 7" xfId="1836" xr:uid="{00000000-0005-0000-0000-00002C070000}"/>
    <cellStyle name="Heading 4 2 8" xfId="1837" xr:uid="{00000000-0005-0000-0000-00002D070000}"/>
    <cellStyle name="Heading 4 2 9" xfId="1838" xr:uid="{00000000-0005-0000-0000-00002E070000}"/>
    <cellStyle name="Heading 4 20" xfId="1839" xr:uid="{00000000-0005-0000-0000-00002F070000}"/>
    <cellStyle name="Heading 4 21" xfId="1840" xr:uid="{00000000-0005-0000-0000-000030070000}"/>
    <cellStyle name="Heading 4 22" xfId="1841" xr:uid="{00000000-0005-0000-0000-000031070000}"/>
    <cellStyle name="Heading 4 23" xfId="1842" xr:uid="{00000000-0005-0000-0000-000032070000}"/>
    <cellStyle name="Heading 4 3" xfId="1843" xr:uid="{00000000-0005-0000-0000-000033070000}"/>
    <cellStyle name="Heading 4 4" xfId="1844" xr:uid="{00000000-0005-0000-0000-000034070000}"/>
    <cellStyle name="Heading 4 5" xfId="1845" xr:uid="{00000000-0005-0000-0000-000035070000}"/>
    <cellStyle name="Heading 4 6" xfId="1846" xr:uid="{00000000-0005-0000-0000-000036070000}"/>
    <cellStyle name="Heading 4 7" xfId="1847" xr:uid="{00000000-0005-0000-0000-000037070000}"/>
    <cellStyle name="Heading 4 8" xfId="1848" xr:uid="{00000000-0005-0000-0000-000038070000}"/>
    <cellStyle name="Heading 4 9" xfId="1849" xr:uid="{00000000-0005-0000-0000-000039070000}"/>
    <cellStyle name="Input 10" xfId="1850" xr:uid="{00000000-0005-0000-0000-00003A070000}"/>
    <cellStyle name="Input 11" xfId="1851" xr:uid="{00000000-0005-0000-0000-00003B070000}"/>
    <cellStyle name="Input 12" xfId="1852" xr:uid="{00000000-0005-0000-0000-00003C070000}"/>
    <cellStyle name="Input 13" xfId="1853" xr:uid="{00000000-0005-0000-0000-00003D070000}"/>
    <cellStyle name="Input 14" xfId="1854" xr:uid="{00000000-0005-0000-0000-00003E070000}"/>
    <cellStyle name="Input 15" xfId="1855" xr:uid="{00000000-0005-0000-0000-00003F070000}"/>
    <cellStyle name="Input 16" xfId="1856" xr:uid="{00000000-0005-0000-0000-000040070000}"/>
    <cellStyle name="Input 17" xfId="1857" xr:uid="{00000000-0005-0000-0000-000041070000}"/>
    <cellStyle name="Input 18" xfId="1858" xr:uid="{00000000-0005-0000-0000-000042070000}"/>
    <cellStyle name="Input 19" xfId="1859" xr:uid="{00000000-0005-0000-0000-000043070000}"/>
    <cellStyle name="Input 2" xfId="1860" xr:uid="{00000000-0005-0000-0000-000044070000}"/>
    <cellStyle name="Input 2 10" xfId="1861" xr:uid="{00000000-0005-0000-0000-000045070000}"/>
    <cellStyle name="Input 2 2" xfId="1862" xr:uid="{00000000-0005-0000-0000-000046070000}"/>
    <cellStyle name="Input 2 2 2" xfId="1863" xr:uid="{00000000-0005-0000-0000-000047070000}"/>
    <cellStyle name="Input 2 2 2 2" xfId="1864" xr:uid="{00000000-0005-0000-0000-000048070000}"/>
    <cellStyle name="Input 2 2 2 2 2" xfId="1865" xr:uid="{00000000-0005-0000-0000-000049070000}"/>
    <cellStyle name="Input 2 2 2 2 3" xfId="1866" xr:uid="{00000000-0005-0000-0000-00004A070000}"/>
    <cellStyle name="Input 2 2 2 3" xfId="1867" xr:uid="{00000000-0005-0000-0000-00004B070000}"/>
    <cellStyle name="Input 2 2 2 4" xfId="1868" xr:uid="{00000000-0005-0000-0000-00004C070000}"/>
    <cellStyle name="Input 2 2 2 5" xfId="1869" xr:uid="{00000000-0005-0000-0000-00004D070000}"/>
    <cellStyle name="Input 2 2 2 6" xfId="1870" xr:uid="{00000000-0005-0000-0000-00004E070000}"/>
    <cellStyle name="Input 2 2 3" xfId="1871" xr:uid="{00000000-0005-0000-0000-00004F070000}"/>
    <cellStyle name="Input 2 2 4" xfId="1872" xr:uid="{00000000-0005-0000-0000-000050070000}"/>
    <cellStyle name="Input 2 2 5" xfId="1873" xr:uid="{00000000-0005-0000-0000-000051070000}"/>
    <cellStyle name="Input 2 2 6" xfId="1874" xr:uid="{00000000-0005-0000-0000-000052070000}"/>
    <cellStyle name="Input 2 3" xfId="1875" xr:uid="{00000000-0005-0000-0000-000053070000}"/>
    <cellStyle name="Input 2 4" xfId="1876" xr:uid="{00000000-0005-0000-0000-000054070000}"/>
    <cellStyle name="Input 2 5" xfId="1877" xr:uid="{00000000-0005-0000-0000-000055070000}"/>
    <cellStyle name="Input 2 6" xfId="1878" xr:uid="{00000000-0005-0000-0000-000056070000}"/>
    <cellStyle name="Input 2 7" xfId="1879" xr:uid="{00000000-0005-0000-0000-000057070000}"/>
    <cellStyle name="Input 2 8" xfId="1880" xr:uid="{00000000-0005-0000-0000-000058070000}"/>
    <cellStyle name="Input 2 9" xfId="1881" xr:uid="{00000000-0005-0000-0000-000059070000}"/>
    <cellStyle name="Input 20" xfId="1882" xr:uid="{00000000-0005-0000-0000-00005A070000}"/>
    <cellStyle name="Input 21" xfId="1883" xr:uid="{00000000-0005-0000-0000-00005B070000}"/>
    <cellStyle name="Input 22" xfId="1884" xr:uid="{00000000-0005-0000-0000-00005C070000}"/>
    <cellStyle name="Input 23" xfId="1885" xr:uid="{00000000-0005-0000-0000-00005D070000}"/>
    <cellStyle name="Input 3" xfId="1886" xr:uid="{00000000-0005-0000-0000-00005E070000}"/>
    <cellStyle name="Input 4" xfId="1887" xr:uid="{00000000-0005-0000-0000-00005F070000}"/>
    <cellStyle name="Input 5" xfId="1888" xr:uid="{00000000-0005-0000-0000-000060070000}"/>
    <cellStyle name="Input 6" xfId="1889" xr:uid="{00000000-0005-0000-0000-000061070000}"/>
    <cellStyle name="Input 7" xfId="1890" xr:uid="{00000000-0005-0000-0000-000062070000}"/>
    <cellStyle name="Input 8" xfId="1891" xr:uid="{00000000-0005-0000-0000-000063070000}"/>
    <cellStyle name="Input 9" xfId="1892" xr:uid="{00000000-0005-0000-0000-000064070000}"/>
    <cellStyle name="LineItemPrompt" xfId="1893" xr:uid="{00000000-0005-0000-0000-000065070000}"/>
    <cellStyle name="LineItemValue" xfId="1894" xr:uid="{00000000-0005-0000-0000-000066070000}"/>
    <cellStyle name="Linked Cell 10" xfId="1895" xr:uid="{00000000-0005-0000-0000-000067070000}"/>
    <cellStyle name="Linked Cell 11" xfId="1896" xr:uid="{00000000-0005-0000-0000-000068070000}"/>
    <cellStyle name="Linked Cell 12" xfId="1897" xr:uid="{00000000-0005-0000-0000-000069070000}"/>
    <cellStyle name="Linked Cell 13" xfId="1898" xr:uid="{00000000-0005-0000-0000-00006A070000}"/>
    <cellStyle name="Linked Cell 14" xfId="1899" xr:uid="{00000000-0005-0000-0000-00006B070000}"/>
    <cellStyle name="Linked Cell 15" xfId="1900" xr:uid="{00000000-0005-0000-0000-00006C070000}"/>
    <cellStyle name="Linked Cell 16" xfId="1901" xr:uid="{00000000-0005-0000-0000-00006D070000}"/>
    <cellStyle name="Linked Cell 17" xfId="1902" xr:uid="{00000000-0005-0000-0000-00006E070000}"/>
    <cellStyle name="Linked Cell 18" xfId="1903" xr:uid="{00000000-0005-0000-0000-00006F070000}"/>
    <cellStyle name="Linked Cell 19" xfId="1904" xr:uid="{00000000-0005-0000-0000-000070070000}"/>
    <cellStyle name="Linked Cell 2" xfId="1905" xr:uid="{00000000-0005-0000-0000-000071070000}"/>
    <cellStyle name="Linked Cell 2 10" xfId="1906" xr:uid="{00000000-0005-0000-0000-000072070000}"/>
    <cellStyle name="Linked Cell 2 2" xfId="1907" xr:uid="{00000000-0005-0000-0000-000073070000}"/>
    <cellStyle name="Linked Cell 2 2 2" xfId="1908" xr:uid="{00000000-0005-0000-0000-000074070000}"/>
    <cellStyle name="Linked Cell 2 2 2 2" xfId="1909" xr:uid="{00000000-0005-0000-0000-000075070000}"/>
    <cellStyle name="Linked Cell 2 2 2 2 2" xfId="1910" xr:uid="{00000000-0005-0000-0000-000076070000}"/>
    <cellStyle name="Linked Cell 2 2 2 2 3" xfId="1911" xr:uid="{00000000-0005-0000-0000-000077070000}"/>
    <cellStyle name="Linked Cell 2 2 2 3" xfId="1912" xr:uid="{00000000-0005-0000-0000-000078070000}"/>
    <cellStyle name="Linked Cell 2 2 2 4" xfId="1913" xr:uid="{00000000-0005-0000-0000-000079070000}"/>
    <cellStyle name="Linked Cell 2 2 2 5" xfId="1914" xr:uid="{00000000-0005-0000-0000-00007A070000}"/>
    <cellStyle name="Linked Cell 2 2 2 6" xfId="1915" xr:uid="{00000000-0005-0000-0000-00007B070000}"/>
    <cellStyle name="Linked Cell 2 2 3" xfId="1916" xr:uid="{00000000-0005-0000-0000-00007C070000}"/>
    <cellStyle name="Linked Cell 2 2 4" xfId="1917" xr:uid="{00000000-0005-0000-0000-00007D070000}"/>
    <cellStyle name="Linked Cell 2 2 5" xfId="1918" xr:uid="{00000000-0005-0000-0000-00007E070000}"/>
    <cellStyle name="Linked Cell 2 2 6" xfId="1919" xr:uid="{00000000-0005-0000-0000-00007F070000}"/>
    <cellStyle name="Linked Cell 2 3" xfId="1920" xr:uid="{00000000-0005-0000-0000-000080070000}"/>
    <cellStyle name="Linked Cell 2 4" xfId="1921" xr:uid="{00000000-0005-0000-0000-000081070000}"/>
    <cellStyle name="Linked Cell 2 5" xfId="1922" xr:uid="{00000000-0005-0000-0000-000082070000}"/>
    <cellStyle name="Linked Cell 2 6" xfId="1923" xr:uid="{00000000-0005-0000-0000-000083070000}"/>
    <cellStyle name="Linked Cell 2 7" xfId="1924" xr:uid="{00000000-0005-0000-0000-000084070000}"/>
    <cellStyle name="Linked Cell 2 8" xfId="1925" xr:uid="{00000000-0005-0000-0000-000085070000}"/>
    <cellStyle name="Linked Cell 2 9" xfId="1926" xr:uid="{00000000-0005-0000-0000-000086070000}"/>
    <cellStyle name="Linked Cell 20" xfId="1927" xr:uid="{00000000-0005-0000-0000-000087070000}"/>
    <cellStyle name="Linked Cell 21" xfId="1928" xr:uid="{00000000-0005-0000-0000-000088070000}"/>
    <cellStyle name="Linked Cell 22" xfId="1929" xr:uid="{00000000-0005-0000-0000-000089070000}"/>
    <cellStyle name="Linked Cell 23" xfId="1930" xr:uid="{00000000-0005-0000-0000-00008A070000}"/>
    <cellStyle name="Linked Cell 3" xfId="1931" xr:uid="{00000000-0005-0000-0000-00008B070000}"/>
    <cellStyle name="Linked Cell 4" xfId="1932" xr:uid="{00000000-0005-0000-0000-00008C070000}"/>
    <cellStyle name="Linked Cell 5" xfId="1933" xr:uid="{00000000-0005-0000-0000-00008D070000}"/>
    <cellStyle name="Linked Cell 6" xfId="1934" xr:uid="{00000000-0005-0000-0000-00008E070000}"/>
    <cellStyle name="Linked Cell 7" xfId="1935" xr:uid="{00000000-0005-0000-0000-00008F070000}"/>
    <cellStyle name="Linked Cell 8" xfId="1936" xr:uid="{00000000-0005-0000-0000-000090070000}"/>
    <cellStyle name="Linked Cell 9" xfId="1937" xr:uid="{00000000-0005-0000-0000-000091070000}"/>
    <cellStyle name="Neutral 10" xfId="1938" xr:uid="{00000000-0005-0000-0000-000092070000}"/>
    <cellStyle name="Neutral 11" xfId="1939" xr:uid="{00000000-0005-0000-0000-000093070000}"/>
    <cellStyle name="Neutral 12" xfId="1940" xr:uid="{00000000-0005-0000-0000-000094070000}"/>
    <cellStyle name="Neutral 13" xfId="1941" xr:uid="{00000000-0005-0000-0000-000095070000}"/>
    <cellStyle name="Neutral 14" xfId="1942" xr:uid="{00000000-0005-0000-0000-000096070000}"/>
    <cellStyle name="Neutral 15" xfId="1943" xr:uid="{00000000-0005-0000-0000-000097070000}"/>
    <cellStyle name="Neutral 16" xfId="1944" xr:uid="{00000000-0005-0000-0000-000098070000}"/>
    <cellStyle name="Neutral 17" xfId="1945" xr:uid="{00000000-0005-0000-0000-000099070000}"/>
    <cellStyle name="Neutral 18" xfId="1946" xr:uid="{00000000-0005-0000-0000-00009A070000}"/>
    <cellStyle name="Neutral 19" xfId="1947" xr:uid="{00000000-0005-0000-0000-00009B070000}"/>
    <cellStyle name="Neutral 2" xfId="1948" xr:uid="{00000000-0005-0000-0000-00009C070000}"/>
    <cellStyle name="Neutral 2 10" xfId="1949" xr:uid="{00000000-0005-0000-0000-00009D070000}"/>
    <cellStyle name="Neutral 2 2" xfId="1950" xr:uid="{00000000-0005-0000-0000-00009E070000}"/>
    <cellStyle name="Neutral 2 2 2" xfId="1951" xr:uid="{00000000-0005-0000-0000-00009F070000}"/>
    <cellStyle name="Neutral 2 2 2 2" xfId="1952" xr:uid="{00000000-0005-0000-0000-0000A0070000}"/>
    <cellStyle name="Neutral 2 2 2 2 2" xfId="1953" xr:uid="{00000000-0005-0000-0000-0000A1070000}"/>
    <cellStyle name="Neutral 2 2 2 2 3" xfId="1954" xr:uid="{00000000-0005-0000-0000-0000A2070000}"/>
    <cellStyle name="Neutral 2 2 2 3" xfId="1955" xr:uid="{00000000-0005-0000-0000-0000A3070000}"/>
    <cellStyle name="Neutral 2 2 2 4" xfId="1956" xr:uid="{00000000-0005-0000-0000-0000A4070000}"/>
    <cellStyle name="Neutral 2 2 2 5" xfId="1957" xr:uid="{00000000-0005-0000-0000-0000A5070000}"/>
    <cellStyle name="Neutral 2 2 2 6" xfId="1958" xr:uid="{00000000-0005-0000-0000-0000A6070000}"/>
    <cellStyle name="Neutral 2 2 3" xfId="1959" xr:uid="{00000000-0005-0000-0000-0000A7070000}"/>
    <cellStyle name="Neutral 2 2 4" xfId="1960" xr:uid="{00000000-0005-0000-0000-0000A8070000}"/>
    <cellStyle name="Neutral 2 2 5" xfId="1961" xr:uid="{00000000-0005-0000-0000-0000A9070000}"/>
    <cellStyle name="Neutral 2 2 6" xfId="1962" xr:uid="{00000000-0005-0000-0000-0000AA070000}"/>
    <cellStyle name="Neutral 2 3" xfId="1963" xr:uid="{00000000-0005-0000-0000-0000AB070000}"/>
    <cellStyle name="Neutral 2 4" xfId="1964" xr:uid="{00000000-0005-0000-0000-0000AC070000}"/>
    <cellStyle name="Neutral 2 5" xfId="1965" xr:uid="{00000000-0005-0000-0000-0000AD070000}"/>
    <cellStyle name="Neutral 2 6" xfId="1966" xr:uid="{00000000-0005-0000-0000-0000AE070000}"/>
    <cellStyle name="Neutral 2 7" xfId="1967" xr:uid="{00000000-0005-0000-0000-0000AF070000}"/>
    <cellStyle name="Neutral 2 8" xfId="1968" xr:uid="{00000000-0005-0000-0000-0000B0070000}"/>
    <cellStyle name="Neutral 2 9" xfId="1969" xr:uid="{00000000-0005-0000-0000-0000B1070000}"/>
    <cellStyle name="Neutral 20" xfId="1970" xr:uid="{00000000-0005-0000-0000-0000B2070000}"/>
    <cellStyle name="Neutral 21" xfId="1971" xr:uid="{00000000-0005-0000-0000-0000B3070000}"/>
    <cellStyle name="Neutral 22" xfId="1972" xr:uid="{00000000-0005-0000-0000-0000B4070000}"/>
    <cellStyle name="Neutral 23" xfId="1973" xr:uid="{00000000-0005-0000-0000-0000B5070000}"/>
    <cellStyle name="Neutral 3" xfId="1974" xr:uid="{00000000-0005-0000-0000-0000B6070000}"/>
    <cellStyle name="Neutral 4" xfId="1975" xr:uid="{00000000-0005-0000-0000-0000B7070000}"/>
    <cellStyle name="Neutral 5" xfId="1976" xr:uid="{00000000-0005-0000-0000-0000B8070000}"/>
    <cellStyle name="Neutral 6" xfId="1977" xr:uid="{00000000-0005-0000-0000-0000B9070000}"/>
    <cellStyle name="Neutral 7" xfId="1978" xr:uid="{00000000-0005-0000-0000-0000BA070000}"/>
    <cellStyle name="Neutral 8" xfId="1979" xr:uid="{00000000-0005-0000-0000-0000BB070000}"/>
    <cellStyle name="Neutral 9" xfId="1980" xr:uid="{00000000-0005-0000-0000-0000BC070000}"/>
    <cellStyle name="Normal" xfId="0" builtinId="0"/>
    <cellStyle name="Normal 10" xfId="1981" xr:uid="{00000000-0005-0000-0000-0000BE070000}"/>
    <cellStyle name="Normal 11" xfId="1982" xr:uid="{00000000-0005-0000-0000-0000BF070000}"/>
    <cellStyle name="Normal 11 2" xfId="1983" xr:uid="{00000000-0005-0000-0000-0000C0070000}"/>
    <cellStyle name="Normal 11 3" xfId="1984" xr:uid="{00000000-0005-0000-0000-0000C1070000}"/>
    <cellStyle name="Normal 11 4" xfId="1985" xr:uid="{00000000-0005-0000-0000-0000C2070000}"/>
    <cellStyle name="Normal 11 5" xfId="1986" xr:uid="{00000000-0005-0000-0000-0000C3070000}"/>
    <cellStyle name="Normal 12" xfId="1987" xr:uid="{00000000-0005-0000-0000-0000C4070000}"/>
    <cellStyle name="Normal 12 2" xfId="2389" xr:uid="{00000000-0005-0000-0000-0000C5070000}"/>
    <cellStyle name="Normal 13" xfId="1988" xr:uid="{00000000-0005-0000-0000-0000C6070000}"/>
    <cellStyle name="Normal 13 2" xfId="1989" xr:uid="{00000000-0005-0000-0000-0000C7070000}"/>
    <cellStyle name="Normal 13 3" xfId="1990" xr:uid="{00000000-0005-0000-0000-0000C8070000}"/>
    <cellStyle name="Normal 13 4" xfId="1991" xr:uid="{00000000-0005-0000-0000-0000C9070000}"/>
    <cellStyle name="Normal 13 5" xfId="1992" xr:uid="{00000000-0005-0000-0000-0000CA070000}"/>
    <cellStyle name="Normal 14" xfId="1993" xr:uid="{00000000-0005-0000-0000-0000CB070000}"/>
    <cellStyle name="Normal 15" xfId="1994" xr:uid="{00000000-0005-0000-0000-0000CC070000}"/>
    <cellStyle name="Normal 159" xfId="2396" xr:uid="{00000000-0005-0000-0000-0000CD070000}"/>
    <cellStyle name="Normal 16" xfId="1995" xr:uid="{00000000-0005-0000-0000-0000CE070000}"/>
    <cellStyle name="Normal 17" xfId="1996" xr:uid="{00000000-0005-0000-0000-0000CF070000}"/>
    <cellStyle name="Normal 18" xfId="1997" xr:uid="{00000000-0005-0000-0000-0000D0070000}"/>
    <cellStyle name="Normal 19" xfId="1998" xr:uid="{00000000-0005-0000-0000-0000D1070000}"/>
    <cellStyle name="Normal 198" xfId="2397" xr:uid="{00000000-0005-0000-0000-0000D2070000}"/>
    <cellStyle name="Normal 2" xfId="6" xr:uid="{00000000-0005-0000-0000-0000D3070000}"/>
    <cellStyle name="Normal 2 10" xfId="1999" xr:uid="{00000000-0005-0000-0000-0000D4070000}"/>
    <cellStyle name="Normal 2 11" xfId="2000" xr:uid="{00000000-0005-0000-0000-0000D5070000}"/>
    <cellStyle name="Normal 2 12" xfId="2001" xr:uid="{00000000-0005-0000-0000-0000D6070000}"/>
    <cellStyle name="Normal 2 13" xfId="2002" xr:uid="{00000000-0005-0000-0000-0000D7070000}"/>
    <cellStyle name="Normal 2 14" xfId="2003" xr:uid="{00000000-0005-0000-0000-0000D8070000}"/>
    <cellStyle name="Normal 2 15" xfId="2004" xr:uid="{00000000-0005-0000-0000-0000D9070000}"/>
    <cellStyle name="Normal 2 16" xfId="2005" xr:uid="{00000000-0005-0000-0000-0000DA070000}"/>
    <cellStyle name="Normal 2 17" xfId="2006" xr:uid="{00000000-0005-0000-0000-0000DB070000}"/>
    <cellStyle name="Normal 2 18" xfId="2007" xr:uid="{00000000-0005-0000-0000-0000DC070000}"/>
    <cellStyle name="Normal 2 19" xfId="2008" xr:uid="{00000000-0005-0000-0000-0000DD070000}"/>
    <cellStyle name="Normal 2 19 2" xfId="2009" xr:uid="{00000000-0005-0000-0000-0000DE070000}"/>
    <cellStyle name="Normal 2 19 3" xfId="2010" xr:uid="{00000000-0005-0000-0000-0000DF070000}"/>
    <cellStyle name="Normal 2 19 4" xfId="2011" xr:uid="{00000000-0005-0000-0000-0000E0070000}"/>
    <cellStyle name="Normal 2 19 5" xfId="2012" xr:uid="{00000000-0005-0000-0000-0000E1070000}"/>
    <cellStyle name="Normal 2 2" xfId="9" xr:uid="{00000000-0005-0000-0000-0000E2070000}"/>
    <cellStyle name="Normal 2 2 2" xfId="2013" xr:uid="{00000000-0005-0000-0000-0000E3070000}"/>
    <cellStyle name="Normal 2 2 2 2" xfId="2014" xr:uid="{00000000-0005-0000-0000-0000E4070000}"/>
    <cellStyle name="Normal 2 2 2 3" xfId="2015" xr:uid="{00000000-0005-0000-0000-0000E5070000}"/>
    <cellStyle name="Normal 2 2 2 4" xfId="2394" xr:uid="{00000000-0005-0000-0000-0000E6070000}"/>
    <cellStyle name="Normal 2 2 3" xfId="2016" xr:uid="{00000000-0005-0000-0000-0000E7070000}"/>
    <cellStyle name="Normal 2 20" xfId="2017" xr:uid="{00000000-0005-0000-0000-0000E8070000}"/>
    <cellStyle name="Normal 2 21" xfId="2018" xr:uid="{00000000-0005-0000-0000-0000E9070000}"/>
    <cellStyle name="Normal 2 22" xfId="2019" xr:uid="{00000000-0005-0000-0000-0000EA070000}"/>
    <cellStyle name="Normal 2 23" xfId="2020" xr:uid="{00000000-0005-0000-0000-0000EB070000}"/>
    <cellStyle name="Normal 2 24" xfId="2021" xr:uid="{00000000-0005-0000-0000-0000EC070000}"/>
    <cellStyle name="Normal 2 25" xfId="2022" xr:uid="{00000000-0005-0000-0000-0000ED070000}"/>
    <cellStyle name="Normal 2 26" xfId="2023" xr:uid="{00000000-0005-0000-0000-0000EE070000}"/>
    <cellStyle name="Normal 2 27" xfId="2393" xr:uid="{00000000-0005-0000-0000-0000EF070000}"/>
    <cellStyle name="Normal 2 28" xfId="2395" xr:uid="{00000000-0005-0000-0000-0000F0070000}"/>
    <cellStyle name="Normal 2 3" xfId="2024" xr:uid="{00000000-0005-0000-0000-0000F1070000}"/>
    <cellStyle name="Normal 2 4" xfId="2025" xr:uid="{00000000-0005-0000-0000-0000F2070000}"/>
    <cellStyle name="Normal 2 4 2" xfId="2390" xr:uid="{00000000-0005-0000-0000-0000F3070000}"/>
    <cellStyle name="Normal 2 5" xfId="2026" xr:uid="{00000000-0005-0000-0000-0000F4070000}"/>
    <cellStyle name="Normal 2 6" xfId="2027" xr:uid="{00000000-0005-0000-0000-0000F5070000}"/>
    <cellStyle name="Normal 2 7" xfId="2028" xr:uid="{00000000-0005-0000-0000-0000F6070000}"/>
    <cellStyle name="Normal 2 8" xfId="2029" xr:uid="{00000000-0005-0000-0000-0000F7070000}"/>
    <cellStyle name="Normal 2 9" xfId="2030" xr:uid="{00000000-0005-0000-0000-0000F8070000}"/>
    <cellStyle name="Normal 20" xfId="2031" xr:uid="{00000000-0005-0000-0000-0000F9070000}"/>
    <cellStyle name="Normal 20 2" xfId="2032" xr:uid="{00000000-0005-0000-0000-0000FA070000}"/>
    <cellStyle name="Normal 20 3" xfId="2033" xr:uid="{00000000-0005-0000-0000-0000FB070000}"/>
    <cellStyle name="Normal 20 4" xfId="2034" xr:uid="{00000000-0005-0000-0000-0000FC070000}"/>
    <cellStyle name="Normal 20 5" xfId="2035" xr:uid="{00000000-0005-0000-0000-0000FD070000}"/>
    <cellStyle name="Normal 21" xfId="2036" xr:uid="{00000000-0005-0000-0000-0000FE070000}"/>
    <cellStyle name="Normal 22" xfId="2037" xr:uid="{00000000-0005-0000-0000-0000FF070000}"/>
    <cellStyle name="Normal 23" xfId="2038" xr:uid="{00000000-0005-0000-0000-000000080000}"/>
    <cellStyle name="Normal 24" xfId="2039" xr:uid="{00000000-0005-0000-0000-000001080000}"/>
    <cellStyle name="Normal 25" xfId="2040" xr:uid="{00000000-0005-0000-0000-000002080000}"/>
    <cellStyle name="Normal 26" xfId="2041" xr:uid="{00000000-0005-0000-0000-000003080000}"/>
    <cellStyle name="Normal 27" xfId="2042" xr:uid="{00000000-0005-0000-0000-000004080000}"/>
    <cellStyle name="Normal 28" xfId="2043" xr:uid="{00000000-0005-0000-0000-000005080000}"/>
    <cellStyle name="Normal 29" xfId="2044" xr:uid="{00000000-0005-0000-0000-000006080000}"/>
    <cellStyle name="Normal 3" xfId="4" xr:uid="{00000000-0005-0000-0000-000007080000}"/>
    <cellStyle name="Normal 3 10" xfId="2045" xr:uid="{00000000-0005-0000-0000-000008080000}"/>
    <cellStyle name="Normal 3 11" xfId="2046" xr:uid="{00000000-0005-0000-0000-000009080000}"/>
    <cellStyle name="Normal 3 12" xfId="2047" xr:uid="{00000000-0005-0000-0000-00000A080000}"/>
    <cellStyle name="Normal 3 13" xfId="2048" xr:uid="{00000000-0005-0000-0000-00000B080000}"/>
    <cellStyle name="Normal 3 14" xfId="2049" xr:uid="{00000000-0005-0000-0000-00000C080000}"/>
    <cellStyle name="Normal 3 15" xfId="2050" xr:uid="{00000000-0005-0000-0000-00000D080000}"/>
    <cellStyle name="Normal 3 16" xfId="2051" xr:uid="{00000000-0005-0000-0000-00000E080000}"/>
    <cellStyle name="Normal 3 17" xfId="2052" xr:uid="{00000000-0005-0000-0000-00000F080000}"/>
    <cellStyle name="Normal 3 18" xfId="2053" xr:uid="{00000000-0005-0000-0000-000010080000}"/>
    <cellStyle name="Normal 3 2" xfId="2054" xr:uid="{00000000-0005-0000-0000-000011080000}"/>
    <cellStyle name="Normal 3 3" xfId="2055" xr:uid="{00000000-0005-0000-0000-000012080000}"/>
    <cellStyle name="Normal 3 4" xfId="2056" xr:uid="{00000000-0005-0000-0000-000013080000}"/>
    <cellStyle name="Normal 3 5" xfId="2057" xr:uid="{00000000-0005-0000-0000-000014080000}"/>
    <cellStyle name="Normal 3 6" xfId="2058" xr:uid="{00000000-0005-0000-0000-000015080000}"/>
    <cellStyle name="Normal 3 7" xfId="2059" xr:uid="{00000000-0005-0000-0000-000016080000}"/>
    <cellStyle name="Normal 3 8" xfId="2060" xr:uid="{00000000-0005-0000-0000-000017080000}"/>
    <cellStyle name="Normal 3 9" xfId="2061" xr:uid="{00000000-0005-0000-0000-000018080000}"/>
    <cellStyle name="Normal 30" xfId="2062" xr:uid="{00000000-0005-0000-0000-000019080000}"/>
    <cellStyle name="Normal 31" xfId="2063" xr:uid="{00000000-0005-0000-0000-00001A080000}"/>
    <cellStyle name="Normal 31 2" xfId="2064" xr:uid="{00000000-0005-0000-0000-00001B080000}"/>
    <cellStyle name="Normal 31 3" xfId="2065" xr:uid="{00000000-0005-0000-0000-00001C080000}"/>
    <cellStyle name="Normal 31 4" xfId="2066" xr:uid="{00000000-0005-0000-0000-00001D080000}"/>
    <cellStyle name="Normal 31 5" xfId="2067" xr:uid="{00000000-0005-0000-0000-00001E080000}"/>
    <cellStyle name="Normal 32" xfId="2068" xr:uid="{00000000-0005-0000-0000-00001F080000}"/>
    <cellStyle name="Normal 33" xfId="2069" xr:uid="{00000000-0005-0000-0000-000020080000}"/>
    <cellStyle name="Normal 34" xfId="2070" xr:uid="{00000000-0005-0000-0000-000021080000}"/>
    <cellStyle name="Normal 35" xfId="2071" xr:uid="{00000000-0005-0000-0000-000022080000}"/>
    <cellStyle name="Normal 36" xfId="2383" xr:uid="{00000000-0005-0000-0000-000023080000}"/>
    <cellStyle name="Normal 36 2" xfId="2072" xr:uid="{00000000-0005-0000-0000-000024080000}"/>
    <cellStyle name="Normal 36 3" xfId="2073" xr:uid="{00000000-0005-0000-0000-000025080000}"/>
    <cellStyle name="Normal 36 4" xfId="2074" xr:uid="{00000000-0005-0000-0000-000026080000}"/>
    <cellStyle name="Normal 36 5" xfId="2075" xr:uid="{00000000-0005-0000-0000-000027080000}"/>
    <cellStyle name="Normal 37" xfId="2076" xr:uid="{00000000-0005-0000-0000-000028080000}"/>
    <cellStyle name="Normal 38" xfId="2077" xr:uid="{00000000-0005-0000-0000-000029080000}"/>
    <cellStyle name="Normal 39" xfId="2386" xr:uid="{00000000-0005-0000-0000-00002A080000}"/>
    <cellStyle name="Normal 4" xfId="2078" xr:uid="{00000000-0005-0000-0000-00002B080000}"/>
    <cellStyle name="Normal 40" xfId="2079" xr:uid="{00000000-0005-0000-0000-00002C080000}"/>
    <cellStyle name="Normal 41" xfId="2387" xr:uid="{00000000-0005-0000-0000-00002D080000}"/>
    <cellStyle name="Normal 41 2" xfId="2388" xr:uid="{00000000-0005-0000-0000-00002E080000}"/>
    <cellStyle name="Normal 42" xfId="2080" xr:uid="{00000000-0005-0000-0000-00002F080000}"/>
    <cellStyle name="Normal 43" xfId="2081" xr:uid="{00000000-0005-0000-0000-000030080000}"/>
    <cellStyle name="Normal 45" xfId="2082" xr:uid="{00000000-0005-0000-0000-000031080000}"/>
    <cellStyle name="Normal 46" xfId="2083" xr:uid="{00000000-0005-0000-0000-000032080000}"/>
    <cellStyle name="Normal 48" xfId="2084" xr:uid="{00000000-0005-0000-0000-000033080000}"/>
    <cellStyle name="Normal 49" xfId="2085" xr:uid="{00000000-0005-0000-0000-000034080000}"/>
    <cellStyle name="Normal 5" xfId="2086" xr:uid="{00000000-0005-0000-0000-000035080000}"/>
    <cellStyle name="Normal 50" xfId="2087" xr:uid="{00000000-0005-0000-0000-000036080000}"/>
    <cellStyle name="Normal 51" xfId="2088" xr:uid="{00000000-0005-0000-0000-000037080000}"/>
    <cellStyle name="Normal 52" xfId="2089" xr:uid="{00000000-0005-0000-0000-000038080000}"/>
    <cellStyle name="Normal 6" xfId="2090" xr:uid="{00000000-0005-0000-0000-000039080000}"/>
    <cellStyle name="Normal 7" xfId="2091" xr:uid="{00000000-0005-0000-0000-00003A080000}"/>
    <cellStyle name="Normal 8" xfId="2092" xr:uid="{00000000-0005-0000-0000-00003B080000}"/>
    <cellStyle name="Normal 9" xfId="2093" xr:uid="{00000000-0005-0000-0000-00003C080000}"/>
    <cellStyle name="Normal_Schedule J" xfId="2404" xr:uid="{00000000-0005-0000-0000-00003D080000}"/>
    <cellStyle name="Note 10" xfId="2094" xr:uid="{00000000-0005-0000-0000-00003E080000}"/>
    <cellStyle name="Note 10 2" xfId="2095" xr:uid="{00000000-0005-0000-0000-00003F080000}"/>
    <cellStyle name="Note 10 3" xfId="2096" xr:uid="{00000000-0005-0000-0000-000040080000}"/>
    <cellStyle name="Note 10 4" xfId="2097" xr:uid="{00000000-0005-0000-0000-000041080000}"/>
    <cellStyle name="Note 10 5" xfId="2098" xr:uid="{00000000-0005-0000-0000-000042080000}"/>
    <cellStyle name="Note 11" xfId="2099" xr:uid="{00000000-0005-0000-0000-000043080000}"/>
    <cellStyle name="Note 11 2" xfId="2100" xr:uid="{00000000-0005-0000-0000-000044080000}"/>
    <cellStyle name="Note 11 3" xfId="2101" xr:uid="{00000000-0005-0000-0000-000045080000}"/>
    <cellStyle name="Note 11 4" xfId="2102" xr:uid="{00000000-0005-0000-0000-000046080000}"/>
    <cellStyle name="Note 11 5" xfId="2103" xr:uid="{00000000-0005-0000-0000-000047080000}"/>
    <cellStyle name="Note 12" xfId="2104" xr:uid="{00000000-0005-0000-0000-000048080000}"/>
    <cellStyle name="Note 13" xfId="2105" xr:uid="{00000000-0005-0000-0000-000049080000}"/>
    <cellStyle name="Note 14" xfId="2106" xr:uid="{00000000-0005-0000-0000-00004A080000}"/>
    <cellStyle name="Note 15" xfId="2107" xr:uid="{00000000-0005-0000-0000-00004B080000}"/>
    <cellStyle name="Note 15 2" xfId="2108" xr:uid="{00000000-0005-0000-0000-00004C080000}"/>
    <cellStyle name="Note 15 3" xfId="2109" xr:uid="{00000000-0005-0000-0000-00004D080000}"/>
    <cellStyle name="Note 15 4" xfId="2110" xr:uid="{00000000-0005-0000-0000-00004E080000}"/>
    <cellStyle name="Note 15 5" xfId="2111" xr:uid="{00000000-0005-0000-0000-00004F080000}"/>
    <cellStyle name="Note 16" xfId="2112" xr:uid="{00000000-0005-0000-0000-000050080000}"/>
    <cellStyle name="Note 16 2" xfId="2113" xr:uid="{00000000-0005-0000-0000-000051080000}"/>
    <cellStyle name="Note 16 3" xfId="2114" xr:uid="{00000000-0005-0000-0000-000052080000}"/>
    <cellStyle name="Note 16 4" xfId="2115" xr:uid="{00000000-0005-0000-0000-000053080000}"/>
    <cellStyle name="Note 16 5" xfId="2116" xr:uid="{00000000-0005-0000-0000-000054080000}"/>
    <cellStyle name="Note 17" xfId="2117" xr:uid="{00000000-0005-0000-0000-000055080000}"/>
    <cellStyle name="Note 18" xfId="2118" xr:uid="{00000000-0005-0000-0000-000056080000}"/>
    <cellStyle name="Note 18 2" xfId="2119" xr:uid="{00000000-0005-0000-0000-000057080000}"/>
    <cellStyle name="Note 18 3" xfId="2120" xr:uid="{00000000-0005-0000-0000-000058080000}"/>
    <cellStyle name="Note 18 4" xfId="2121" xr:uid="{00000000-0005-0000-0000-000059080000}"/>
    <cellStyle name="Note 18 5" xfId="2122" xr:uid="{00000000-0005-0000-0000-00005A080000}"/>
    <cellStyle name="Note 19" xfId="2123" xr:uid="{00000000-0005-0000-0000-00005B080000}"/>
    <cellStyle name="Note 2" xfId="2124" xr:uid="{00000000-0005-0000-0000-00005C080000}"/>
    <cellStyle name="Note 2 2" xfId="2125" xr:uid="{00000000-0005-0000-0000-00005D080000}"/>
    <cellStyle name="Note 2 2 2" xfId="2126" xr:uid="{00000000-0005-0000-0000-00005E080000}"/>
    <cellStyle name="Note 2 2 3" xfId="2127" xr:uid="{00000000-0005-0000-0000-00005F080000}"/>
    <cellStyle name="Note 2 3" xfId="2128" xr:uid="{00000000-0005-0000-0000-000060080000}"/>
    <cellStyle name="Note 20" xfId="2129" xr:uid="{00000000-0005-0000-0000-000061080000}"/>
    <cellStyle name="Note 21" xfId="2130" xr:uid="{00000000-0005-0000-0000-000062080000}"/>
    <cellStyle name="Note 22" xfId="2131" xr:uid="{00000000-0005-0000-0000-000063080000}"/>
    <cellStyle name="Note 23" xfId="2132" xr:uid="{00000000-0005-0000-0000-000064080000}"/>
    <cellStyle name="Note 24" xfId="2133" xr:uid="{00000000-0005-0000-0000-000065080000}"/>
    <cellStyle name="Note 25" xfId="2134" xr:uid="{00000000-0005-0000-0000-000066080000}"/>
    <cellStyle name="Note 26" xfId="2135" xr:uid="{00000000-0005-0000-0000-000067080000}"/>
    <cellStyle name="Note 27" xfId="2136" xr:uid="{00000000-0005-0000-0000-000068080000}"/>
    <cellStyle name="Note 28" xfId="2137" xr:uid="{00000000-0005-0000-0000-000069080000}"/>
    <cellStyle name="Note 29" xfId="2138" xr:uid="{00000000-0005-0000-0000-00006A080000}"/>
    <cellStyle name="Note 3" xfId="2139" xr:uid="{00000000-0005-0000-0000-00006B080000}"/>
    <cellStyle name="Note 30" xfId="2140" xr:uid="{00000000-0005-0000-0000-00006C080000}"/>
    <cellStyle name="Note 31" xfId="2141" xr:uid="{00000000-0005-0000-0000-00006D080000}"/>
    <cellStyle name="Note 32" xfId="2142" xr:uid="{00000000-0005-0000-0000-00006E080000}"/>
    <cellStyle name="Note 33" xfId="2143" xr:uid="{00000000-0005-0000-0000-00006F080000}"/>
    <cellStyle name="Note 34" xfId="2144" xr:uid="{00000000-0005-0000-0000-000070080000}"/>
    <cellStyle name="Note 35" xfId="2145" xr:uid="{00000000-0005-0000-0000-000071080000}"/>
    <cellStyle name="Note 4" xfId="2146" xr:uid="{00000000-0005-0000-0000-000072080000}"/>
    <cellStyle name="Note 5" xfId="2147" xr:uid="{00000000-0005-0000-0000-000073080000}"/>
    <cellStyle name="Note 6" xfId="2148" xr:uid="{00000000-0005-0000-0000-000074080000}"/>
    <cellStyle name="Note 7" xfId="2149" xr:uid="{00000000-0005-0000-0000-000075080000}"/>
    <cellStyle name="Note 8" xfId="2150" xr:uid="{00000000-0005-0000-0000-000076080000}"/>
    <cellStyle name="Note 9" xfId="2151" xr:uid="{00000000-0005-0000-0000-000077080000}"/>
    <cellStyle name="Note 9 2" xfId="2152" xr:uid="{00000000-0005-0000-0000-000078080000}"/>
    <cellStyle name="Note 9 3" xfId="2153" xr:uid="{00000000-0005-0000-0000-000079080000}"/>
    <cellStyle name="Note 9 4" xfId="2154" xr:uid="{00000000-0005-0000-0000-00007A080000}"/>
    <cellStyle name="Note 9 5" xfId="2155" xr:uid="{00000000-0005-0000-0000-00007B080000}"/>
    <cellStyle name="Output 10" xfId="2156" xr:uid="{00000000-0005-0000-0000-00007C080000}"/>
    <cellStyle name="Output 11" xfId="2157" xr:uid="{00000000-0005-0000-0000-00007D080000}"/>
    <cellStyle name="Output 12" xfId="2158" xr:uid="{00000000-0005-0000-0000-00007E080000}"/>
    <cellStyle name="Output 13" xfId="2159" xr:uid="{00000000-0005-0000-0000-00007F080000}"/>
    <cellStyle name="Output 14" xfId="2160" xr:uid="{00000000-0005-0000-0000-000080080000}"/>
    <cellStyle name="Output 15" xfId="2161" xr:uid="{00000000-0005-0000-0000-000081080000}"/>
    <cellStyle name="Output 16" xfId="2162" xr:uid="{00000000-0005-0000-0000-000082080000}"/>
    <cellStyle name="Output 17" xfId="2163" xr:uid="{00000000-0005-0000-0000-000083080000}"/>
    <cellStyle name="Output 18" xfId="2164" xr:uid="{00000000-0005-0000-0000-000084080000}"/>
    <cellStyle name="Output 19" xfId="2165" xr:uid="{00000000-0005-0000-0000-000085080000}"/>
    <cellStyle name="Output 2" xfId="2166" xr:uid="{00000000-0005-0000-0000-000086080000}"/>
    <cellStyle name="Output 2 10" xfId="2167" xr:uid="{00000000-0005-0000-0000-000087080000}"/>
    <cellStyle name="Output 2 2" xfId="2168" xr:uid="{00000000-0005-0000-0000-000088080000}"/>
    <cellStyle name="Output 2 2 2" xfId="2169" xr:uid="{00000000-0005-0000-0000-000089080000}"/>
    <cellStyle name="Output 2 2 2 2" xfId="2170" xr:uid="{00000000-0005-0000-0000-00008A080000}"/>
    <cellStyle name="Output 2 2 2 2 2" xfId="2171" xr:uid="{00000000-0005-0000-0000-00008B080000}"/>
    <cellStyle name="Output 2 2 2 2 3" xfId="2172" xr:uid="{00000000-0005-0000-0000-00008C080000}"/>
    <cellStyle name="Output 2 2 2 3" xfId="2173" xr:uid="{00000000-0005-0000-0000-00008D080000}"/>
    <cellStyle name="Output 2 2 2 4" xfId="2174" xr:uid="{00000000-0005-0000-0000-00008E080000}"/>
    <cellStyle name="Output 2 2 2 5" xfId="2175" xr:uid="{00000000-0005-0000-0000-00008F080000}"/>
    <cellStyle name="Output 2 2 2 6" xfId="2176" xr:uid="{00000000-0005-0000-0000-000090080000}"/>
    <cellStyle name="Output 2 2 3" xfId="2177" xr:uid="{00000000-0005-0000-0000-000091080000}"/>
    <cellStyle name="Output 2 2 4" xfId="2178" xr:uid="{00000000-0005-0000-0000-000092080000}"/>
    <cellStyle name="Output 2 2 5" xfId="2179" xr:uid="{00000000-0005-0000-0000-000093080000}"/>
    <cellStyle name="Output 2 2 6" xfId="2180" xr:uid="{00000000-0005-0000-0000-000094080000}"/>
    <cellStyle name="Output 2 3" xfId="2181" xr:uid="{00000000-0005-0000-0000-000095080000}"/>
    <cellStyle name="Output 2 4" xfId="2182" xr:uid="{00000000-0005-0000-0000-000096080000}"/>
    <cellStyle name="Output 2 5" xfId="2183" xr:uid="{00000000-0005-0000-0000-000097080000}"/>
    <cellStyle name="Output 2 6" xfId="2184" xr:uid="{00000000-0005-0000-0000-000098080000}"/>
    <cellStyle name="Output 2 7" xfId="2185" xr:uid="{00000000-0005-0000-0000-000099080000}"/>
    <cellStyle name="Output 2 8" xfId="2186" xr:uid="{00000000-0005-0000-0000-00009A080000}"/>
    <cellStyle name="Output 2 9" xfId="2187" xr:uid="{00000000-0005-0000-0000-00009B080000}"/>
    <cellStyle name="Output 20" xfId="2188" xr:uid="{00000000-0005-0000-0000-00009C080000}"/>
    <cellStyle name="Output 21" xfId="2189" xr:uid="{00000000-0005-0000-0000-00009D080000}"/>
    <cellStyle name="Output 22" xfId="2190" xr:uid="{00000000-0005-0000-0000-00009E080000}"/>
    <cellStyle name="Output 23" xfId="2191" xr:uid="{00000000-0005-0000-0000-00009F080000}"/>
    <cellStyle name="Output 3" xfId="2192" xr:uid="{00000000-0005-0000-0000-0000A0080000}"/>
    <cellStyle name="Output 4" xfId="2193" xr:uid="{00000000-0005-0000-0000-0000A1080000}"/>
    <cellStyle name="Output 5" xfId="2194" xr:uid="{00000000-0005-0000-0000-0000A2080000}"/>
    <cellStyle name="Output 6" xfId="2195" xr:uid="{00000000-0005-0000-0000-0000A3080000}"/>
    <cellStyle name="Output 7" xfId="2196" xr:uid="{00000000-0005-0000-0000-0000A4080000}"/>
    <cellStyle name="Output 8" xfId="2197" xr:uid="{00000000-0005-0000-0000-0000A5080000}"/>
    <cellStyle name="Output 9" xfId="2198" xr:uid="{00000000-0005-0000-0000-0000A6080000}"/>
    <cellStyle name="Output Amounts" xfId="2199" xr:uid="{00000000-0005-0000-0000-0000A7080000}"/>
    <cellStyle name="Output Column Headings" xfId="2200" xr:uid="{00000000-0005-0000-0000-0000A8080000}"/>
    <cellStyle name="Output Column Headings 2" xfId="2201" xr:uid="{00000000-0005-0000-0000-0000A9080000}"/>
    <cellStyle name="Output Column Headings 3" xfId="2202" xr:uid="{00000000-0005-0000-0000-0000AA080000}"/>
    <cellStyle name="Output Column Headings 4" xfId="2203" xr:uid="{00000000-0005-0000-0000-0000AB080000}"/>
    <cellStyle name="Output Column Headings 5" xfId="2204" xr:uid="{00000000-0005-0000-0000-0000AC080000}"/>
    <cellStyle name="Output Column Headings 6" xfId="2205" xr:uid="{00000000-0005-0000-0000-0000AD080000}"/>
    <cellStyle name="Output Column Headings 7" xfId="2206" xr:uid="{00000000-0005-0000-0000-0000AE080000}"/>
    <cellStyle name="Output Line Items" xfId="2207" xr:uid="{00000000-0005-0000-0000-0000AF080000}"/>
    <cellStyle name="Output Line Items 2" xfId="2208" xr:uid="{00000000-0005-0000-0000-0000B0080000}"/>
    <cellStyle name="Output Line Items 3" xfId="2209" xr:uid="{00000000-0005-0000-0000-0000B1080000}"/>
    <cellStyle name="Output Line Items 4" xfId="2210" xr:uid="{00000000-0005-0000-0000-0000B2080000}"/>
    <cellStyle name="Output Line Items 5" xfId="2211" xr:uid="{00000000-0005-0000-0000-0000B3080000}"/>
    <cellStyle name="Output Line Items 6" xfId="2212" xr:uid="{00000000-0005-0000-0000-0000B4080000}"/>
    <cellStyle name="Output Line Items 7" xfId="2213" xr:uid="{00000000-0005-0000-0000-0000B5080000}"/>
    <cellStyle name="Output Report Heading" xfId="2214" xr:uid="{00000000-0005-0000-0000-0000B6080000}"/>
    <cellStyle name="Output Report Heading 2" xfId="2215" xr:uid="{00000000-0005-0000-0000-0000B7080000}"/>
    <cellStyle name="Output Report Heading 3" xfId="2216" xr:uid="{00000000-0005-0000-0000-0000B8080000}"/>
    <cellStyle name="Output Report Heading 4" xfId="2217" xr:uid="{00000000-0005-0000-0000-0000B9080000}"/>
    <cellStyle name="Output Report Heading 5" xfId="2218" xr:uid="{00000000-0005-0000-0000-0000BA080000}"/>
    <cellStyle name="Output Report Heading 6" xfId="2219" xr:uid="{00000000-0005-0000-0000-0000BB080000}"/>
    <cellStyle name="Output Report Heading 7" xfId="2220" xr:uid="{00000000-0005-0000-0000-0000BC080000}"/>
    <cellStyle name="Output Report Title" xfId="2221" xr:uid="{00000000-0005-0000-0000-0000BD080000}"/>
    <cellStyle name="Output Report Title 2" xfId="2222" xr:uid="{00000000-0005-0000-0000-0000BE080000}"/>
    <cellStyle name="Output Report Title 3" xfId="2223" xr:uid="{00000000-0005-0000-0000-0000BF080000}"/>
    <cellStyle name="Output Report Title 4" xfId="2224" xr:uid="{00000000-0005-0000-0000-0000C0080000}"/>
    <cellStyle name="Output Report Title 5" xfId="2225" xr:uid="{00000000-0005-0000-0000-0000C1080000}"/>
    <cellStyle name="Output Report Title 6" xfId="2226" xr:uid="{00000000-0005-0000-0000-0000C2080000}"/>
    <cellStyle name="Output Report Title 7" xfId="2227" xr:uid="{00000000-0005-0000-0000-0000C3080000}"/>
    <cellStyle name="Percent" xfId="3" builtinId="5"/>
    <cellStyle name="Percent 2" xfId="7" xr:uid="{00000000-0005-0000-0000-0000C5080000}"/>
    <cellStyle name="Percent 2 2" xfId="2228" xr:uid="{00000000-0005-0000-0000-0000C6080000}"/>
    <cellStyle name="Percent 2 3" xfId="2229" xr:uid="{00000000-0005-0000-0000-0000C7080000}"/>
    <cellStyle name="Percent 2 3 2" xfId="2392" xr:uid="{00000000-0005-0000-0000-0000C8080000}"/>
    <cellStyle name="Percent 2 4" xfId="2230" xr:uid="{00000000-0005-0000-0000-0000C9080000}"/>
    <cellStyle name="Percent 2 5" xfId="2231" xr:uid="{00000000-0005-0000-0000-0000CA080000}"/>
    <cellStyle name="Percent 2 6" xfId="2232" xr:uid="{00000000-0005-0000-0000-0000CB080000}"/>
    <cellStyle name="Percent 2 7" xfId="2403" xr:uid="{00000000-0005-0000-0000-0000CC080000}"/>
    <cellStyle name="Percent 3" xfId="2385" xr:uid="{00000000-0005-0000-0000-0000CD080000}"/>
    <cellStyle name="Percent 4" xfId="2400" xr:uid="{00000000-0005-0000-0000-0000CE080000}"/>
    <cellStyle name="ReportTitlePrompt" xfId="2233" xr:uid="{00000000-0005-0000-0000-0000CF080000}"/>
    <cellStyle name="ReportTitleValue" xfId="2234" xr:uid="{00000000-0005-0000-0000-0000D0080000}"/>
    <cellStyle name="RowAcctAbovePrompt" xfId="2235" xr:uid="{00000000-0005-0000-0000-0000D1080000}"/>
    <cellStyle name="RowAcctSOBAbovePrompt" xfId="2236" xr:uid="{00000000-0005-0000-0000-0000D2080000}"/>
    <cellStyle name="RowAcctSOBValue" xfId="2237" xr:uid="{00000000-0005-0000-0000-0000D3080000}"/>
    <cellStyle name="RowAcctValue" xfId="2238" xr:uid="{00000000-0005-0000-0000-0000D4080000}"/>
    <cellStyle name="RowAttrAbovePrompt" xfId="2239" xr:uid="{00000000-0005-0000-0000-0000D5080000}"/>
    <cellStyle name="RowAttrValue" xfId="2240" xr:uid="{00000000-0005-0000-0000-0000D6080000}"/>
    <cellStyle name="RowColSetAbovePrompt" xfId="2241" xr:uid="{00000000-0005-0000-0000-0000D7080000}"/>
    <cellStyle name="RowColSetLeftPrompt" xfId="2242" xr:uid="{00000000-0005-0000-0000-0000D8080000}"/>
    <cellStyle name="RowColSetValue" xfId="2243" xr:uid="{00000000-0005-0000-0000-0000D9080000}"/>
    <cellStyle name="RowLeftPrompt" xfId="2244" xr:uid="{00000000-0005-0000-0000-0000DA080000}"/>
    <cellStyle name="SampleUsingFormatMask" xfId="2245" xr:uid="{00000000-0005-0000-0000-0000DB080000}"/>
    <cellStyle name="SampleWithNoFormatMask" xfId="2246" xr:uid="{00000000-0005-0000-0000-0000DC080000}"/>
    <cellStyle name="STYL5 - Style5" xfId="2247" xr:uid="{00000000-0005-0000-0000-0000DD080000}"/>
    <cellStyle name="STYL6 - Style6" xfId="2248" xr:uid="{00000000-0005-0000-0000-0000DE080000}"/>
    <cellStyle name="STYLE1 - Style1" xfId="2249" xr:uid="{00000000-0005-0000-0000-0000DF080000}"/>
    <cellStyle name="STYLE2 - Style2" xfId="2250" xr:uid="{00000000-0005-0000-0000-0000E0080000}"/>
    <cellStyle name="STYLE3 - Style3" xfId="2251" xr:uid="{00000000-0005-0000-0000-0000E1080000}"/>
    <cellStyle name="STYLE4 - Style4" xfId="2252" xr:uid="{00000000-0005-0000-0000-0000E2080000}"/>
    <cellStyle name="Title 10" xfId="2253" xr:uid="{00000000-0005-0000-0000-0000E3080000}"/>
    <cellStyle name="Title 11" xfId="2254" xr:uid="{00000000-0005-0000-0000-0000E4080000}"/>
    <cellStyle name="Title 12" xfId="2255" xr:uid="{00000000-0005-0000-0000-0000E5080000}"/>
    <cellStyle name="Title 13" xfId="2256" xr:uid="{00000000-0005-0000-0000-0000E6080000}"/>
    <cellStyle name="Title 14" xfId="2257" xr:uid="{00000000-0005-0000-0000-0000E7080000}"/>
    <cellStyle name="Title 15" xfId="2258" xr:uid="{00000000-0005-0000-0000-0000E8080000}"/>
    <cellStyle name="Title 16" xfId="2259" xr:uid="{00000000-0005-0000-0000-0000E9080000}"/>
    <cellStyle name="Title 17" xfId="2260" xr:uid="{00000000-0005-0000-0000-0000EA080000}"/>
    <cellStyle name="Title 17 2" xfId="2261" xr:uid="{00000000-0005-0000-0000-0000EB080000}"/>
    <cellStyle name="Title 17 3" xfId="2262" xr:uid="{00000000-0005-0000-0000-0000EC080000}"/>
    <cellStyle name="Title 17 4" xfId="2263" xr:uid="{00000000-0005-0000-0000-0000ED080000}"/>
    <cellStyle name="Title 17 5" xfId="2264" xr:uid="{00000000-0005-0000-0000-0000EE080000}"/>
    <cellStyle name="Title 18" xfId="2265" xr:uid="{00000000-0005-0000-0000-0000EF080000}"/>
    <cellStyle name="Title 19" xfId="2266" xr:uid="{00000000-0005-0000-0000-0000F0080000}"/>
    <cellStyle name="Title 2" xfId="2267" xr:uid="{00000000-0005-0000-0000-0000F1080000}"/>
    <cellStyle name="Title 2 2" xfId="2268" xr:uid="{00000000-0005-0000-0000-0000F2080000}"/>
    <cellStyle name="Title 2 2 2" xfId="2269" xr:uid="{00000000-0005-0000-0000-0000F3080000}"/>
    <cellStyle name="Title 2 2 2 2" xfId="2270" xr:uid="{00000000-0005-0000-0000-0000F4080000}"/>
    <cellStyle name="Title 2 2 2 3" xfId="2271" xr:uid="{00000000-0005-0000-0000-0000F5080000}"/>
    <cellStyle name="Title 2 2 3" xfId="2272" xr:uid="{00000000-0005-0000-0000-0000F6080000}"/>
    <cellStyle name="Title 2 2 4" xfId="2273" xr:uid="{00000000-0005-0000-0000-0000F7080000}"/>
    <cellStyle name="Title 2 2 5" xfId="2274" xr:uid="{00000000-0005-0000-0000-0000F8080000}"/>
    <cellStyle name="Title 2 2 6" xfId="2275" xr:uid="{00000000-0005-0000-0000-0000F9080000}"/>
    <cellStyle name="Title 2 3" xfId="2276" xr:uid="{00000000-0005-0000-0000-0000FA080000}"/>
    <cellStyle name="Title 2 4" xfId="2277" xr:uid="{00000000-0005-0000-0000-0000FB080000}"/>
    <cellStyle name="Title 2 5" xfId="2278" xr:uid="{00000000-0005-0000-0000-0000FC080000}"/>
    <cellStyle name="Title 2 6" xfId="2279" xr:uid="{00000000-0005-0000-0000-0000FD080000}"/>
    <cellStyle name="Title 2 7" xfId="2280" xr:uid="{00000000-0005-0000-0000-0000FE080000}"/>
    <cellStyle name="Title 2 8" xfId="2281" xr:uid="{00000000-0005-0000-0000-0000FF080000}"/>
    <cellStyle name="Title 2 9" xfId="2282" xr:uid="{00000000-0005-0000-0000-000000090000}"/>
    <cellStyle name="Title 20" xfId="2283" xr:uid="{00000000-0005-0000-0000-000001090000}"/>
    <cellStyle name="Title 21" xfId="2284" xr:uid="{00000000-0005-0000-0000-000002090000}"/>
    <cellStyle name="Title 22" xfId="2285" xr:uid="{00000000-0005-0000-0000-000003090000}"/>
    <cellStyle name="Title 23" xfId="2286" xr:uid="{00000000-0005-0000-0000-000004090000}"/>
    <cellStyle name="Title 3" xfId="2287" xr:uid="{00000000-0005-0000-0000-000005090000}"/>
    <cellStyle name="Title 4" xfId="2288" xr:uid="{00000000-0005-0000-0000-000006090000}"/>
    <cellStyle name="Title 5" xfId="2289" xr:uid="{00000000-0005-0000-0000-000007090000}"/>
    <cellStyle name="Title 6" xfId="2290" xr:uid="{00000000-0005-0000-0000-000008090000}"/>
    <cellStyle name="Title 7" xfId="2291" xr:uid="{00000000-0005-0000-0000-000009090000}"/>
    <cellStyle name="Title 8" xfId="2292" xr:uid="{00000000-0005-0000-0000-00000A090000}"/>
    <cellStyle name="Title 9" xfId="2293" xr:uid="{00000000-0005-0000-0000-00000B090000}"/>
    <cellStyle name="Total 10" xfId="2294" xr:uid="{00000000-0005-0000-0000-00000C090000}"/>
    <cellStyle name="Total 11" xfId="2295" xr:uid="{00000000-0005-0000-0000-00000D090000}"/>
    <cellStyle name="Total 12" xfId="2296" xr:uid="{00000000-0005-0000-0000-00000E090000}"/>
    <cellStyle name="Total 13" xfId="2297" xr:uid="{00000000-0005-0000-0000-00000F090000}"/>
    <cellStyle name="Total 14" xfId="2298" xr:uid="{00000000-0005-0000-0000-000010090000}"/>
    <cellStyle name="Total 15" xfId="2299" xr:uid="{00000000-0005-0000-0000-000011090000}"/>
    <cellStyle name="Total 16" xfId="2300" xr:uid="{00000000-0005-0000-0000-000012090000}"/>
    <cellStyle name="Total 17" xfId="2301" xr:uid="{00000000-0005-0000-0000-000013090000}"/>
    <cellStyle name="Total 18" xfId="2302" xr:uid="{00000000-0005-0000-0000-000014090000}"/>
    <cellStyle name="Total 19" xfId="2303" xr:uid="{00000000-0005-0000-0000-000015090000}"/>
    <cellStyle name="Total 2" xfId="2304" xr:uid="{00000000-0005-0000-0000-000016090000}"/>
    <cellStyle name="Total 2 10" xfId="2305" xr:uid="{00000000-0005-0000-0000-000017090000}"/>
    <cellStyle name="Total 2 2" xfId="2306" xr:uid="{00000000-0005-0000-0000-000018090000}"/>
    <cellStyle name="Total 2 2 2" xfId="2307" xr:uid="{00000000-0005-0000-0000-000019090000}"/>
    <cellStyle name="Total 2 2 2 2" xfId="2308" xr:uid="{00000000-0005-0000-0000-00001A090000}"/>
    <cellStyle name="Total 2 2 2 2 2" xfId="2309" xr:uid="{00000000-0005-0000-0000-00001B090000}"/>
    <cellStyle name="Total 2 2 2 2 3" xfId="2310" xr:uid="{00000000-0005-0000-0000-00001C090000}"/>
    <cellStyle name="Total 2 2 2 3" xfId="2311" xr:uid="{00000000-0005-0000-0000-00001D090000}"/>
    <cellStyle name="Total 2 2 2 4" xfId="2312" xr:uid="{00000000-0005-0000-0000-00001E090000}"/>
    <cellStyle name="Total 2 2 2 5" xfId="2313" xr:uid="{00000000-0005-0000-0000-00001F090000}"/>
    <cellStyle name="Total 2 2 2 6" xfId="2314" xr:uid="{00000000-0005-0000-0000-000020090000}"/>
    <cellStyle name="Total 2 2 3" xfId="2315" xr:uid="{00000000-0005-0000-0000-000021090000}"/>
    <cellStyle name="Total 2 2 4" xfId="2316" xr:uid="{00000000-0005-0000-0000-000022090000}"/>
    <cellStyle name="Total 2 2 5" xfId="2317" xr:uid="{00000000-0005-0000-0000-000023090000}"/>
    <cellStyle name="Total 2 2 6" xfId="2318" xr:uid="{00000000-0005-0000-0000-000024090000}"/>
    <cellStyle name="Total 2 3" xfId="2319" xr:uid="{00000000-0005-0000-0000-000025090000}"/>
    <cellStyle name="Total 2 4" xfId="2320" xr:uid="{00000000-0005-0000-0000-000026090000}"/>
    <cellStyle name="Total 2 5" xfId="2321" xr:uid="{00000000-0005-0000-0000-000027090000}"/>
    <cellStyle name="Total 2 6" xfId="2322" xr:uid="{00000000-0005-0000-0000-000028090000}"/>
    <cellStyle name="Total 2 7" xfId="2323" xr:uid="{00000000-0005-0000-0000-000029090000}"/>
    <cellStyle name="Total 2 8" xfId="2324" xr:uid="{00000000-0005-0000-0000-00002A090000}"/>
    <cellStyle name="Total 2 9" xfId="2325" xr:uid="{00000000-0005-0000-0000-00002B090000}"/>
    <cellStyle name="Total 20" xfId="2326" xr:uid="{00000000-0005-0000-0000-00002C090000}"/>
    <cellStyle name="Total 21" xfId="2327" xr:uid="{00000000-0005-0000-0000-00002D090000}"/>
    <cellStyle name="Total 22" xfId="2328" xr:uid="{00000000-0005-0000-0000-00002E090000}"/>
    <cellStyle name="Total 23" xfId="2329" xr:uid="{00000000-0005-0000-0000-00002F090000}"/>
    <cellStyle name="Total 24" xfId="2330" xr:uid="{00000000-0005-0000-0000-000030090000}"/>
    <cellStyle name="Total 25" xfId="2331" xr:uid="{00000000-0005-0000-0000-000031090000}"/>
    <cellStyle name="Total 3" xfId="2332" xr:uid="{00000000-0005-0000-0000-000032090000}"/>
    <cellStyle name="Total 4" xfId="2333" xr:uid="{00000000-0005-0000-0000-000033090000}"/>
    <cellStyle name="Total 5" xfId="2334" xr:uid="{00000000-0005-0000-0000-000034090000}"/>
    <cellStyle name="Total 6" xfId="2335" xr:uid="{00000000-0005-0000-0000-000035090000}"/>
    <cellStyle name="Total 7" xfId="2336" xr:uid="{00000000-0005-0000-0000-000036090000}"/>
    <cellStyle name="Total 8" xfId="2337" xr:uid="{00000000-0005-0000-0000-000037090000}"/>
    <cellStyle name="Total 9" xfId="2338" xr:uid="{00000000-0005-0000-0000-000038090000}"/>
    <cellStyle name="UploadThisRowValue" xfId="2339" xr:uid="{00000000-0005-0000-0000-000039090000}"/>
    <cellStyle name="Warning Text 10" xfId="2340" xr:uid="{00000000-0005-0000-0000-00003A090000}"/>
    <cellStyle name="Warning Text 11" xfId="2341" xr:uid="{00000000-0005-0000-0000-00003B090000}"/>
    <cellStyle name="Warning Text 12" xfId="2342" xr:uid="{00000000-0005-0000-0000-00003C090000}"/>
    <cellStyle name="Warning Text 13" xfId="2343" xr:uid="{00000000-0005-0000-0000-00003D090000}"/>
    <cellStyle name="Warning Text 14" xfId="2344" xr:uid="{00000000-0005-0000-0000-00003E090000}"/>
    <cellStyle name="Warning Text 15" xfId="2345" xr:uid="{00000000-0005-0000-0000-00003F090000}"/>
    <cellStyle name="Warning Text 16" xfId="2346" xr:uid="{00000000-0005-0000-0000-000040090000}"/>
    <cellStyle name="Warning Text 17" xfId="2347" xr:uid="{00000000-0005-0000-0000-000041090000}"/>
    <cellStyle name="Warning Text 18" xfId="2348" xr:uid="{00000000-0005-0000-0000-000042090000}"/>
    <cellStyle name="Warning Text 19" xfId="2349" xr:uid="{00000000-0005-0000-0000-000043090000}"/>
    <cellStyle name="Warning Text 2" xfId="2350" xr:uid="{00000000-0005-0000-0000-000044090000}"/>
    <cellStyle name="Warning Text 2 10" xfId="2351" xr:uid="{00000000-0005-0000-0000-000045090000}"/>
    <cellStyle name="Warning Text 2 2" xfId="2352" xr:uid="{00000000-0005-0000-0000-000046090000}"/>
    <cellStyle name="Warning Text 2 2 2" xfId="2353" xr:uid="{00000000-0005-0000-0000-000047090000}"/>
    <cellStyle name="Warning Text 2 2 2 2" xfId="2354" xr:uid="{00000000-0005-0000-0000-000048090000}"/>
    <cellStyle name="Warning Text 2 2 2 2 2" xfId="2355" xr:uid="{00000000-0005-0000-0000-000049090000}"/>
    <cellStyle name="Warning Text 2 2 2 2 3" xfId="2356" xr:uid="{00000000-0005-0000-0000-00004A090000}"/>
    <cellStyle name="Warning Text 2 2 2 3" xfId="2357" xr:uid="{00000000-0005-0000-0000-00004B090000}"/>
    <cellStyle name="Warning Text 2 2 2 4" xfId="2358" xr:uid="{00000000-0005-0000-0000-00004C090000}"/>
    <cellStyle name="Warning Text 2 2 2 5" xfId="2359" xr:uid="{00000000-0005-0000-0000-00004D090000}"/>
    <cellStyle name="Warning Text 2 2 2 6" xfId="2360" xr:uid="{00000000-0005-0000-0000-00004E090000}"/>
    <cellStyle name="Warning Text 2 2 3" xfId="2361" xr:uid="{00000000-0005-0000-0000-00004F090000}"/>
    <cellStyle name="Warning Text 2 2 4" xfId="2362" xr:uid="{00000000-0005-0000-0000-000050090000}"/>
    <cellStyle name="Warning Text 2 2 5" xfId="2363" xr:uid="{00000000-0005-0000-0000-000051090000}"/>
    <cellStyle name="Warning Text 2 2 6" xfId="2364" xr:uid="{00000000-0005-0000-0000-000052090000}"/>
    <cellStyle name="Warning Text 2 3" xfId="2365" xr:uid="{00000000-0005-0000-0000-000053090000}"/>
    <cellStyle name="Warning Text 2 4" xfId="2366" xr:uid="{00000000-0005-0000-0000-000054090000}"/>
    <cellStyle name="Warning Text 2 5" xfId="2367" xr:uid="{00000000-0005-0000-0000-000055090000}"/>
    <cellStyle name="Warning Text 2 6" xfId="2368" xr:uid="{00000000-0005-0000-0000-000056090000}"/>
    <cellStyle name="Warning Text 2 7" xfId="2369" xr:uid="{00000000-0005-0000-0000-000057090000}"/>
    <cellStyle name="Warning Text 2 8" xfId="2370" xr:uid="{00000000-0005-0000-0000-000058090000}"/>
    <cellStyle name="Warning Text 2 9" xfId="2371" xr:uid="{00000000-0005-0000-0000-000059090000}"/>
    <cellStyle name="Warning Text 20" xfId="2372" xr:uid="{00000000-0005-0000-0000-00005A090000}"/>
    <cellStyle name="Warning Text 21" xfId="2373" xr:uid="{00000000-0005-0000-0000-00005B090000}"/>
    <cellStyle name="Warning Text 22" xfId="2374" xr:uid="{00000000-0005-0000-0000-00005C090000}"/>
    <cellStyle name="Warning Text 23" xfId="2375" xr:uid="{00000000-0005-0000-0000-00005D090000}"/>
    <cellStyle name="Warning Text 3" xfId="2376" xr:uid="{00000000-0005-0000-0000-00005E090000}"/>
    <cellStyle name="Warning Text 4" xfId="2377" xr:uid="{00000000-0005-0000-0000-00005F090000}"/>
    <cellStyle name="Warning Text 5" xfId="2378" xr:uid="{00000000-0005-0000-0000-000060090000}"/>
    <cellStyle name="Warning Text 6" xfId="2379" xr:uid="{00000000-0005-0000-0000-000061090000}"/>
    <cellStyle name="Warning Text 7" xfId="2380" xr:uid="{00000000-0005-0000-0000-000062090000}"/>
    <cellStyle name="Warning Text 8" xfId="2381" xr:uid="{00000000-0005-0000-0000-000063090000}"/>
    <cellStyle name="Warning Text 9" xfId="2382" xr:uid="{00000000-0005-0000-0000-000064090000}"/>
  </cellStyles>
  <dxfs count="0"/>
  <tableStyles count="0" defaultTableStyle="TableStyleMedium9" defaultPivotStyle="PivotStyleLight16"/>
  <colors>
    <mruColors>
      <color rgb="FF0000FF"/>
      <color rgb="FFFF505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122934\AppData\Local\Temp\notesC9812B\2015%20SAVE%20IRRA%20-%20Schedule%2014a%20-%20k%20Juri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CR\2013\KU\KU%20ECR%20OU%20Recovery%202013.02%20est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LT\Actuals\LGE%20GLT%20OU%20Recovery%202013%2009%20est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CR\2013\LGE\LGE%20ECR%20OU%20Recovery%202013.02%20es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Plant Data"/>
      <sheetName val="Sch 14a pg 1 Rev Req"/>
      <sheetName val="Sch 14b Acct 376 Rate Base"/>
      <sheetName val="Sch 14c Acct 378 Rate Base"/>
      <sheetName val="Sch 14d Acct 379 Rate Base"/>
      <sheetName val="Sch 14e Acct 380 Rate Base"/>
      <sheetName val="Sch 14f Rate Case Plant"/>
      <sheetName val="Sch 14g CCOS "/>
      <sheetName val="Sch 14h Billing Det and Rate"/>
      <sheetName val="Sch 14i ADIT (total)"/>
      <sheetName val="Sch 14i-2 (repairs eligible)"/>
      <sheetName val="Sch 14i-3(non eligible repairs)"/>
      <sheetName val="Sch 14j ADIT Allocation"/>
      <sheetName val="Sch 14k Property Tax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Input"/>
      <sheetName val="Liability Detail"/>
      <sheetName val="OU Collection"/>
      <sheetName val="E(m) Bridge"/>
      <sheetName val="ROR True-Up Adj-Pre"/>
      <sheetName val="ROR True-Up Adj-Post"/>
      <sheetName val="Data"/>
      <sheetName val="Error Checks"/>
      <sheetName val="E(m) Recon"/>
      <sheetName val="CM BS Recon"/>
      <sheetName val="ECR in Base Rates"/>
      <sheetName val="Revenue Report"/>
      <sheetName val="Input - Rev Report"/>
      <sheetName val="Data- Rev Report"/>
      <sheetName val="Startup"/>
      <sheetName val="Adjt Input"/>
      <sheetName val="Data Updates"/>
      <sheetName val="VersionHist"/>
    </sheetNames>
    <sheetDataSet>
      <sheetData sheetId="0" refreshError="1"/>
      <sheetData sheetId="1">
        <row r="38">
          <cell r="K38">
            <v>122206198.18000001</v>
          </cell>
        </row>
        <row r="39">
          <cell r="K39">
            <v>139430871.61000001</v>
          </cell>
        </row>
        <row r="40">
          <cell r="K40">
            <v>0.87649999999999995</v>
          </cell>
        </row>
        <row r="60">
          <cell r="K60">
            <v>555232.65</v>
          </cell>
        </row>
        <row r="61">
          <cell r="K61">
            <v>240996.76</v>
          </cell>
        </row>
        <row r="63">
          <cell r="K63">
            <v>306794.60000000003</v>
          </cell>
        </row>
        <row r="64">
          <cell r="K64">
            <v>3736658.66</v>
          </cell>
        </row>
        <row r="67">
          <cell r="K67">
            <v>7441.29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ability Detail"/>
      <sheetName val="OU Collection"/>
      <sheetName val="ROR True-Up Adj"/>
      <sheetName val="Error Checks"/>
      <sheetName val="Input"/>
      <sheetName val="Data"/>
      <sheetName val="BS Recon"/>
      <sheetName val="Revenue Report"/>
      <sheetName val="Startup"/>
      <sheetName val="VersionHist"/>
    </sheetNames>
    <sheetDataSet>
      <sheetData sheetId="0"/>
      <sheetData sheetId="1"/>
      <sheetData sheetId="2"/>
      <sheetData sheetId="3"/>
      <sheetData sheetId="4"/>
      <sheetData sheetId="5">
        <row r="85">
          <cell r="O85">
            <v>201309</v>
          </cell>
          <cell r="P85">
            <v>201308</v>
          </cell>
          <cell r="Q85">
            <v>201307</v>
          </cell>
          <cell r="R85">
            <v>201306</v>
          </cell>
          <cell r="S85">
            <v>201305</v>
          </cell>
          <cell r="T85">
            <v>201304</v>
          </cell>
          <cell r="U85">
            <v>201303</v>
          </cell>
          <cell r="V85">
            <v>201302</v>
          </cell>
          <cell r="W85">
            <v>201301</v>
          </cell>
          <cell r="X85">
            <v>201212</v>
          </cell>
          <cell r="Y85">
            <v>201211</v>
          </cell>
          <cell r="Z85" t="str">
            <v/>
          </cell>
          <cell r="AA85" t="str">
            <v/>
          </cell>
          <cell r="AB85" t="str">
            <v/>
          </cell>
          <cell r="AC85" t="str">
            <v/>
          </cell>
          <cell r="AD85" t="str">
            <v/>
          </cell>
          <cell r="AE85" t="str">
            <v/>
          </cell>
          <cell r="AF85" t="str">
            <v/>
          </cell>
          <cell r="AG85" t="str">
            <v/>
          </cell>
          <cell r="AH85" t="str">
            <v/>
          </cell>
          <cell r="AI85" t="str">
            <v/>
          </cell>
          <cell r="AJ85" t="str">
            <v/>
          </cell>
          <cell r="AK85" t="str">
            <v/>
          </cell>
          <cell r="AL85" t="str">
            <v/>
          </cell>
          <cell r="AM85" t="str">
            <v/>
          </cell>
          <cell r="AN85" t="str">
            <v/>
          </cell>
          <cell r="AO85" t="str">
            <v/>
          </cell>
          <cell r="AP85" t="str">
            <v/>
          </cell>
          <cell r="AQ85" t="str">
            <v/>
          </cell>
          <cell r="AR85" t="str">
            <v/>
          </cell>
          <cell r="AS85" t="str">
            <v/>
          </cell>
          <cell r="AT85" t="str">
            <v/>
          </cell>
          <cell r="AU85" t="str">
            <v/>
          </cell>
          <cell r="AV85" t="str">
            <v/>
          </cell>
          <cell r="AW85" t="str">
            <v/>
          </cell>
          <cell r="AX85" t="str">
            <v/>
          </cell>
          <cell r="AY85" t="str">
            <v/>
          </cell>
          <cell r="AZ85" t="str">
            <v/>
          </cell>
          <cell r="BA85" t="str">
            <v/>
          </cell>
          <cell r="BB85" t="str">
            <v/>
          </cell>
          <cell r="BC85" t="str">
            <v/>
          </cell>
          <cell r="BD85" t="str">
            <v/>
          </cell>
          <cell r="BE85" t="str">
            <v/>
          </cell>
          <cell r="BF85" t="str">
            <v/>
          </cell>
          <cell r="BG85" t="str">
            <v/>
          </cell>
          <cell r="BH85" t="str">
            <v/>
          </cell>
          <cell r="BI85" t="str">
            <v/>
          </cell>
          <cell r="BJ85" t="str">
            <v/>
          </cell>
          <cell r="BK85" t="str">
            <v/>
          </cell>
        </row>
        <row r="86">
          <cell r="O86">
            <v>2013</v>
          </cell>
          <cell r="P86">
            <v>2013</v>
          </cell>
          <cell r="Q86">
            <v>2013</v>
          </cell>
          <cell r="R86">
            <v>2013</v>
          </cell>
          <cell r="S86">
            <v>2013</v>
          </cell>
          <cell r="T86">
            <v>2013</v>
          </cell>
          <cell r="U86">
            <v>2013</v>
          </cell>
          <cell r="V86">
            <v>2013</v>
          </cell>
          <cell r="W86">
            <v>2013</v>
          </cell>
          <cell r="X86">
            <v>2012</v>
          </cell>
          <cell r="Y86">
            <v>2012</v>
          </cell>
          <cell r="Z86" t="str">
            <v/>
          </cell>
          <cell r="AA86" t="str">
            <v/>
          </cell>
          <cell r="AB86" t="str">
            <v/>
          </cell>
          <cell r="AC86" t="str">
            <v/>
          </cell>
          <cell r="AD86" t="str">
            <v/>
          </cell>
          <cell r="AE86" t="str">
            <v/>
          </cell>
          <cell r="AF86" t="str">
            <v/>
          </cell>
          <cell r="AG86" t="str">
            <v/>
          </cell>
          <cell r="AH86" t="str">
            <v/>
          </cell>
          <cell r="AI86" t="str">
            <v/>
          </cell>
          <cell r="AJ86" t="str">
            <v/>
          </cell>
          <cell r="AK86" t="str">
            <v/>
          </cell>
          <cell r="AL86" t="str">
            <v/>
          </cell>
          <cell r="AM86" t="str">
            <v/>
          </cell>
          <cell r="AN86" t="str">
            <v/>
          </cell>
          <cell r="AO86" t="str">
            <v/>
          </cell>
          <cell r="AP86" t="str">
            <v/>
          </cell>
          <cell r="AQ86" t="str">
            <v/>
          </cell>
          <cell r="AR86" t="str">
            <v/>
          </cell>
          <cell r="AS86" t="str">
            <v/>
          </cell>
          <cell r="AT86" t="str">
            <v/>
          </cell>
          <cell r="AU86" t="str">
            <v/>
          </cell>
          <cell r="AV86" t="str">
            <v/>
          </cell>
          <cell r="AW86" t="str">
            <v/>
          </cell>
          <cell r="AX86" t="str">
            <v/>
          </cell>
          <cell r="AY86" t="str">
            <v/>
          </cell>
          <cell r="AZ86" t="str">
            <v/>
          </cell>
          <cell r="BA86" t="str">
            <v/>
          </cell>
          <cell r="BB86" t="str">
            <v/>
          </cell>
          <cell r="BC86" t="str">
            <v/>
          </cell>
          <cell r="BD86" t="str">
            <v/>
          </cell>
          <cell r="BE86" t="str">
            <v/>
          </cell>
          <cell r="BF86" t="str">
            <v/>
          </cell>
          <cell r="BG86" t="str">
            <v/>
          </cell>
          <cell r="BH86" t="str">
            <v/>
          </cell>
          <cell r="BI86" t="str">
            <v/>
          </cell>
          <cell r="BJ86" t="str">
            <v/>
          </cell>
          <cell r="BK86" t="str">
            <v/>
          </cell>
        </row>
        <row r="87">
          <cell r="O87">
            <v>9</v>
          </cell>
          <cell r="P87">
            <v>8</v>
          </cell>
          <cell r="Q87">
            <v>7</v>
          </cell>
          <cell r="R87">
            <v>6</v>
          </cell>
          <cell r="S87">
            <v>5</v>
          </cell>
          <cell r="T87">
            <v>4</v>
          </cell>
          <cell r="U87">
            <v>3</v>
          </cell>
          <cell r="V87">
            <v>2</v>
          </cell>
          <cell r="W87">
            <v>1</v>
          </cell>
          <cell r="X87">
            <v>12</v>
          </cell>
          <cell r="Y87">
            <v>11</v>
          </cell>
          <cell r="Z87" t="str">
            <v/>
          </cell>
          <cell r="AA87" t="str">
            <v/>
          </cell>
          <cell r="AB87" t="str">
            <v/>
          </cell>
          <cell r="AC87" t="str">
            <v/>
          </cell>
          <cell r="AD87" t="str">
            <v/>
          </cell>
          <cell r="AE87" t="str">
            <v/>
          </cell>
          <cell r="AF87" t="str">
            <v/>
          </cell>
          <cell r="AG87" t="str">
            <v/>
          </cell>
          <cell r="AH87" t="str">
            <v/>
          </cell>
          <cell r="AI87" t="str">
            <v/>
          </cell>
          <cell r="AJ87" t="str">
            <v/>
          </cell>
          <cell r="AK87" t="str">
            <v/>
          </cell>
          <cell r="AL87" t="str">
            <v/>
          </cell>
          <cell r="AM87" t="str">
            <v/>
          </cell>
          <cell r="AN87" t="str">
            <v/>
          </cell>
          <cell r="AO87" t="str">
            <v/>
          </cell>
          <cell r="AP87" t="str">
            <v/>
          </cell>
          <cell r="AQ87" t="str">
            <v/>
          </cell>
          <cell r="AR87" t="str">
            <v/>
          </cell>
          <cell r="AS87" t="str">
            <v/>
          </cell>
          <cell r="AT87" t="str">
            <v/>
          </cell>
          <cell r="AU87" t="str">
            <v/>
          </cell>
          <cell r="AV87" t="str">
            <v/>
          </cell>
          <cell r="AW87" t="str">
            <v/>
          </cell>
          <cell r="AX87" t="str">
            <v/>
          </cell>
          <cell r="AY87" t="str">
            <v/>
          </cell>
          <cell r="AZ87" t="str">
            <v/>
          </cell>
          <cell r="BA87" t="str">
            <v/>
          </cell>
          <cell r="BB87" t="str">
            <v/>
          </cell>
          <cell r="BC87" t="str">
            <v/>
          </cell>
          <cell r="BD87" t="str">
            <v/>
          </cell>
          <cell r="BE87" t="str">
            <v/>
          </cell>
          <cell r="BF87" t="str">
            <v/>
          </cell>
          <cell r="BG87" t="str">
            <v/>
          </cell>
          <cell r="BH87" t="str">
            <v/>
          </cell>
          <cell r="BI87" t="str">
            <v/>
          </cell>
          <cell r="BJ87" t="str">
            <v/>
          </cell>
          <cell r="BK87" t="str">
            <v/>
          </cell>
        </row>
        <row r="90">
          <cell r="O90">
            <v>43229342.950000003</v>
          </cell>
          <cell r="P90">
            <v>39503462.950000003</v>
          </cell>
          <cell r="Q90">
            <v>34231314.770000003</v>
          </cell>
          <cell r="R90">
            <v>29634770.5</v>
          </cell>
          <cell r="S90">
            <v>26798988.34</v>
          </cell>
          <cell r="T90">
            <v>23148314.719999999</v>
          </cell>
          <cell r="U90">
            <v>19685215.710000001</v>
          </cell>
          <cell r="V90">
            <v>18141793.66</v>
          </cell>
          <cell r="W90">
            <v>16266015.189999999</v>
          </cell>
          <cell r="X90">
            <v>15355903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</row>
        <row r="91">
          <cell r="O91">
            <v>-544594.73</v>
          </cell>
          <cell r="P91">
            <v>-454031.89</v>
          </cell>
          <cell r="Q91">
            <v>-375127.24</v>
          </cell>
          <cell r="R91">
            <v>-308196.38</v>
          </cell>
          <cell r="S91">
            <v>-250691.03</v>
          </cell>
          <cell r="T91">
            <v>-201627.21</v>
          </cell>
          <cell r="U91">
            <v>-160197.09</v>
          </cell>
          <cell r="V91">
            <v>-123394.65</v>
          </cell>
          <cell r="W91">
            <v>-90061.06</v>
          </cell>
          <cell r="X91">
            <v>-74306.5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</row>
        <row r="92">
          <cell r="O92">
            <v>1073931.06</v>
          </cell>
          <cell r="P92">
            <v>1008389.76</v>
          </cell>
          <cell r="Q92">
            <v>956524.42</v>
          </cell>
          <cell r="R92">
            <v>837901.1</v>
          </cell>
          <cell r="S92">
            <v>806659.83</v>
          </cell>
          <cell r="T92">
            <v>757994.64</v>
          </cell>
          <cell r="U92">
            <v>671359.75</v>
          </cell>
          <cell r="V92">
            <v>593604.97</v>
          </cell>
          <cell r="W92">
            <v>562993.46</v>
          </cell>
          <cell r="X92">
            <v>549445.43999999994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</row>
        <row r="93">
          <cell r="O93">
            <v>-5470324.8499999996</v>
          </cell>
          <cell r="P93">
            <v>-4499471</v>
          </cell>
          <cell r="Q93">
            <v>-3597164.69</v>
          </cell>
          <cell r="R93">
            <v>-2784611.12</v>
          </cell>
          <cell r="S93">
            <v>-2340945.09</v>
          </cell>
          <cell r="T93">
            <v>-1945663.31</v>
          </cell>
          <cell r="U93">
            <v>-1657444.61</v>
          </cell>
          <cell r="V93">
            <v>-1469947.28</v>
          </cell>
          <cell r="W93">
            <v>-1355034.62</v>
          </cell>
          <cell r="X93">
            <v>-1264419.3799999999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</row>
        <row r="94">
          <cell r="O94">
            <v>38288354.430000007</v>
          </cell>
          <cell r="P94">
            <v>35558349.82</v>
          </cell>
          <cell r="Q94">
            <v>31215547.260000002</v>
          </cell>
          <cell r="R94">
            <v>27379864.100000001</v>
          </cell>
          <cell r="S94">
            <v>25014012.049999997</v>
          </cell>
          <cell r="T94">
            <v>21759018.84</v>
          </cell>
          <cell r="U94">
            <v>18538933.760000002</v>
          </cell>
          <cell r="V94">
            <v>17142056.699999999</v>
          </cell>
          <cell r="W94">
            <v>15383912.969999999</v>
          </cell>
          <cell r="X94">
            <v>14566622.559999999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</row>
        <row r="95">
          <cell r="O95">
            <v>24484667.25</v>
          </cell>
          <cell r="P95">
            <v>22950924.23</v>
          </cell>
          <cell r="Q95">
            <v>21374996.030000001</v>
          </cell>
          <cell r="R95">
            <v>19969203</v>
          </cell>
          <cell r="S95">
            <v>18734092.809999999</v>
          </cell>
          <cell r="T95">
            <v>17478108.969999999</v>
          </cell>
          <cell r="U95">
            <v>16407881.5</v>
          </cell>
          <cell r="V95">
            <v>15697530.74</v>
          </cell>
          <cell r="W95">
            <v>14975267.77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</row>
        <row r="96">
          <cell r="O96">
            <v>24484667.25</v>
          </cell>
          <cell r="P96">
            <v>24484667.25</v>
          </cell>
          <cell r="Q96">
            <v>24484667.25</v>
          </cell>
          <cell r="R96">
            <v>24484667.25</v>
          </cell>
          <cell r="S96">
            <v>24484667.25</v>
          </cell>
          <cell r="T96">
            <v>24484667.25</v>
          </cell>
          <cell r="U96">
            <v>24484667.25</v>
          </cell>
          <cell r="V96">
            <v>24484667.25</v>
          </cell>
          <cell r="W96">
            <v>24484667.25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</row>
        <row r="97">
          <cell r="O97">
            <v>2040388.94</v>
          </cell>
          <cell r="P97">
            <v>2040388.94</v>
          </cell>
          <cell r="Q97">
            <v>2040388.94</v>
          </cell>
          <cell r="R97">
            <v>2040388.94</v>
          </cell>
          <cell r="S97">
            <v>2040388.94</v>
          </cell>
          <cell r="T97">
            <v>2040388.94</v>
          </cell>
          <cell r="U97">
            <v>2040388.94</v>
          </cell>
          <cell r="V97">
            <v>2040388.94</v>
          </cell>
          <cell r="W97">
            <v>2040388.94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</row>
        <row r="98">
          <cell r="O98">
            <v>211698.25</v>
          </cell>
          <cell r="P98">
            <v>165075.4</v>
          </cell>
          <cell r="Q98">
            <v>217986.22999999998</v>
          </cell>
          <cell r="R98">
            <v>80822.62</v>
          </cell>
          <cell r="S98">
            <v>71313.100000000006</v>
          </cell>
          <cell r="T98">
            <v>32190.82</v>
          </cell>
          <cell r="U98">
            <v>103210.19</v>
          </cell>
          <cell r="V98">
            <v>-46019.8</v>
          </cell>
          <cell r="W98">
            <v>79174.740000000005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</row>
        <row r="99">
          <cell r="O99">
            <v>0.1101</v>
          </cell>
          <cell r="P99">
            <v>0.1101</v>
          </cell>
          <cell r="Q99">
            <v>0.1101</v>
          </cell>
          <cell r="R99">
            <v>0.1101</v>
          </cell>
          <cell r="S99">
            <v>0.1101</v>
          </cell>
          <cell r="T99">
            <v>0.1101</v>
          </cell>
          <cell r="U99">
            <v>0.1101</v>
          </cell>
          <cell r="V99">
            <v>0.1101</v>
          </cell>
          <cell r="W99">
            <v>0.1101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</row>
        <row r="100">
          <cell r="O100">
            <v>0.1101</v>
          </cell>
          <cell r="P100">
            <v>0.1101</v>
          </cell>
          <cell r="Q100">
            <v>0.1101</v>
          </cell>
          <cell r="R100">
            <v>0.1101</v>
          </cell>
          <cell r="S100">
            <v>0.1101</v>
          </cell>
          <cell r="T100">
            <v>0.1101</v>
          </cell>
          <cell r="U100">
            <v>0.1101</v>
          </cell>
          <cell r="V100">
            <v>0.1101</v>
          </cell>
          <cell r="W100">
            <v>0.1101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</row>
        <row r="101">
          <cell r="O101">
            <v>436345.07</v>
          </cell>
          <cell r="P101">
            <v>389722.22</v>
          </cell>
          <cell r="Q101">
            <v>442633.05</v>
          </cell>
          <cell r="R101">
            <v>305469.44</v>
          </cell>
          <cell r="S101">
            <v>295959.92</v>
          </cell>
          <cell r="T101">
            <v>256837.64</v>
          </cell>
          <cell r="U101">
            <v>327857.01</v>
          </cell>
          <cell r="V101">
            <v>178627.02</v>
          </cell>
          <cell r="W101">
            <v>303821.56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</row>
        <row r="102">
          <cell r="O102">
            <v>436345.07</v>
          </cell>
          <cell r="P102">
            <v>389722.22</v>
          </cell>
          <cell r="Q102">
            <v>442633.05</v>
          </cell>
          <cell r="R102">
            <v>305469.44</v>
          </cell>
          <cell r="S102">
            <v>295959.92</v>
          </cell>
          <cell r="T102">
            <v>256837.64</v>
          </cell>
          <cell r="U102">
            <v>327857.01</v>
          </cell>
          <cell r="V102">
            <v>178627.02</v>
          </cell>
          <cell r="W102">
            <v>303821.56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</row>
        <row r="103"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</row>
        <row r="112">
          <cell r="O112">
            <v>436345.07</v>
          </cell>
          <cell r="P112">
            <v>389722.22</v>
          </cell>
          <cell r="Q112">
            <v>442633.05</v>
          </cell>
          <cell r="R112">
            <v>305469.44</v>
          </cell>
          <cell r="S112">
            <v>295959.92</v>
          </cell>
          <cell r="T112">
            <v>256837.64</v>
          </cell>
          <cell r="U112">
            <v>327857.01</v>
          </cell>
          <cell r="V112">
            <v>178627.02</v>
          </cell>
          <cell r="W112">
            <v>303821.56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</row>
        <row r="113">
          <cell r="O113">
            <v>436345.07</v>
          </cell>
          <cell r="P113">
            <v>389722.22</v>
          </cell>
          <cell r="Q113">
            <v>442633.05</v>
          </cell>
          <cell r="R113">
            <v>305469.44</v>
          </cell>
          <cell r="S113">
            <v>295959.92</v>
          </cell>
          <cell r="T113">
            <v>256837.64</v>
          </cell>
          <cell r="U113">
            <v>327857.01</v>
          </cell>
          <cell r="V113">
            <v>178627.02</v>
          </cell>
          <cell r="W113">
            <v>303821.56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</row>
        <row r="114"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</row>
        <row r="115"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</row>
        <row r="116">
          <cell r="O116">
            <v>436345.07</v>
          </cell>
          <cell r="P116">
            <v>389722.22</v>
          </cell>
          <cell r="Q116">
            <v>442633.05</v>
          </cell>
          <cell r="R116">
            <v>305469.44</v>
          </cell>
          <cell r="S116">
            <v>295959.92</v>
          </cell>
          <cell r="T116">
            <v>256837.64</v>
          </cell>
          <cell r="U116">
            <v>327857.01</v>
          </cell>
          <cell r="V116">
            <v>178627.02</v>
          </cell>
          <cell r="W116">
            <v>303821.56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</row>
        <row r="117">
          <cell r="O117">
            <v>436345.07</v>
          </cell>
          <cell r="P117">
            <v>389722.22</v>
          </cell>
          <cell r="Q117">
            <v>442633.05</v>
          </cell>
          <cell r="R117">
            <v>305469.44</v>
          </cell>
          <cell r="S117">
            <v>295959.92</v>
          </cell>
          <cell r="T117">
            <v>256837.64</v>
          </cell>
          <cell r="U117">
            <v>327857.01</v>
          </cell>
          <cell r="V117">
            <v>178627.02</v>
          </cell>
          <cell r="W117">
            <v>303821.56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</row>
        <row r="118">
          <cell r="O118">
            <v>436345.07</v>
          </cell>
          <cell r="P118">
            <v>389722.22</v>
          </cell>
          <cell r="Q118">
            <v>442633.05</v>
          </cell>
          <cell r="R118">
            <v>305469.44</v>
          </cell>
          <cell r="S118">
            <v>295959.92</v>
          </cell>
          <cell r="T118">
            <v>256837.64</v>
          </cell>
          <cell r="U118">
            <v>327857.01</v>
          </cell>
          <cell r="V118">
            <v>178627.02</v>
          </cell>
          <cell r="W118">
            <v>303821.56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</row>
        <row r="119">
          <cell r="O119">
            <v>959875.17</v>
          </cell>
          <cell r="P119">
            <v>964058.08</v>
          </cell>
          <cell r="Q119">
            <v>964731.89</v>
          </cell>
          <cell r="R119">
            <v>967142.37</v>
          </cell>
          <cell r="S119">
            <v>972357.35</v>
          </cell>
          <cell r="T119">
            <v>977936.59</v>
          </cell>
          <cell r="U119">
            <v>971192.21</v>
          </cell>
          <cell r="V119">
            <v>971918.25</v>
          </cell>
          <cell r="W119">
            <v>442006.43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</row>
        <row r="120"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</row>
        <row r="121">
          <cell r="O121">
            <v>-523530.10000000003</v>
          </cell>
          <cell r="P121">
            <v>-574335.86</v>
          </cell>
          <cell r="Q121">
            <v>-522098.84</v>
          </cell>
          <cell r="R121">
            <v>-661672.92999999993</v>
          </cell>
          <cell r="S121">
            <v>-676397.42999999993</v>
          </cell>
          <cell r="T121">
            <v>-721098.95</v>
          </cell>
          <cell r="U121">
            <v>-643335.19999999995</v>
          </cell>
          <cell r="V121">
            <v>-793291.23</v>
          </cell>
          <cell r="W121">
            <v>-138184.87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</row>
        <row r="129">
          <cell r="O129">
            <v>-523530.1</v>
          </cell>
          <cell r="P129">
            <v>-574335.86</v>
          </cell>
          <cell r="Q129">
            <v>-522098.84</v>
          </cell>
          <cell r="R129">
            <v>-661672.93000000005</v>
          </cell>
          <cell r="S129">
            <v>-676397.43</v>
          </cell>
          <cell r="T129">
            <v>-721098.95</v>
          </cell>
          <cell r="U129">
            <v>-643335.19999999995</v>
          </cell>
          <cell r="V129">
            <v>-793291.23</v>
          </cell>
          <cell r="W129">
            <v>-138184.87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</row>
        <row r="130"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</row>
        <row r="131">
          <cell r="O131">
            <v>-523530.1</v>
          </cell>
          <cell r="P131">
            <v>-574335.86</v>
          </cell>
          <cell r="Q131">
            <v>-522098.84</v>
          </cell>
          <cell r="R131">
            <v>-661672.93000000005</v>
          </cell>
          <cell r="S131">
            <v>-676397.43</v>
          </cell>
          <cell r="T131">
            <v>-721098.95</v>
          </cell>
          <cell r="U131">
            <v>-643335.19999999995</v>
          </cell>
          <cell r="V131">
            <v>-793291.23</v>
          </cell>
          <cell r="W131">
            <v>-138184.87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</row>
        <row r="132">
          <cell r="O132">
            <v>-5253945.41</v>
          </cell>
          <cell r="P132">
            <v>-4730415.3099999996</v>
          </cell>
          <cell r="Q132">
            <v>-4156079.45</v>
          </cell>
          <cell r="R132">
            <v>-3633980.61</v>
          </cell>
          <cell r="S132">
            <v>-2972307.68</v>
          </cell>
          <cell r="T132">
            <v>-2295910.25</v>
          </cell>
          <cell r="U132">
            <v>-1574811.3</v>
          </cell>
          <cell r="V132">
            <v>-931476.1</v>
          </cell>
          <cell r="W132">
            <v>-138184.87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Input"/>
      <sheetName val="Liability Detail"/>
      <sheetName val="OU Collection"/>
      <sheetName val="E(m) Bridge"/>
      <sheetName val="ROR True-Up Adj-Pre"/>
      <sheetName val="ROR True-Up Adj-Post"/>
      <sheetName val="Data"/>
      <sheetName val="Error Checks"/>
      <sheetName val="E(m) Recon"/>
      <sheetName val="CM BS Recon"/>
      <sheetName val="ECR in Base Rates"/>
      <sheetName val="Startup"/>
      <sheetName val="VersionHist"/>
      <sheetName val="Adjt Input"/>
    </sheetNames>
    <sheetDataSet>
      <sheetData sheetId="0"/>
      <sheetData sheetId="1">
        <row r="116">
          <cell r="H116" t="str">
            <v>second</v>
          </cell>
        </row>
      </sheetData>
      <sheetData sheetId="2"/>
      <sheetData sheetId="3">
        <row r="25">
          <cell r="Y25">
            <v>0</v>
          </cell>
        </row>
      </sheetData>
      <sheetData sheetId="4"/>
      <sheetData sheetId="5"/>
      <sheetData sheetId="6"/>
      <sheetData sheetId="7">
        <row r="128">
          <cell r="BK128" t="str">
            <v>NO</v>
          </cell>
        </row>
      </sheetData>
      <sheetData sheetId="8"/>
      <sheetData sheetId="9"/>
      <sheetData sheetId="10"/>
      <sheetData sheetId="11"/>
      <sheetData sheetId="12">
        <row r="5">
          <cell r="N5">
            <v>41030</v>
          </cell>
        </row>
        <row r="10">
          <cell r="N10">
            <v>0</v>
          </cell>
        </row>
      </sheetData>
      <sheetData sheetId="13"/>
      <sheetData sheetId="14">
        <row r="18">
          <cell r="O18">
            <v>201112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%5e@%2038.9%25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>
    <tabColor rgb="FFFF0000"/>
  </sheetPr>
  <dimension ref="A1:F30"/>
  <sheetViews>
    <sheetView tabSelected="1" zoomScaleNormal="100" workbookViewId="0">
      <selection activeCell="F36" sqref="F36"/>
    </sheetView>
  </sheetViews>
  <sheetFormatPr defaultColWidth="8.86328125" defaultRowHeight="12.75"/>
  <cols>
    <col min="1" max="1" width="4.59765625" style="13" customWidth="1"/>
    <col min="2" max="2" width="49.1328125" style="13" customWidth="1"/>
    <col min="3" max="3" width="19" style="13" customWidth="1"/>
    <col min="4" max="4" width="10.59765625" style="13" bestFit="1" customWidth="1"/>
    <col min="5" max="5" width="12.59765625" style="13" customWidth="1"/>
    <col min="6" max="6" width="12.1328125" style="13" bestFit="1" customWidth="1"/>
    <col min="7" max="253" width="8.86328125" style="13"/>
    <col min="254" max="254" width="4.59765625" style="13" customWidth="1"/>
    <col min="255" max="255" width="49.1328125" style="13" customWidth="1"/>
    <col min="256" max="256" width="19" style="13" customWidth="1"/>
    <col min="257" max="257" width="10.59765625" style="13" bestFit="1" customWidth="1"/>
    <col min="258" max="258" width="12.59765625" style="13" customWidth="1"/>
    <col min="259" max="259" width="12.1328125" style="13" bestFit="1" customWidth="1"/>
    <col min="260" max="260" width="9" style="13" customWidth="1"/>
    <col min="261" max="262" width="14.3984375" style="13" bestFit="1" customWidth="1"/>
    <col min="263" max="509" width="8.86328125" style="13"/>
    <col min="510" max="510" width="4.59765625" style="13" customWidth="1"/>
    <col min="511" max="511" width="49.1328125" style="13" customWidth="1"/>
    <col min="512" max="512" width="19" style="13" customWidth="1"/>
    <col min="513" max="513" width="10.59765625" style="13" bestFit="1" customWidth="1"/>
    <col min="514" max="514" width="12.59765625" style="13" customWidth="1"/>
    <col min="515" max="515" width="12.1328125" style="13" bestFit="1" customWidth="1"/>
    <col min="516" max="516" width="9" style="13" customWidth="1"/>
    <col min="517" max="518" width="14.3984375" style="13" bestFit="1" customWidth="1"/>
    <col min="519" max="765" width="8.86328125" style="13"/>
    <col min="766" max="766" width="4.59765625" style="13" customWidth="1"/>
    <col min="767" max="767" width="49.1328125" style="13" customWidth="1"/>
    <col min="768" max="768" width="19" style="13" customWidth="1"/>
    <col min="769" max="769" width="10.59765625" style="13" bestFit="1" customWidth="1"/>
    <col min="770" max="770" width="12.59765625" style="13" customWidth="1"/>
    <col min="771" max="771" width="12.1328125" style="13" bestFit="1" customWidth="1"/>
    <col min="772" max="772" width="9" style="13" customWidth="1"/>
    <col min="773" max="774" width="14.3984375" style="13" bestFit="1" customWidth="1"/>
    <col min="775" max="1021" width="8.86328125" style="13"/>
    <col min="1022" max="1022" width="4.59765625" style="13" customWidth="1"/>
    <col min="1023" max="1023" width="49.1328125" style="13" customWidth="1"/>
    <col min="1024" max="1024" width="19" style="13" customWidth="1"/>
    <col min="1025" max="1025" width="10.59765625" style="13" bestFit="1" customWidth="1"/>
    <col min="1026" max="1026" width="12.59765625" style="13" customWidth="1"/>
    <col min="1027" max="1027" width="12.1328125" style="13" bestFit="1" customWidth="1"/>
    <col min="1028" max="1028" width="9" style="13" customWidth="1"/>
    <col min="1029" max="1030" width="14.3984375" style="13" bestFit="1" customWidth="1"/>
    <col min="1031" max="1277" width="8.86328125" style="13"/>
    <col min="1278" max="1278" width="4.59765625" style="13" customWidth="1"/>
    <col min="1279" max="1279" width="49.1328125" style="13" customWidth="1"/>
    <col min="1280" max="1280" width="19" style="13" customWidth="1"/>
    <col min="1281" max="1281" width="10.59765625" style="13" bestFit="1" customWidth="1"/>
    <col min="1282" max="1282" width="12.59765625" style="13" customWidth="1"/>
    <col min="1283" max="1283" width="12.1328125" style="13" bestFit="1" customWidth="1"/>
    <col min="1284" max="1284" width="9" style="13" customWidth="1"/>
    <col min="1285" max="1286" width="14.3984375" style="13" bestFit="1" customWidth="1"/>
    <col min="1287" max="1533" width="8.86328125" style="13"/>
    <col min="1534" max="1534" width="4.59765625" style="13" customWidth="1"/>
    <col min="1535" max="1535" width="49.1328125" style="13" customWidth="1"/>
    <col min="1536" max="1536" width="19" style="13" customWidth="1"/>
    <col min="1537" max="1537" width="10.59765625" style="13" bestFit="1" customWidth="1"/>
    <col min="1538" max="1538" width="12.59765625" style="13" customWidth="1"/>
    <col min="1539" max="1539" width="12.1328125" style="13" bestFit="1" customWidth="1"/>
    <col min="1540" max="1540" width="9" style="13" customWidth="1"/>
    <col min="1541" max="1542" width="14.3984375" style="13" bestFit="1" customWidth="1"/>
    <col min="1543" max="1789" width="8.86328125" style="13"/>
    <col min="1790" max="1790" width="4.59765625" style="13" customWidth="1"/>
    <col min="1791" max="1791" width="49.1328125" style="13" customWidth="1"/>
    <col min="1792" max="1792" width="19" style="13" customWidth="1"/>
    <col min="1793" max="1793" width="10.59765625" style="13" bestFit="1" customWidth="1"/>
    <col min="1794" max="1794" width="12.59765625" style="13" customWidth="1"/>
    <col min="1795" max="1795" width="12.1328125" style="13" bestFit="1" customWidth="1"/>
    <col min="1796" max="1796" width="9" style="13" customWidth="1"/>
    <col min="1797" max="1798" width="14.3984375" style="13" bestFit="1" customWidth="1"/>
    <col min="1799" max="2045" width="8.86328125" style="13"/>
    <col min="2046" max="2046" width="4.59765625" style="13" customWidth="1"/>
    <col min="2047" max="2047" width="49.1328125" style="13" customWidth="1"/>
    <col min="2048" max="2048" width="19" style="13" customWidth="1"/>
    <col min="2049" max="2049" width="10.59765625" style="13" bestFit="1" customWidth="1"/>
    <col min="2050" max="2050" width="12.59765625" style="13" customWidth="1"/>
    <col min="2051" max="2051" width="12.1328125" style="13" bestFit="1" customWidth="1"/>
    <col min="2052" max="2052" width="9" style="13" customWidth="1"/>
    <col min="2053" max="2054" width="14.3984375" style="13" bestFit="1" customWidth="1"/>
    <col min="2055" max="2301" width="8.86328125" style="13"/>
    <col min="2302" max="2302" width="4.59765625" style="13" customWidth="1"/>
    <col min="2303" max="2303" width="49.1328125" style="13" customWidth="1"/>
    <col min="2304" max="2304" width="19" style="13" customWidth="1"/>
    <col min="2305" max="2305" width="10.59765625" style="13" bestFit="1" customWidth="1"/>
    <col min="2306" max="2306" width="12.59765625" style="13" customWidth="1"/>
    <col min="2307" max="2307" width="12.1328125" style="13" bestFit="1" customWidth="1"/>
    <col min="2308" max="2308" width="9" style="13" customWidth="1"/>
    <col min="2309" max="2310" width="14.3984375" style="13" bestFit="1" customWidth="1"/>
    <col min="2311" max="2557" width="8.86328125" style="13"/>
    <col min="2558" max="2558" width="4.59765625" style="13" customWidth="1"/>
    <col min="2559" max="2559" width="49.1328125" style="13" customWidth="1"/>
    <col min="2560" max="2560" width="19" style="13" customWidth="1"/>
    <col min="2561" max="2561" width="10.59765625" style="13" bestFit="1" customWidth="1"/>
    <col min="2562" max="2562" width="12.59765625" style="13" customWidth="1"/>
    <col min="2563" max="2563" width="12.1328125" style="13" bestFit="1" customWidth="1"/>
    <col min="2564" max="2564" width="9" style="13" customWidth="1"/>
    <col min="2565" max="2566" width="14.3984375" style="13" bestFit="1" customWidth="1"/>
    <col min="2567" max="2813" width="8.86328125" style="13"/>
    <col min="2814" max="2814" width="4.59765625" style="13" customWidth="1"/>
    <col min="2815" max="2815" width="49.1328125" style="13" customWidth="1"/>
    <col min="2816" max="2816" width="19" style="13" customWidth="1"/>
    <col min="2817" max="2817" width="10.59765625" style="13" bestFit="1" customWidth="1"/>
    <col min="2818" max="2818" width="12.59765625" style="13" customWidth="1"/>
    <col min="2819" max="2819" width="12.1328125" style="13" bestFit="1" customWidth="1"/>
    <col min="2820" max="2820" width="9" style="13" customWidth="1"/>
    <col min="2821" max="2822" width="14.3984375" style="13" bestFit="1" customWidth="1"/>
    <col min="2823" max="3069" width="8.86328125" style="13"/>
    <col min="3070" max="3070" width="4.59765625" style="13" customWidth="1"/>
    <col min="3071" max="3071" width="49.1328125" style="13" customWidth="1"/>
    <col min="3072" max="3072" width="19" style="13" customWidth="1"/>
    <col min="3073" max="3073" width="10.59765625" style="13" bestFit="1" customWidth="1"/>
    <col min="3074" max="3074" width="12.59765625" style="13" customWidth="1"/>
    <col min="3075" max="3075" width="12.1328125" style="13" bestFit="1" customWidth="1"/>
    <col min="3076" max="3076" width="9" style="13" customWidth="1"/>
    <col min="3077" max="3078" width="14.3984375" style="13" bestFit="1" customWidth="1"/>
    <col min="3079" max="3325" width="8.86328125" style="13"/>
    <col min="3326" max="3326" width="4.59765625" style="13" customWidth="1"/>
    <col min="3327" max="3327" width="49.1328125" style="13" customWidth="1"/>
    <col min="3328" max="3328" width="19" style="13" customWidth="1"/>
    <col min="3329" max="3329" width="10.59765625" style="13" bestFit="1" customWidth="1"/>
    <col min="3330" max="3330" width="12.59765625" style="13" customWidth="1"/>
    <col min="3331" max="3331" width="12.1328125" style="13" bestFit="1" customWidth="1"/>
    <col min="3332" max="3332" width="9" style="13" customWidth="1"/>
    <col min="3333" max="3334" width="14.3984375" style="13" bestFit="1" customWidth="1"/>
    <col min="3335" max="3581" width="8.86328125" style="13"/>
    <col min="3582" max="3582" width="4.59765625" style="13" customWidth="1"/>
    <col min="3583" max="3583" width="49.1328125" style="13" customWidth="1"/>
    <col min="3584" max="3584" width="19" style="13" customWidth="1"/>
    <col min="3585" max="3585" width="10.59765625" style="13" bestFit="1" customWidth="1"/>
    <col min="3586" max="3586" width="12.59765625" style="13" customWidth="1"/>
    <col min="3587" max="3587" width="12.1328125" style="13" bestFit="1" customWidth="1"/>
    <col min="3588" max="3588" width="9" style="13" customWidth="1"/>
    <col min="3589" max="3590" width="14.3984375" style="13" bestFit="1" customWidth="1"/>
    <col min="3591" max="3837" width="8.86328125" style="13"/>
    <col min="3838" max="3838" width="4.59765625" style="13" customWidth="1"/>
    <col min="3839" max="3839" width="49.1328125" style="13" customWidth="1"/>
    <col min="3840" max="3840" width="19" style="13" customWidth="1"/>
    <col min="3841" max="3841" width="10.59765625" style="13" bestFit="1" customWidth="1"/>
    <col min="3842" max="3842" width="12.59765625" style="13" customWidth="1"/>
    <col min="3843" max="3843" width="12.1328125" style="13" bestFit="1" customWidth="1"/>
    <col min="3844" max="3844" width="9" style="13" customWidth="1"/>
    <col min="3845" max="3846" width="14.3984375" style="13" bestFit="1" customWidth="1"/>
    <col min="3847" max="4093" width="8.86328125" style="13"/>
    <col min="4094" max="4094" width="4.59765625" style="13" customWidth="1"/>
    <col min="4095" max="4095" width="49.1328125" style="13" customWidth="1"/>
    <col min="4096" max="4096" width="19" style="13" customWidth="1"/>
    <col min="4097" max="4097" width="10.59765625" style="13" bestFit="1" customWidth="1"/>
    <col min="4098" max="4098" width="12.59765625" style="13" customWidth="1"/>
    <col min="4099" max="4099" width="12.1328125" style="13" bestFit="1" customWidth="1"/>
    <col min="4100" max="4100" width="9" style="13" customWidth="1"/>
    <col min="4101" max="4102" width="14.3984375" style="13" bestFit="1" customWidth="1"/>
    <col min="4103" max="4349" width="8.86328125" style="13"/>
    <col min="4350" max="4350" width="4.59765625" style="13" customWidth="1"/>
    <col min="4351" max="4351" width="49.1328125" style="13" customWidth="1"/>
    <col min="4352" max="4352" width="19" style="13" customWidth="1"/>
    <col min="4353" max="4353" width="10.59765625" style="13" bestFit="1" customWidth="1"/>
    <col min="4354" max="4354" width="12.59765625" style="13" customWidth="1"/>
    <col min="4355" max="4355" width="12.1328125" style="13" bestFit="1" customWidth="1"/>
    <col min="4356" max="4356" width="9" style="13" customWidth="1"/>
    <col min="4357" max="4358" width="14.3984375" style="13" bestFit="1" customWidth="1"/>
    <col min="4359" max="4605" width="8.86328125" style="13"/>
    <col min="4606" max="4606" width="4.59765625" style="13" customWidth="1"/>
    <col min="4607" max="4607" width="49.1328125" style="13" customWidth="1"/>
    <col min="4608" max="4608" width="19" style="13" customWidth="1"/>
    <col min="4609" max="4609" width="10.59765625" style="13" bestFit="1" customWidth="1"/>
    <col min="4610" max="4610" width="12.59765625" style="13" customWidth="1"/>
    <col min="4611" max="4611" width="12.1328125" style="13" bestFit="1" customWidth="1"/>
    <col min="4612" max="4612" width="9" style="13" customWidth="1"/>
    <col min="4613" max="4614" width="14.3984375" style="13" bestFit="1" customWidth="1"/>
    <col min="4615" max="4861" width="8.86328125" style="13"/>
    <col min="4862" max="4862" width="4.59765625" style="13" customWidth="1"/>
    <col min="4863" max="4863" width="49.1328125" style="13" customWidth="1"/>
    <col min="4864" max="4864" width="19" style="13" customWidth="1"/>
    <col min="4865" max="4865" width="10.59765625" style="13" bestFit="1" customWidth="1"/>
    <col min="4866" max="4866" width="12.59765625" style="13" customWidth="1"/>
    <col min="4867" max="4867" width="12.1328125" style="13" bestFit="1" customWidth="1"/>
    <col min="4868" max="4868" width="9" style="13" customWidth="1"/>
    <col min="4869" max="4870" width="14.3984375" style="13" bestFit="1" customWidth="1"/>
    <col min="4871" max="5117" width="8.86328125" style="13"/>
    <col min="5118" max="5118" width="4.59765625" style="13" customWidth="1"/>
    <col min="5119" max="5119" width="49.1328125" style="13" customWidth="1"/>
    <col min="5120" max="5120" width="19" style="13" customWidth="1"/>
    <col min="5121" max="5121" width="10.59765625" style="13" bestFit="1" customWidth="1"/>
    <col min="5122" max="5122" width="12.59765625" style="13" customWidth="1"/>
    <col min="5123" max="5123" width="12.1328125" style="13" bestFit="1" customWidth="1"/>
    <col min="5124" max="5124" width="9" style="13" customWidth="1"/>
    <col min="5125" max="5126" width="14.3984375" style="13" bestFit="1" customWidth="1"/>
    <col min="5127" max="5373" width="8.86328125" style="13"/>
    <col min="5374" max="5374" width="4.59765625" style="13" customWidth="1"/>
    <col min="5375" max="5375" width="49.1328125" style="13" customWidth="1"/>
    <col min="5376" max="5376" width="19" style="13" customWidth="1"/>
    <col min="5377" max="5377" width="10.59765625" style="13" bestFit="1" customWidth="1"/>
    <col min="5378" max="5378" width="12.59765625" style="13" customWidth="1"/>
    <col min="5379" max="5379" width="12.1328125" style="13" bestFit="1" customWidth="1"/>
    <col min="5380" max="5380" width="9" style="13" customWidth="1"/>
    <col min="5381" max="5382" width="14.3984375" style="13" bestFit="1" customWidth="1"/>
    <col min="5383" max="5629" width="8.86328125" style="13"/>
    <col min="5630" max="5630" width="4.59765625" style="13" customWidth="1"/>
    <col min="5631" max="5631" width="49.1328125" style="13" customWidth="1"/>
    <col min="5632" max="5632" width="19" style="13" customWidth="1"/>
    <col min="5633" max="5633" width="10.59765625" style="13" bestFit="1" customWidth="1"/>
    <col min="5634" max="5634" width="12.59765625" style="13" customWidth="1"/>
    <col min="5635" max="5635" width="12.1328125" style="13" bestFit="1" customWidth="1"/>
    <col min="5636" max="5636" width="9" style="13" customWidth="1"/>
    <col min="5637" max="5638" width="14.3984375" style="13" bestFit="1" customWidth="1"/>
    <col min="5639" max="5885" width="8.86328125" style="13"/>
    <col min="5886" max="5886" width="4.59765625" style="13" customWidth="1"/>
    <col min="5887" max="5887" width="49.1328125" style="13" customWidth="1"/>
    <col min="5888" max="5888" width="19" style="13" customWidth="1"/>
    <col min="5889" max="5889" width="10.59765625" style="13" bestFit="1" customWidth="1"/>
    <col min="5890" max="5890" width="12.59765625" style="13" customWidth="1"/>
    <col min="5891" max="5891" width="12.1328125" style="13" bestFit="1" customWidth="1"/>
    <col min="5892" max="5892" width="9" style="13" customWidth="1"/>
    <col min="5893" max="5894" width="14.3984375" style="13" bestFit="1" customWidth="1"/>
    <col min="5895" max="6141" width="8.86328125" style="13"/>
    <col min="6142" max="6142" width="4.59765625" style="13" customWidth="1"/>
    <col min="6143" max="6143" width="49.1328125" style="13" customWidth="1"/>
    <col min="6144" max="6144" width="19" style="13" customWidth="1"/>
    <col min="6145" max="6145" width="10.59765625" style="13" bestFit="1" customWidth="1"/>
    <col min="6146" max="6146" width="12.59765625" style="13" customWidth="1"/>
    <col min="6147" max="6147" width="12.1328125" style="13" bestFit="1" customWidth="1"/>
    <col min="6148" max="6148" width="9" style="13" customWidth="1"/>
    <col min="6149" max="6150" width="14.3984375" style="13" bestFit="1" customWidth="1"/>
    <col min="6151" max="6397" width="8.86328125" style="13"/>
    <col min="6398" max="6398" width="4.59765625" style="13" customWidth="1"/>
    <col min="6399" max="6399" width="49.1328125" style="13" customWidth="1"/>
    <col min="6400" max="6400" width="19" style="13" customWidth="1"/>
    <col min="6401" max="6401" width="10.59765625" style="13" bestFit="1" customWidth="1"/>
    <col min="6402" max="6402" width="12.59765625" style="13" customWidth="1"/>
    <col min="6403" max="6403" width="12.1328125" style="13" bestFit="1" customWidth="1"/>
    <col min="6404" max="6404" width="9" style="13" customWidth="1"/>
    <col min="6405" max="6406" width="14.3984375" style="13" bestFit="1" customWidth="1"/>
    <col min="6407" max="6653" width="8.86328125" style="13"/>
    <col min="6654" max="6654" width="4.59765625" style="13" customWidth="1"/>
    <col min="6655" max="6655" width="49.1328125" style="13" customWidth="1"/>
    <col min="6656" max="6656" width="19" style="13" customWidth="1"/>
    <col min="6657" max="6657" width="10.59765625" style="13" bestFit="1" customWidth="1"/>
    <col min="6658" max="6658" width="12.59765625" style="13" customWidth="1"/>
    <col min="6659" max="6659" width="12.1328125" style="13" bestFit="1" customWidth="1"/>
    <col min="6660" max="6660" width="9" style="13" customWidth="1"/>
    <col min="6661" max="6662" width="14.3984375" style="13" bestFit="1" customWidth="1"/>
    <col min="6663" max="6909" width="8.86328125" style="13"/>
    <col min="6910" max="6910" width="4.59765625" style="13" customWidth="1"/>
    <col min="6911" max="6911" width="49.1328125" style="13" customWidth="1"/>
    <col min="6912" max="6912" width="19" style="13" customWidth="1"/>
    <col min="6913" max="6913" width="10.59765625" style="13" bestFit="1" customWidth="1"/>
    <col min="6914" max="6914" width="12.59765625" style="13" customWidth="1"/>
    <col min="6915" max="6915" width="12.1328125" style="13" bestFit="1" customWidth="1"/>
    <col min="6916" max="6916" width="9" style="13" customWidth="1"/>
    <col min="6917" max="6918" width="14.3984375" style="13" bestFit="1" customWidth="1"/>
    <col min="6919" max="7165" width="8.86328125" style="13"/>
    <col min="7166" max="7166" width="4.59765625" style="13" customWidth="1"/>
    <col min="7167" max="7167" width="49.1328125" style="13" customWidth="1"/>
    <col min="7168" max="7168" width="19" style="13" customWidth="1"/>
    <col min="7169" max="7169" width="10.59765625" style="13" bestFit="1" customWidth="1"/>
    <col min="7170" max="7170" width="12.59765625" style="13" customWidth="1"/>
    <col min="7171" max="7171" width="12.1328125" style="13" bestFit="1" customWidth="1"/>
    <col min="7172" max="7172" width="9" style="13" customWidth="1"/>
    <col min="7173" max="7174" width="14.3984375" style="13" bestFit="1" customWidth="1"/>
    <col min="7175" max="7421" width="8.86328125" style="13"/>
    <col min="7422" max="7422" width="4.59765625" style="13" customWidth="1"/>
    <col min="7423" max="7423" width="49.1328125" style="13" customWidth="1"/>
    <col min="7424" max="7424" width="19" style="13" customWidth="1"/>
    <col min="7425" max="7425" width="10.59765625" style="13" bestFit="1" customWidth="1"/>
    <col min="7426" max="7426" width="12.59765625" style="13" customWidth="1"/>
    <col min="7427" max="7427" width="12.1328125" style="13" bestFit="1" customWidth="1"/>
    <col min="7428" max="7428" width="9" style="13" customWidth="1"/>
    <col min="7429" max="7430" width="14.3984375" style="13" bestFit="1" customWidth="1"/>
    <col min="7431" max="7677" width="8.86328125" style="13"/>
    <col min="7678" max="7678" width="4.59765625" style="13" customWidth="1"/>
    <col min="7679" max="7679" width="49.1328125" style="13" customWidth="1"/>
    <col min="7680" max="7680" width="19" style="13" customWidth="1"/>
    <col min="7681" max="7681" width="10.59765625" style="13" bestFit="1" customWidth="1"/>
    <col min="7682" max="7682" width="12.59765625" style="13" customWidth="1"/>
    <col min="7683" max="7683" width="12.1328125" style="13" bestFit="1" customWidth="1"/>
    <col min="7684" max="7684" width="9" style="13" customWidth="1"/>
    <col min="7685" max="7686" width="14.3984375" style="13" bestFit="1" customWidth="1"/>
    <col min="7687" max="7933" width="8.86328125" style="13"/>
    <col min="7934" max="7934" width="4.59765625" style="13" customWidth="1"/>
    <col min="7935" max="7935" width="49.1328125" style="13" customWidth="1"/>
    <col min="7936" max="7936" width="19" style="13" customWidth="1"/>
    <col min="7937" max="7937" width="10.59765625" style="13" bestFit="1" customWidth="1"/>
    <col min="7938" max="7938" width="12.59765625" style="13" customWidth="1"/>
    <col min="7939" max="7939" width="12.1328125" style="13" bestFit="1" customWidth="1"/>
    <col min="7940" max="7940" width="9" style="13" customWidth="1"/>
    <col min="7941" max="7942" width="14.3984375" style="13" bestFit="1" customWidth="1"/>
    <col min="7943" max="8189" width="8.86328125" style="13"/>
    <col min="8190" max="8190" width="4.59765625" style="13" customWidth="1"/>
    <col min="8191" max="8191" width="49.1328125" style="13" customWidth="1"/>
    <col min="8192" max="8192" width="19" style="13" customWidth="1"/>
    <col min="8193" max="8193" width="10.59765625" style="13" bestFit="1" customWidth="1"/>
    <col min="8194" max="8194" width="12.59765625" style="13" customWidth="1"/>
    <col min="8195" max="8195" width="12.1328125" style="13" bestFit="1" customWidth="1"/>
    <col min="8196" max="8196" width="9" style="13" customWidth="1"/>
    <col min="8197" max="8198" width="14.3984375" style="13" bestFit="1" customWidth="1"/>
    <col min="8199" max="8445" width="8.86328125" style="13"/>
    <col min="8446" max="8446" width="4.59765625" style="13" customWidth="1"/>
    <col min="8447" max="8447" width="49.1328125" style="13" customWidth="1"/>
    <col min="8448" max="8448" width="19" style="13" customWidth="1"/>
    <col min="8449" max="8449" width="10.59765625" style="13" bestFit="1" customWidth="1"/>
    <col min="8450" max="8450" width="12.59765625" style="13" customWidth="1"/>
    <col min="8451" max="8451" width="12.1328125" style="13" bestFit="1" customWidth="1"/>
    <col min="8452" max="8452" width="9" style="13" customWidth="1"/>
    <col min="8453" max="8454" width="14.3984375" style="13" bestFit="1" customWidth="1"/>
    <col min="8455" max="8701" width="8.86328125" style="13"/>
    <col min="8702" max="8702" width="4.59765625" style="13" customWidth="1"/>
    <col min="8703" max="8703" width="49.1328125" style="13" customWidth="1"/>
    <col min="8704" max="8704" width="19" style="13" customWidth="1"/>
    <col min="8705" max="8705" width="10.59765625" style="13" bestFit="1" customWidth="1"/>
    <col min="8706" max="8706" width="12.59765625" style="13" customWidth="1"/>
    <col min="8707" max="8707" width="12.1328125" style="13" bestFit="1" customWidth="1"/>
    <col min="8708" max="8708" width="9" style="13" customWidth="1"/>
    <col min="8709" max="8710" width="14.3984375" style="13" bestFit="1" customWidth="1"/>
    <col min="8711" max="8957" width="8.86328125" style="13"/>
    <col min="8958" max="8958" width="4.59765625" style="13" customWidth="1"/>
    <col min="8959" max="8959" width="49.1328125" style="13" customWidth="1"/>
    <col min="8960" max="8960" width="19" style="13" customWidth="1"/>
    <col min="8961" max="8961" width="10.59765625" style="13" bestFit="1" customWidth="1"/>
    <col min="8962" max="8962" width="12.59765625" style="13" customWidth="1"/>
    <col min="8963" max="8963" width="12.1328125" style="13" bestFit="1" customWidth="1"/>
    <col min="8964" max="8964" width="9" style="13" customWidth="1"/>
    <col min="8965" max="8966" width="14.3984375" style="13" bestFit="1" customWidth="1"/>
    <col min="8967" max="9213" width="8.86328125" style="13"/>
    <col min="9214" max="9214" width="4.59765625" style="13" customWidth="1"/>
    <col min="9215" max="9215" width="49.1328125" style="13" customWidth="1"/>
    <col min="9216" max="9216" width="19" style="13" customWidth="1"/>
    <col min="9217" max="9217" width="10.59765625" style="13" bestFit="1" customWidth="1"/>
    <col min="9218" max="9218" width="12.59765625" style="13" customWidth="1"/>
    <col min="9219" max="9219" width="12.1328125" style="13" bestFit="1" customWidth="1"/>
    <col min="9220" max="9220" width="9" style="13" customWidth="1"/>
    <col min="9221" max="9222" width="14.3984375" style="13" bestFit="1" customWidth="1"/>
    <col min="9223" max="9469" width="8.86328125" style="13"/>
    <col min="9470" max="9470" width="4.59765625" style="13" customWidth="1"/>
    <col min="9471" max="9471" width="49.1328125" style="13" customWidth="1"/>
    <col min="9472" max="9472" width="19" style="13" customWidth="1"/>
    <col min="9473" max="9473" width="10.59765625" style="13" bestFit="1" customWidth="1"/>
    <col min="9474" max="9474" width="12.59765625" style="13" customWidth="1"/>
    <col min="9475" max="9475" width="12.1328125" style="13" bestFit="1" customWidth="1"/>
    <col min="9476" max="9476" width="9" style="13" customWidth="1"/>
    <col min="9477" max="9478" width="14.3984375" style="13" bestFit="1" customWidth="1"/>
    <col min="9479" max="9725" width="8.86328125" style="13"/>
    <col min="9726" max="9726" width="4.59765625" style="13" customWidth="1"/>
    <col min="9727" max="9727" width="49.1328125" style="13" customWidth="1"/>
    <col min="9728" max="9728" width="19" style="13" customWidth="1"/>
    <col min="9729" max="9729" width="10.59765625" style="13" bestFit="1" customWidth="1"/>
    <col min="9730" max="9730" width="12.59765625" style="13" customWidth="1"/>
    <col min="9731" max="9731" width="12.1328125" style="13" bestFit="1" customWidth="1"/>
    <col min="9732" max="9732" width="9" style="13" customWidth="1"/>
    <col min="9733" max="9734" width="14.3984375" style="13" bestFit="1" customWidth="1"/>
    <col min="9735" max="9981" width="8.86328125" style="13"/>
    <col min="9982" max="9982" width="4.59765625" style="13" customWidth="1"/>
    <col min="9983" max="9983" width="49.1328125" style="13" customWidth="1"/>
    <col min="9984" max="9984" width="19" style="13" customWidth="1"/>
    <col min="9985" max="9985" width="10.59765625" style="13" bestFit="1" customWidth="1"/>
    <col min="9986" max="9986" width="12.59765625" style="13" customWidth="1"/>
    <col min="9987" max="9987" width="12.1328125" style="13" bestFit="1" customWidth="1"/>
    <col min="9988" max="9988" width="9" style="13" customWidth="1"/>
    <col min="9989" max="9990" width="14.3984375" style="13" bestFit="1" customWidth="1"/>
    <col min="9991" max="10237" width="8.86328125" style="13"/>
    <col min="10238" max="10238" width="4.59765625" style="13" customWidth="1"/>
    <col min="10239" max="10239" width="49.1328125" style="13" customWidth="1"/>
    <col min="10240" max="10240" width="19" style="13" customWidth="1"/>
    <col min="10241" max="10241" width="10.59765625" style="13" bestFit="1" customWidth="1"/>
    <col min="10242" max="10242" width="12.59765625" style="13" customWidth="1"/>
    <col min="10243" max="10243" width="12.1328125" style="13" bestFit="1" customWidth="1"/>
    <col min="10244" max="10244" width="9" style="13" customWidth="1"/>
    <col min="10245" max="10246" width="14.3984375" style="13" bestFit="1" customWidth="1"/>
    <col min="10247" max="10493" width="8.86328125" style="13"/>
    <col min="10494" max="10494" width="4.59765625" style="13" customWidth="1"/>
    <col min="10495" max="10495" width="49.1328125" style="13" customWidth="1"/>
    <col min="10496" max="10496" width="19" style="13" customWidth="1"/>
    <col min="10497" max="10497" width="10.59765625" style="13" bestFit="1" customWidth="1"/>
    <col min="10498" max="10498" width="12.59765625" style="13" customWidth="1"/>
    <col min="10499" max="10499" width="12.1328125" style="13" bestFit="1" customWidth="1"/>
    <col min="10500" max="10500" width="9" style="13" customWidth="1"/>
    <col min="10501" max="10502" width="14.3984375" style="13" bestFit="1" customWidth="1"/>
    <col min="10503" max="10749" width="8.86328125" style="13"/>
    <col min="10750" max="10750" width="4.59765625" style="13" customWidth="1"/>
    <col min="10751" max="10751" width="49.1328125" style="13" customWidth="1"/>
    <col min="10752" max="10752" width="19" style="13" customWidth="1"/>
    <col min="10753" max="10753" width="10.59765625" style="13" bestFit="1" customWidth="1"/>
    <col min="10754" max="10754" width="12.59765625" style="13" customWidth="1"/>
    <col min="10755" max="10755" width="12.1328125" style="13" bestFit="1" customWidth="1"/>
    <col min="10756" max="10756" width="9" style="13" customWidth="1"/>
    <col min="10757" max="10758" width="14.3984375" style="13" bestFit="1" customWidth="1"/>
    <col min="10759" max="11005" width="8.86328125" style="13"/>
    <col min="11006" max="11006" width="4.59765625" style="13" customWidth="1"/>
    <col min="11007" max="11007" width="49.1328125" style="13" customWidth="1"/>
    <col min="11008" max="11008" width="19" style="13" customWidth="1"/>
    <col min="11009" max="11009" width="10.59765625" style="13" bestFit="1" customWidth="1"/>
    <col min="11010" max="11010" width="12.59765625" style="13" customWidth="1"/>
    <col min="11011" max="11011" width="12.1328125" style="13" bestFit="1" customWidth="1"/>
    <col min="11012" max="11012" width="9" style="13" customWidth="1"/>
    <col min="11013" max="11014" width="14.3984375" style="13" bestFit="1" customWidth="1"/>
    <col min="11015" max="11261" width="8.86328125" style="13"/>
    <col min="11262" max="11262" width="4.59765625" style="13" customWidth="1"/>
    <col min="11263" max="11263" width="49.1328125" style="13" customWidth="1"/>
    <col min="11264" max="11264" width="19" style="13" customWidth="1"/>
    <col min="11265" max="11265" width="10.59765625" style="13" bestFit="1" customWidth="1"/>
    <col min="11266" max="11266" width="12.59765625" style="13" customWidth="1"/>
    <col min="11267" max="11267" width="12.1328125" style="13" bestFit="1" customWidth="1"/>
    <col min="11268" max="11268" width="9" style="13" customWidth="1"/>
    <col min="11269" max="11270" width="14.3984375" style="13" bestFit="1" customWidth="1"/>
    <col min="11271" max="11517" width="8.86328125" style="13"/>
    <col min="11518" max="11518" width="4.59765625" style="13" customWidth="1"/>
    <col min="11519" max="11519" width="49.1328125" style="13" customWidth="1"/>
    <col min="11520" max="11520" width="19" style="13" customWidth="1"/>
    <col min="11521" max="11521" width="10.59765625" style="13" bestFit="1" customWidth="1"/>
    <col min="11522" max="11522" width="12.59765625" style="13" customWidth="1"/>
    <col min="11523" max="11523" width="12.1328125" style="13" bestFit="1" customWidth="1"/>
    <col min="11524" max="11524" width="9" style="13" customWidth="1"/>
    <col min="11525" max="11526" width="14.3984375" style="13" bestFit="1" customWidth="1"/>
    <col min="11527" max="11773" width="8.86328125" style="13"/>
    <col min="11774" max="11774" width="4.59765625" style="13" customWidth="1"/>
    <col min="11775" max="11775" width="49.1328125" style="13" customWidth="1"/>
    <col min="11776" max="11776" width="19" style="13" customWidth="1"/>
    <col min="11777" max="11777" width="10.59765625" style="13" bestFit="1" customWidth="1"/>
    <col min="11778" max="11778" width="12.59765625" style="13" customWidth="1"/>
    <col min="11779" max="11779" width="12.1328125" style="13" bestFit="1" customWidth="1"/>
    <col min="11780" max="11780" width="9" style="13" customWidth="1"/>
    <col min="11781" max="11782" width="14.3984375" style="13" bestFit="1" customWidth="1"/>
    <col min="11783" max="12029" width="8.86328125" style="13"/>
    <col min="12030" max="12030" width="4.59765625" style="13" customWidth="1"/>
    <col min="12031" max="12031" width="49.1328125" style="13" customWidth="1"/>
    <col min="12032" max="12032" width="19" style="13" customWidth="1"/>
    <col min="12033" max="12033" width="10.59765625" style="13" bestFit="1" customWidth="1"/>
    <col min="12034" max="12034" width="12.59765625" style="13" customWidth="1"/>
    <col min="12035" max="12035" width="12.1328125" style="13" bestFit="1" customWidth="1"/>
    <col min="12036" max="12036" width="9" style="13" customWidth="1"/>
    <col min="12037" max="12038" width="14.3984375" style="13" bestFit="1" customWidth="1"/>
    <col min="12039" max="12285" width="8.86328125" style="13"/>
    <col min="12286" max="12286" width="4.59765625" style="13" customWidth="1"/>
    <col min="12287" max="12287" width="49.1328125" style="13" customWidth="1"/>
    <col min="12288" max="12288" width="19" style="13" customWidth="1"/>
    <col min="12289" max="12289" width="10.59765625" style="13" bestFit="1" customWidth="1"/>
    <col min="12290" max="12290" width="12.59765625" style="13" customWidth="1"/>
    <col min="12291" max="12291" width="12.1328125" style="13" bestFit="1" customWidth="1"/>
    <col min="12292" max="12292" width="9" style="13" customWidth="1"/>
    <col min="12293" max="12294" width="14.3984375" style="13" bestFit="1" customWidth="1"/>
    <col min="12295" max="12541" width="8.86328125" style="13"/>
    <col min="12542" max="12542" width="4.59765625" style="13" customWidth="1"/>
    <col min="12543" max="12543" width="49.1328125" style="13" customWidth="1"/>
    <col min="12544" max="12544" width="19" style="13" customWidth="1"/>
    <col min="12545" max="12545" width="10.59765625" style="13" bestFit="1" customWidth="1"/>
    <col min="12546" max="12546" width="12.59765625" style="13" customWidth="1"/>
    <col min="12547" max="12547" width="12.1328125" style="13" bestFit="1" customWidth="1"/>
    <col min="12548" max="12548" width="9" style="13" customWidth="1"/>
    <col min="12549" max="12550" width="14.3984375" style="13" bestFit="1" customWidth="1"/>
    <col min="12551" max="12797" width="8.86328125" style="13"/>
    <col min="12798" max="12798" width="4.59765625" style="13" customWidth="1"/>
    <col min="12799" max="12799" width="49.1328125" style="13" customWidth="1"/>
    <col min="12800" max="12800" width="19" style="13" customWidth="1"/>
    <col min="12801" max="12801" width="10.59765625" style="13" bestFit="1" customWidth="1"/>
    <col min="12802" max="12802" width="12.59765625" style="13" customWidth="1"/>
    <col min="12803" max="12803" width="12.1328125" style="13" bestFit="1" customWidth="1"/>
    <col min="12804" max="12804" width="9" style="13" customWidth="1"/>
    <col min="12805" max="12806" width="14.3984375" style="13" bestFit="1" customWidth="1"/>
    <col min="12807" max="13053" width="8.86328125" style="13"/>
    <col min="13054" max="13054" width="4.59765625" style="13" customWidth="1"/>
    <col min="13055" max="13055" width="49.1328125" style="13" customWidth="1"/>
    <col min="13056" max="13056" width="19" style="13" customWidth="1"/>
    <col min="13057" max="13057" width="10.59765625" style="13" bestFit="1" customWidth="1"/>
    <col min="13058" max="13058" width="12.59765625" style="13" customWidth="1"/>
    <col min="13059" max="13059" width="12.1328125" style="13" bestFit="1" customWidth="1"/>
    <col min="13060" max="13060" width="9" style="13" customWidth="1"/>
    <col min="13061" max="13062" width="14.3984375" style="13" bestFit="1" customWidth="1"/>
    <col min="13063" max="13309" width="8.86328125" style="13"/>
    <col min="13310" max="13310" width="4.59765625" style="13" customWidth="1"/>
    <col min="13311" max="13311" width="49.1328125" style="13" customWidth="1"/>
    <col min="13312" max="13312" width="19" style="13" customWidth="1"/>
    <col min="13313" max="13313" width="10.59765625" style="13" bestFit="1" customWidth="1"/>
    <col min="13314" max="13314" width="12.59765625" style="13" customWidth="1"/>
    <col min="13315" max="13315" width="12.1328125" style="13" bestFit="1" customWidth="1"/>
    <col min="13316" max="13316" width="9" style="13" customWidth="1"/>
    <col min="13317" max="13318" width="14.3984375" style="13" bestFit="1" customWidth="1"/>
    <col min="13319" max="13565" width="8.86328125" style="13"/>
    <col min="13566" max="13566" width="4.59765625" style="13" customWidth="1"/>
    <col min="13567" max="13567" width="49.1328125" style="13" customWidth="1"/>
    <col min="13568" max="13568" width="19" style="13" customWidth="1"/>
    <col min="13569" max="13569" width="10.59765625" style="13" bestFit="1" customWidth="1"/>
    <col min="13570" max="13570" width="12.59765625" style="13" customWidth="1"/>
    <col min="13571" max="13571" width="12.1328125" style="13" bestFit="1" customWidth="1"/>
    <col min="13572" max="13572" width="9" style="13" customWidth="1"/>
    <col min="13573" max="13574" width="14.3984375" style="13" bestFit="1" customWidth="1"/>
    <col min="13575" max="13821" width="8.86328125" style="13"/>
    <col min="13822" max="13822" width="4.59765625" style="13" customWidth="1"/>
    <col min="13823" max="13823" width="49.1328125" style="13" customWidth="1"/>
    <col min="13824" max="13824" width="19" style="13" customWidth="1"/>
    <col min="13825" max="13825" width="10.59765625" style="13" bestFit="1" customWidth="1"/>
    <col min="13826" max="13826" width="12.59765625" style="13" customWidth="1"/>
    <col min="13827" max="13827" width="12.1328125" style="13" bestFit="1" customWidth="1"/>
    <col min="13828" max="13828" width="9" style="13" customWidth="1"/>
    <col min="13829" max="13830" width="14.3984375" style="13" bestFit="1" customWidth="1"/>
    <col min="13831" max="14077" width="8.86328125" style="13"/>
    <col min="14078" max="14078" width="4.59765625" style="13" customWidth="1"/>
    <col min="14079" max="14079" width="49.1328125" style="13" customWidth="1"/>
    <col min="14080" max="14080" width="19" style="13" customWidth="1"/>
    <col min="14081" max="14081" width="10.59765625" style="13" bestFit="1" customWidth="1"/>
    <col min="14082" max="14082" width="12.59765625" style="13" customWidth="1"/>
    <col min="14083" max="14083" width="12.1328125" style="13" bestFit="1" customWidth="1"/>
    <col min="14084" max="14084" width="9" style="13" customWidth="1"/>
    <col min="14085" max="14086" width="14.3984375" style="13" bestFit="1" customWidth="1"/>
    <col min="14087" max="14333" width="8.86328125" style="13"/>
    <col min="14334" max="14334" width="4.59765625" style="13" customWidth="1"/>
    <col min="14335" max="14335" width="49.1328125" style="13" customWidth="1"/>
    <col min="14336" max="14336" width="19" style="13" customWidth="1"/>
    <col min="14337" max="14337" width="10.59765625" style="13" bestFit="1" customWidth="1"/>
    <col min="14338" max="14338" width="12.59765625" style="13" customWidth="1"/>
    <col min="14339" max="14339" width="12.1328125" style="13" bestFit="1" customWidth="1"/>
    <col min="14340" max="14340" width="9" style="13" customWidth="1"/>
    <col min="14341" max="14342" width="14.3984375" style="13" bestFit="1" customWidth="1"/>
    <col min="14343" max="14589" width="8.86328125" style="13"/>
    <col min="14590" max="14590" width="4.59765625" style="13" customWidth="1"/>
    <col min="14591" max="14591" width="49.1328125" style="13" customWidth="1"/>
    <col min="14592" max="14592" width="19" style="13" customWidth="1"/>
    <col min="14593" max="14593" width="10.59765625" style="13" bestFit="1" customWidth="1"/>
    <col min="14594" max="14594" width="12.59765625" style="13" customWidth="1"/>
    <col min="14595" max="14595" width="12.1328125" style="13" bestFit="1" customWidth="1"/>
    <col min="14596" max="14596" width="9" style="13" customWidth="1"/>
    <col min="14597" max="14598" width="14.3984375" style="13" bestFit="1" customWidth="1"/>
    <col min="14599" max="14845" width="8.86328125" style="13"/>
    <col min="14846" max="14846" width="4.59765625" style="13" customWidth="1"/>
    <col min="14847" max="14847" width="49.1328125" style="13" customWidth="1"/>
    <col min="14848" max="14848" width="19" style="13" customWidth="1"/>
    <col min="14849" max="14849" width="10.59765625" style="13" bestFit="1" customWidth="1"/>
    <col min="14850" max="14850" width="12.59765625" style="13" customWidth="1"/>
    <col min="14851" max="14851" width="12.1328125" style="13" bestFit="1" customWidth="1"/>
    <col min="14852" max="14852" width="9" style="13" customWidth="1"/>
    <col min="14853" max="14854" width="14.3984375" style="13" bestFit="1" customWidth="1"/>
    <col min="14855" max="15101" width="8.86328125" style="13"/>
    <col min="15102" max="15102" width="4.59765625" style="13" customWidth="1"/>
    <col min="15103" max="15103" width="49.1328125" style="13" customWidth="1"/>
    <col min="15104" max="15104" width="19" style="13" customWidth="1"/>
    <col min="15105" max="15105" width="10.59765625" style="13" bestFit="1" customWidth="1"/>
    <col min="15106" max="15106" width="12.59765625" style="13" customWidth="1"/>
    <col min="15107" max="15107" width="12.1328125" style="13" bestFit="1" customWidth="1"/>
    <col min="15108" max="15108" width="9" style="13" customWidth="1"/>
    <col min="15109" max="15110" width="14.3984375" style="13" bestFit="1" customWidth="1"/>
    <col min="15111" max="15357" width="8.86328125" style="13"/>
    <col min="15358" max="15358" width="4.59765625" style="13" customWidth="1"/>
    <col min="15359" max="15359" width="49.1328125" style="13" customWidth="1"/>
    <col min="15360" max="15360" width="19" style="13" customWidth="1"/>
    <col min="15361" max="15361" width="10.59765625" style="13" bestFit="1" customWidth="1"/>
    <col min="15362" max="15362" width="12.59765625" style="13" customWidth="1"/>
    <col min="15363" max="15363" width="12.1328125" style="13" bestFit="1" customWidth="1"/>
    <col min="15364" max="15364" width="9" style="13" customWidth="1"/>
    <col min="15365" max="15366" width="14.3984375" style="13" bestFit="1" customWidth="1"/>
    <col min="15367" max="15613" width="8.86328125" style="13"/>
    <col min="15614" max="15614" width="4.59765625" style="13" customWidth="1"/>
    <col min="15615" max="15615" width="49.1328125" style="13" customWidth="1"/>
    <col min="15616" max="15616" width="19" style="13" customWidth="1"/>
    <col min="15617" max="15617" width="10.59765625" style="13" bestFit="1" customWidth="1"/>
    <col min="15618" max="15618" width="12.59765625" style="13" customWidth="1"/>
    <col min="15619" max="15619" width="12.1328125" style="13" bestFit="1" customWidth="1"/>
    <col min="15620" max="15620" width="9" style="13" customWidth="1"/>
    <col min="15621" max="15622" width="14.3984375" style="13" bestFit="1" customWidth="1"/>
    <col min="15623" max="15869" width="8.86328125" style="13"/>
    <col min="15870" max="15870" width="4.59765625" style="13" customWidth="1"/>
    <col min="15871" max="15871" width="49.1328125" style="13" customWidth="1"/>
    <col min="15872" max="15872" width="19" style="13" customWidth="1"/>
    <col min="15873" max="15873" width="10.59765625" style="13" bestFit="1" customWidth="1"/>
    <col min="15874" max="15874" width="12.59765625" style="13" customWidth="1"/>
    <col min="15875" max="15875" width="12.1328125" style="13" bestFit="1" customWidth="1"/>
    <col min="15876" max="15876" width="9" style="13" customWidth="1"/>
    <col min="15877" max="15878" width="14.3984375" style="13" bestFit="1" customWidth="1"/>
    <col min="15879" max="16125" width="8.86328125" style="13"/>
    <col min="16126" max="16126" width="4.59765625" style="13" customWidth="1"/>
    <col min="16127" max="16127" width="49.1328125" style="13" customWidth="1"/>
    <col min="16128" max="16128" width="19" style="13" customWidth="1"/>
    <col min="16129" max="16129" width="10.59765625" style="13" bestFit="1" customWidth="1"/>
    <col min="16130" max="16130" width="12.59765625" style="13" customWidth="1"/>
    <col min="16131" max="16131" width="12.1328125" style="13" bestFit="1" customWidth="1"/>
    <col min="16132" max="16132" width="9" style="13" customWidth="1"/>
    <col min="16133" max="16134" width="14.3984375" style="13" bestFit="1" customWidth="1"/>
    <col min="16135" max="16384" width="8.86328125" style="13"/>
  </cols>
  <sheetData>
    <row r="1" spans="1:6">
      <c r="F1" s="210" t="s">
        <v>278</v>
      </c>
    </row>
    <row r="2" spans="1:6">
      <c r="F2" s="210" t="s">
        <v>279</v>
      </c>
    </row>
    <row r="3" spans="1:6">
      <c r="F3" s="210" t="s">
        <v>280</v>
      </c>
    </row>
    <row r="4" spans="1:6">
      <c r="F4" s="210" t="s">
        <v>301</v>
      </c>
    </row>
    <row r="6" spans="1:6" ht="13.15">
      <c r="A6" s="222" t="s">
        <v>140</v>
      </c>
      <c r="B6" s="222"/>
      <c r="C6" s="222"/>
      <c r="D6" s="222"/>
      <c r="E6" s="222"/>
      <c r="F6" s="222"/>
    </row>
    <row r="7" spans="1:6" ht="13.15">
      <c r="A7" s="222" t="s">
        <v>144</v>
      </c>
      <c r="B7" s="222"/>
      <c r="C7" s="222"/>
      <c r="D7" s="222"/>
      <c r="E7" s="222"/>
      <c r="F7" s="222"/>
    </row>
    <row r="8" spans="1:6" ht="13.15">
      <c r="A8" s="222" t="s">
        <v>145</v>
      </c>
      <c r="B8" s="222"/>
      <c r="C8" s="222"/>
      <c r="D8" s="222"/>
      <c r="E8" s="222"/>
      <c r="F8" s="222"/>
    </row>
    <row r="9" spans="1:6" ht="13.15">
      <c r="A9" s="24"/>
      <c r="B9" s="24"/>
      <c r="C9" s="24"/>
      <c r="D9" s="24"/>
      <c r="E9" s="24"/>
      <c r="F9" s="24"/>
    </row>
    <row r="10" spans="1:6" ht="13.15">
      <c r="C10" s="24" t="s">
        <v>146</v>
      </c>
      <c r="E10" s="24"/>
      <c r="F10" s="24" t="s">
        <v>147</v>
      </c>
    </row>
    <row r="11" spans="1:6" ht="13.15">
      <c r="A11" s="24" t="s">
        <v>4</v>
      </c>
      <c r="C11" s="24" t="s">
        <v>148</v>
      </c>
      <c r="D11" s="24" t="s">
        <v>149</v>
      </c>
      <c r="E11" s="24" t="s">
        <v>150</v>
      </c>
      <c r="F11" s="24" t="s">
        <v>151</v>
      </c>
    </row>
    <row r="12" spans="1:6" ht="16.899999999999999">
      <c r="A12" s="67" t="s">
        <v>153</v>
      </c>
      <c r="B12" s="67" t="s">
        <v>143</v>
      </c>
      <c r="C12" s="67" t="s">
        <v>154</v>
      </c>
      <c r="D12" s="72" t="s">
        <v>155</v>
      </c>
      <c r="E12" s="72" t="s">
        <v>156</v>
      </c>
      <c r="F12" s="72" t="s">
        <v>157</v>
      </c>
    </row>
    <row r="13" spans="1:6" ht="13.15">
      <c r="A13" s="24"/>
      <c r="B13" s="73">
        <v>-1</v>
      </c>
      <c r="C13" s="73">
        <f>+B13-1</f>
        <v>-2</v>
      </c>
      <c r="D13" s="73">
        <f>+C13-1</f>
        <v>-3</v>
      </c>
      <c r="E13" s="73">
        <f>+D13-1</f>
        <v>-4</v>
      </c>
      <c r="F13" s="73">
        <f>+E13-1</f>
        <v>-5</v>
      </c>
    </row>
    <row r="15" spans="1:6">
      <c r="A15" s="18">
        <v>1</v>
      </c>
      <c r="B15" s="74" t="s">
        <v>158</v>
      </c>
      <c r="C15" s="75">
        <v>51773586.600000001</v>
      </c>
      <c r="D15" s="76">
        <f>ROUND(C15/$C$23,7)</f>
        <v>0.6499646</v>
      </c>
      <c r="E15" s="77">
        <f>ROUND(D15*$E$23,0)</f>
        <v>12768452</v>
      </c>
      <c r="F15" s="17">
        <v>1480254</v>
      </c>
    </row>
    <row r="16" spans="1:6">
      <c r="A16" s="18"/>
      <c r="B16" s="74"/>
      <c r="C16" s="75"/>
      <c r="D16" s="76"/>
      <c r="E16" s="77"/>
      <c r="F16" s="17"/>
    </row>
    <row r="17" spans="1:6">
      <c r="A17" s="18">
        <f>A15+1</f>
        <v>2</v>
      </c>
      <c r="B17" s="74" t="s">
        <v>159</v>
      </c>
      <c r="C17" s="75">
        <v>22237376.290000003</v>
      </c>
      <c r="D17" s="76">
        <f>ROUND(C17/$C$23,7)</f>
        <v>0.27916760000000002</v>
      </c>
      <c r="E17" s="77">
        <f>ROUND(D17*$E$23,0)</f>
        <v>5484203</v>
      </c>
      <c r="F17" s="17">
        <v>178216</v>
      </c>
    </row>
    <row r="18" spans="1:6">
      <c r="A18" s="18"/>
      <c r="B18" s="74"/>
      <c r="C18" s="75"/>
      <c r="D18" s="76"/>
      <c r="E18" s="77"/>
      <c r="F18" s="17"/>
    </row>
    <row r="19" spans="1:6">
      <c r="A19" s="18">
        <f>A17+1</f>
        <v>3</v>
      </c>
      <c r="B19" s="74" t="s">
        <v>160</v>
      </c>
      <c r="C19" s="75">
        <v>26686.22</v>
      </c>
      <c r="D19" s="76">
        <f>ROUND(C19/$C$23,7)</f>
        <v>3.3500000000000001E-4</v>
      </c>
      <c r="E19" s="77">
        <f>ROUND(D19*$E$23,0)</f>
        <v>6581</v>
      </c>
      <c r="F19" s="17">
        <v>24</v>
      </c>
    </row>
    <row r="20" spans="1:6">
      <c r="A20" s="18"/>
      <c r="B20" s="74"/>
      <c r="C20" s="75"/>
      <c r="D20" s="76"/>
      <c r="E20" s="77"/>
      <c r="F20" s="17"/>
    </row>
    <row r="21" spans="1:6" ht="17.25">
      <c r="A21" s="18">
        <f>A19+1</f>
        <v>4</v>
      </c>
      <c r="B21" s="74" t="s">
        <v>161</v>
      </c>
      <c r="C21" s="79">
        <v>5618357.6800000006</v>
      </c>
      <c r="D21" s="80">
        <f>ROUND(C21/$C$23,7)</f>
        <v>7.0532800000000007E-2</v>
      </c>
      <c r="E21" s="81">
        <f>ROUND(D21*$E$23,0)</f>
        <v>1385606</v>
      </c>
      <c r="F21" s="82">
        <v>830</v>
      </c>
    </row>
    <row r="22" spans="1:6">
      <c r="A22" s="18"/>
      <c r="B22" s="74"/>
      <c r="C22" s="83"/>
      <c r="D22" s="78"/>
      <c r="E22" s="84"/>
      <c r="F22" s="85"/>
    </row>
    <row r="23" spans="1:6" ht="13.15" thickBot="1">
      <c r="A23" s="18">
        <f>A21+1</f>
        <v>5</v>
      </c>
      <c r="B23" s="74" t="s">
        <v>44</v>
      </c>
      <c r="C23" s="86">
        <f>SUM(C15:C21)</f>
        <v>79656006.790000007</v>
      </c>
      <c r="D23" s="87">
        <f>SUM(D15:D22)</f>
        <v>1</v>
      </c>
      <c r="E23" s="88">
        <f>'Rev Req 2021 Form 1.1'!S49</f>
        <v>19644841.581502948</v>
      </c>
      <c r="F23" s="89">
        <f>SUM(F15:F22)</f>
        <v>1659324</v>
      </c>
    </row>
    <row r="24" spans="1:6" ht="13.15" thickTop="1">
      <c r="A24" s="18"/>
      <c r="B24" s="18"/>
      <c r="C24" s="18"/>
    </row>
    <row r="25" spans="1:6">
      <c r="A25" s="18"/>
      <c r="B25" s="18"/>
      <c r="C25" s="18"/>
      <c r="E25" s="20"/>
    </row>
    <row r="27" spans="1:6">
      <c r="A27" s="13" t="s">
        <v>134</v>
      </c>
    </row>
    <row r="28" spans="1:6" ht="17.25">
      <c r="A28" s="90" t="s">
        <v>162</v>
      </c>
    </row>
    <row r="29" spans="1:6" ht="17.25">
      <c r="A29" s="13" t="s">
        <v>265</v>
      </c>
    </row>
    <row r="30" spans="1:6" ht="17.25">
      <c r="A30" s="13" t="s">
        <v>163</v>
      </c>
    </row>
  </sheetData>
  <mergeCells count="3">
    <mergeCell ref="A6:F6"/>
    <mergeCell ref="A7:F7"/>
    <mergeCell ref="A8:F8"/>
  </mergeCells>
  <pageMargins left="0.5" right="0.5" top="1" bottom="0" header="0.5" footer="0.5"/>
  <pageSetup scale="89" orientation="landscape" r:id="rId1"/>
  <headerFooter alignWithMargins="0"/>
  <ignoredErrors>
    <ignoredError sqref="E23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9">
    <tabColor rgb="FF00B050"/>
    <pageSetUpPr fitToPage="1"/>
  </sheetPr>
  <dimension ref="A1:R54"/>
  <sheetViews>
    <sheetView zoomScaleNormal="100" workbookViewId="0">
      <selection activeCell="F36" sqref="F36"/>
    </sheetView>
  </sheetViews>
  <sheetFormatPr defaultColWidth="9.3984375" defaultRowHeight="12.75"/>
  <cols>
    <col min="1" max="1" width="5.3984375" style="182" customWidth="1"/>
    <col min="2" max="2" width="2.59765625" style="182" customWidth="1"/>
    <col min="3" max="3" width="28.1328125" style="12" bestFit="1" customWidth="1"/>
    <col min="4" max="4" width="9.3984375" style="182"/>
    <col min="5" max="5" width="1.3984375" style="182" customWidth="1"/>
    <col min="6" max="6" width="15.59765625" style="12" customWidth="1"/>
    <col min="7" max="7" width="1.3984375" style="182" customWidth="1"/>
    <col min="8" max="8" width="9.59765625" style="12" customWidth="1"/>
    <col min="9" max="9" width="1.3984375" style="182" customWidth="1"/>
    <col min="10" max="10" width="12.59765625" style="12" bestFit="1" customWidth="1"/>
    <col min="11" max="11" width="1.3984375" style="182" customWidth="1"/>
    <col min="12" max="12" width="14.59765625" style="12" bestFit="1" customWidth="1"/>
    <col min="13" max="13" width="1.3984375" style="182" customWidth="1"/>
    <col min="14" max="14" width="16.59765625" style="12" customWidth="1"/>
    <col min="15" max="15" width="1.3984375" style="182" customWidth="1"/>
    <col min="16" max="16" width="16" style="12" bestFit="1" customWidth="1"/>
    <col min="17" max="17" width="1.3984375" style="182" customWidth="1"/>
    <col min="18" max="18" width="15.59765625" style="12" customWidth="1"/>
    <col min="19" max="16384" width="9.3984375" style="12"/>
  </cols>
  <sheetData>
    <row r="1" spans="1:18" ht="13.15">
      <c r="R1" s="220" t="s">
        <v>278</v>
      </c>
    </row>
    <row r="2" spans="1:18" ht="13.15">
      <c r="R2" s="220" t="s">
        <v>279</v>
      </c>
    </row>
    <row r="3" spans="1:18" ht="13.15">
      <c r="R3" s="220" t="s">
        <v>280</v>
      </c>
    </row>
    <row r="4" spans="1:18" ht="13.15">
      <c r="R4" s="220" t="s">
        <v>292</v>
      </c>
    </row>
    <row r="6" spans="1:18" ht="13.15">
      <c r="R6" s="65" t="s">
        <v>242</v>
      </c>
    </row>
    <row r="7" spans="1:18" ht="13.15">
      <c r="A7" s="176" t="str">
        <f>'202204 Bk Depr Form 2.4'!A7</f>
        <v>COLUMBIA GAS OF KENTUCKY, INC.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</row>
    <row r="8" spans="1:18" s="13" customFormat="1" ht="13.15">
      <c r="A8" s="177" t="str">
        <f>'202204 Bk Depr Form 2.4'!A8</f>
        <v>ANNUAL ADJUSTMENT TO THE SAFETY MODIFICATION AND REPLACEMENT PROGRAM ("SMRP")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</row>
    <row r="9" spans="1:18" ht="13.15">
      <c r="A9" s="176" t="s">
        <v>257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</row>
    <row r="10" spans="1:18" ht="13.15">
      <c r="A10" s="179"/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</row>
    <row r="11" spans="1:18" ht="13.15">
      <c r="A11" s="180"/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</row>
    <row r="12" spans="1:18" ht="13.15">
      <c r="C12" s="181"/>
      <c r="D12" s="181"/>
      <c r="E12" s="181"/>
      <c r="F12" s="181" t="s">
        <v>52</v>
      </c>
      <c r="G12" s="181"/>
      <c r="H12" s="181"/>
      <c r="I12" s="181"/>
      <c r="J12" s="181" t="s">
        <v>52</v>
      </c>
      <c r="K12" s="181"/>
      <c r="L12" s="181" t="s">
        <v>52</v>
      </c>
      <c r="M12" s="181"/>
      <c r="N12" s="181"/>
      <c r="O12" s="181"/>
      <c r="P12" s="181"/>
      <c r="Q12" s="181"/>
      <c r="R12" s="181" t="s">
        <v>52</v>
      </c>
    </row>
    <row r="13" spans="1:18" ht="13.15">
      <c r="C13" s="181"/>
      <c r="D13" s="181"/>
      <c r="E13" s="181"/>
      <c r="F13" s="181" t="s">
        <v>8</v>
      </c>
      <c r="G13" s="181"/>
      <c r="H13" s="181" t="s">
        <v>73</v>
      </c>
      <c r="I13" s="181"/>
      <c r="J13" s="181" t="s">
        <v>11</v>
      </c>
      <c r="K13" s="181"/>
      <c r="L13" s="181" t="s">
        <v>20</v>
      </c>
      <c r="M13" s="181"/>
      <c r="N13" s="181" t="s">
        <v>60</v>
      </c>
      <c r="O13" s="181"/>
      <c r="P13" s="181" t="s">
        <v>60</v>
      </c>
      <c r="Q13" s="181"/>
      <c r="R13" s="181" t="s">
        <v>14</v>
      </c>
    </row>
    <row r="14" spans="1:18" ht="13.15">
      <c r="A14" s="181" t="s">
        <v>4</v>
      </c>
      <c r="B14" s="181"/>
      <c r="C14" s="181"/>
      <c r="D14" s="181" t="s">
        <v>7</v>
      </c>
      <c r="E14" s="181"/>
      <c r="F14" s="181" t="s">
        <v>1</v>
      </c>
      <c r="G14" s="181"/>
      <c r="H14" s="181" t="s">
        <v>10</v>
      </c>
      <c r="I14" s="181"/>
      <c r="J14" s="181" t="s">
        <v>8</v>
      </c>
      <c r="K14" s="181"/>
      <c r="L14" s="181" t="s">
        <v>42</v>
      </c>
      <c r="M14" s="181"/>
      <c r="N14" s="181" t="s">
        <v>11</v>
      </c>
      <c r="O14" s="181"/>
      <c r="P14" s="181" t="s">
        <v>28</v>
      </c>
      <c r="Q14" s="181"/>
      <c r="R14" s="181" t="s">
        <v>1</v>
      </c>
    </row>
    <row r="15" spans="1:18" ht="13.15">
      <c r="A15" s="183" t="s">
        <v>5</v>
      </c>
      <c r="B15" s="183"/>
      <c r="C15" s="183" t="s">
        <v>6</v>
      </c>
      <c r="D15" s="183" t="s">
        <v>5</v>
      </c>
      <c r="E15" s="183"/>
      <c r="F15" s="183" t="s">
        <v>9</v>
      </c>
      <c r="G15" s="183"/>
      <c r="H15" s="183" t="s">
        <v>2</v>
      </c>
      <c r="I15" s="183"/>
      <c r="J15" s="183" t="s">
        <v>9</v>
      </c>
      <c r="K15" s="183"/>
      <c r="L15" s="183" t="s">
        <v>12</v>
      </c>
      <c r="M15" s="183"/>
      <c r="N15" s="183" t="s">
        <v>13</v>
      </c>
      <c r="O15" s="183"/>
      <c r="P15" s="183" t="s">
        <v>0</v>
      </c>
      <c r="Q15" s="183"/>
      <c r="R15" s="183" t="s">
        <v>9</v>
      </c>
    </row>
    <row r="16" spans="1:18" s="1" customFormat="1" ht="13.15">
      <c r="A16" s="181"/>
      <c r="B16" s="181"/>
      <c r="C16" s="184">
        <v>-1</v>
      </c>
      <c r="D16" s="184">
        <v>-2</v>
      </c>
      <c r="E16" s="184"/>
      <c r="F16" s="184">
        <v>-3</v>
      </c>
      <c r="G16" s="184"/>
      <c r="H16" s="184">
        <v>-4</v>
      </c>
      <c r="I16" s="184"/>
      <c r="J16" s="184" t="s">
        <v>15</v>
      </c>
      <c r="K16" s="184"/>
      <c r="L16" s="184">
        <v>-6</v>
      </c>
      <c r="M16" s="184"/>
      <c r="N16" s="184" t="s">
        <v>16</v>
      </c>
      <c r="O16" s="184"/>
      <c r="P16" s="184" t="s">
        <v>61</v>
      </c>
      <c r="Q16" s="184"/>
      <c r="R16" s="184" t="s">
        <v>17</v>
      </c>
    </row>
    <row r="18" spans="1:18" ht="13.15">
      <c r="B18" s="185" t="s">
        <v>20</v>
      </c>
      <c r="C18" s="185"/>
    </row>
    <row r="19" spans="1:18">
      <c r="A19" s="182">
        <v>1</v>
      </c>
      <c r="B19" s="12"/>
      <c r="C19" s="12" t="s">
        <v>90</v>
      </c>
      <c r="D19" s="182">
        <v>376</v>
      </c>
      <c r="F19" s="186">
        <f>'202204 Bk Depr Form 2.4'!R19</f>
        <v>115800166.01509561</v>
      </c>
      <c r="H19" s="187">
        <f>+'202201 Bk Depr Form 2.1'!H19</f>
        <v>1.4833333333333332E-3</v>
      </c>
      <c r="J19" s="188">
        <f>F19*H19</f>
        <v>171770.24625572513</v>
      </c>
      <c r="L19" s="189">
        <f>'Cap Ex 2021 Form 2.13'!H17</f>
        <v>1513403.8753905417</v>
      </c>
      <c r="N19" s="188">
        <f>H19*L19*0.5</f>
        <v>1122.4412075813184</v>
      </c>
      <c r="P19" s="188">
        <f>J19+N19</f>
        <v>172892.68746330644</v>
      </c>
      <c r="R19" s="188">
        <f>L19+F19</f>
        <v>117313569.89048615</v>
      </c>
    </row>
    <row r="20" spans="1:18">
      <c r="A20" s="182">
        <f t="shared" ref="A20:A26" si="0">A19+1</f>
        <v>2</v>
      </c>
      <c r="B20" s="12"/>
      <c r="C20" s="12" t="s">
        <v>91</v>
      </c>
      <c r="D20" s="182">
        <v>376</v>
      </c>
      <c r="F20" s="186">
        <f>'202204 Bk Depr Form 2.4'!R20</f>
        <v>0</v>
      </c>
      <c r="H20" s="187">
        <f>+'202201 Bk Depr Form 2.1'!H20</f>
        <v>1.4833333333333332E-3</v>
      </c>
      <c r="J20" s="188">
        <f t="shared" ref="J20:J23" si="1">F20*H20</f>
        <v>0</v>
      </c>
      <c r="L20" s="189">
        <f>'Cap Ex 2021 Form 2.13'!H18</f>
        <v>0</v>
      </c>
      <c r="N20" s="188">
        <f t="shared" ref="N20:N24" si="2">H20*L20*0.5</f>
        <v>0</v>
      </c>
      <c r="P20" s="188">
        <f t="shared" ref="P20:P23" si="3">J20+N20</f>
        <v>0</v>
      </c>
      <c r="R20" s="188">
        <f t="shared" ref="R20:R23" si="4">L20+F20</f>
        <v>0</v>
      </c>
    </row>
    <row r="21" spans="1:18">
      <c r="A21" s="182">
        <f t="shared" si="0"/>
        <v>3</v>
      </c>
      <c r="B21" s="12"/>
      <c r="C21" s="12" t="s">
        <v>92</v>
      </c>
      <c r="D21" s="182">
        <v>378</v>
      </c>
      <c r="F21" s="186">
        <f>'202204 Bk Depr Form 2.4'!R21</f>
        <v>1389905.0423671931</v>
      </c>
      <c r="H21" s="187">
        <f>+'202201 Bk Depr Form 2.1'!H21</f>
        <v>2.0916666666666666E-3</v>
      </c>
      <c r="J21" s="188">
        <f t="shared" si="1"/>
        <v>2907.2180469513787</v>
      </c>
      <c r="L21" s="189">
        <f>'Cap Ex 2021 Form 2.13'!H19</f>
        <v>43804.630199358013</v>
      </c>
      <c r="N21" s="188">
        <f t="shared" si="2"/>
        <v>45.812342416828585</v>
      </c>
      <c r="P21" s="188">
        <f t="shared" si="3"/>
        <v>2953.0303893682071</v>
      </c>
      <c r="R21" s="188">
        <f t="shared" si="4"/>
        <v>1433709.6725665512</v>
      </c>
    </row>
    <row r="22" spans="1:18">
      <c r="A22" s="182">
        <f t="shared" si="0"/>
        <v>4</v>
      </c>
      <c r="B22" s="12"/>
      <c r="C22" s="12" t="s">
        <v>93</v>
      </c>
      <c r="D22" s="182">
        <v>378</v>
      </c>
      <c r="F22" s="186">
        <f>'202204 Bk Depr Form 2.4'!R22</f>
        <v>3348545.4100000006</v>
      </c>
      <c r="H22" s="187">
        <f>+'202201 Bk Depr Form 2.1'!H22</f>
        <v>2.0916666666666666E-3</v>
      </c>
      <c r="J22" s="188">
        <f t="shared" si="1"/>
        <v>7004.0408159166673</v>
      </c>
      <c r="L22" s="189">
        <f>'Cap Ex 2021 Form 2.13'!H20</f>
        <v>0</v>
      </c>
      <c r="N22" s="188">
        <f t="shared" si="2"/>
        <v>0</v>
      </c>
      <c r="P22" s="188">
        <f t="shared" si="3"/>
        <v>7004.0408159166673</v>
      </c>
      <c r="R22" s="188">
        <f t="shared" si="4"/>
        <v>3348545.4100000006</v>
      </c>
    </row>
    <row r="23" spans="1:18">
      <c r="A23" s="182">
        <f t="shared" si="0"/>
        <v>5</v>
      </c>
      <c r="B23" s="12"/>
      <c r="C23" s="12" t="s">
        <v>94</v>
      </c>
      <c r="D23" s="182">
        <v>380</v>
      </c>
      <c r="F23" s="186">
        <f>'202204 Bk Depr Form 2.4'!R23</f>
        <v>43213474.106696643</v>
      </c>
      <c r="H23" s="187">
        <f>+'202201 Bk Depr Form 2.1'!H23</f>
        <v>3.316666666666667E-3</v>
      </c>
      <c r="J23" s="188">
        <f t="shared" si="1"/>
        <v>143324.68912054389</v>
      </c>
      <c r="L23" s="189">
        <f>'Cap Ex 2021 Form 2.13'!H21</f>
        <v>384343.13853463688</v>
      </c>
      <c r="N23" s="188">
        <f t="shared" si="2"/>
        <v>637.36903806993951</v>
      </c>
      <c r="P23" s="188">
        <f t="shared" si="3"/>
        <v>143962.05815861383</v>
      </c>
      <c r="R23" s="188">
        <f t="shared" si="4"/>
        <v>43597817.245231278</v>
      </c>
    </row>
    <row r="24" spans="1:18">
      <c r="A24" s="182">
        <f t="shared" si="0"/>
        <v>6</v>
      </c>
      <c r="B24" s="12"/>
      <c r="C24" s="12" t="s">
        <v>95</v>
      </c>
      <c r="D24" s="182">
        <v>382</v>
      </c>
      <c r="F24" s="186">
        <f>'202204 Bk Depr Form 2.4'!R24</f>
        <v>280346.59570464119</v>
      </c>
      <c r="H24" s="187">
        <f>+'202201 Bk Depr Form 2.1'!H24</f>
        <v>1.475E-3</v>
      </c>
      <c r="J24" s="188">
        <f>F24*H24</f>
        <v>413.51122866434577</v>
      </c>
      <c r="L24" s="189">
        <f>'Cap Ex 2021 Form 2.13'!H22</f>
        <v>2595.0028414258213</v>
      </c>
      <c r="N24" s="188">
        <f t="shared" si="2"/>
        <v>1.9138145955515431</v>
      </c>
      <c r="P24" s="188">
        <f>J24+N24</f>
        <v>415.42504325989734</v>
      </c>
      <c r="R24" s="188">
        <f>L24+F24</f>
        <v>282941.59854606702</v>
      </c>
    </row>
    <row r="25" spans="1:18">
      <c r="A25" s="182">
        <f t="shared" si="0"/>
        <v>7</v>
      </c>
      <c r="B25" s="12"/>
      <c r="C25" s="190" t="s">
        <v>96</v>
      </c>
      <c r="D25" s="182">
        <v>383</v>
      </c>
      <c r="F25" s="186">
        <f>'202204 Bk Depr Form 2.4'!R25</f>
        <v>338397.2743511856</v>
      </c>
      <c r="H25" s="187">
        <f>+'202201 Bk Depr Form 2.1'!H25</f>
        <v>1.6333333333333332E-3</v>
      </c>
      <c r="J25" s="188">
        <f>F25*H25</f>
        <v>552.71554810693647</v>
      </c>
      <c r="L25" s="189">
        <f>'Cap Ex 2021 Form 2.13'!H23</f>
        <v>3398.6279855198432</v>
      </c>
      <c r="N25" s="188">
        <f>H25*L25*0.5</f>
        <v>2.7755461881745385</v>
      </c>
      <c r="P25" s="188">
        <f>J25+N25</f>
        <v>555.491094295111</v>
      </c>
      <c r="R25" s="188">
        <f>L25+F25</f>
        <v>341795.90233670542</v>
      </c>
    </row>
    <row r="26" spans="1:18">
      <c r="A26" s="182">
        <f t="shared" si="0"/>
        <v>8</v>
      </c>
      <c r="B26" s="12"/>
      <c r="C26" s="12" t="s">
        <v>97</v>
      </c>
      <c r="D26" s="182">
        <v>387</v>
      </c>
      <c r="F26" s="191">
        <f>'202204 Bk Depr Form 2.4'!R26</f>
        <v>213381</v>
      </c>
      <c r="H26" s="187">
        <f>+'202201 Bk Depr Form 2.1'!H26</f>
        <v>2.6583333333333333E-3</v>
      </c>
      <c r="J26" s="188">
        <f>F26*H26</f>
        <v>567.23782500000004</v>
      </c>
      <c r="L26" s="189">
        <f>'Cap Ex 2021 Form 2.13'!H24</f>
        <v>0</v>
      </c>
      <c r="N26" s="188">
        <f>H26*L26*0.5</f>
        <v>0</v>
      </c>
      <c r="P26" s="188">
        <f>J26+N26</f>
        <v>567.23782500000004</v>
      </c>
      <c r="R26" s="188">
        <f>L26+F26</f>
        <v>213381</v>
      </c>
    </row>
    <row r="27" spans="1:18">
      <c r="A27" s="182">
        <f>A26+1</f>
        <v>9</v>
      </c>
      <c r="B27" s="12"/>
      <c r="C27" s="12" t="s">
        <v>21</v>
      </c>
      <c r="F27" s="192">
        <f>SUM(F19:F26)</f>
        <v>164584215.44421527</v>
      </c>
      <c r="J27" s="192">
        <f>SUM(J19:J26)</f>
        <v>326539.65884090838</v>
      </c>
      <c r="L27" s="192">
        <f>SUM(L19:L26)</f>
        <v>1947545.2749514824</v>
      </c>
      <c r="N27" s="192">
        <f>SUM(N19:N26)</f>
        <v>1810.3119488518125</v>
      </c>
      <c r="P27" s="192">
        <f>SUM(P19:P26)</f>
        <v>328349.97078976018</v>
      </c>
      <c r="R27" s="192">
        <f>SUM(R19:R26)</f>
        <v>166531760.71916676</v>
      </c>
    </row>
    <row r="28" spans="1:18">
      <c r="B28" s="12"/>
    </row>
    <row r="29" spans="1:18" ht="13.15">
      <c r="B29" s="185" t="s">
        <v>12</v>
      </c>
      <c r="C29" s="185"/>
    </row>
    <row r="30" spans="1:18">
      <c r="A30" s="182">
        <f>A27+1</f>
        <v>10</v>
      </c>
      <c r="B30" s="12"/>
      <c r="C30" s="12" t="str">
        <f>C19</f>
        <v>Mains</v>
      </c>
      <c r="D30" s="182">
        <f>D19</f>
        <v>376</v>
      </c>
      <c r="F30" s="186">
        <f>'202204 Bk Depr Form 2.4'!R30</f>
        <v>-10218934.516923077</v>
      </c>
      <c r="H30" s="187">
        <f>+'202201 Bk Depr Form 2.1'!H30</f>
        <v>1.4833333333333332E-3</v>
      </c>
      <c r="J30" s="188">
        <f>F30*H30</f>
        <v>-15158.086200102563</v>
      </c>
      <c r="L30" s="189">
        <f>'Cap Ex 2021 Form 2.13'!H27</f>
        <v>-498763</v>
      </c>
      <c r="N30" s="188">
        <f>H30*L30*0.5</f>
        <v>-369.91589166666665</v>
      </c>
      <c r="P30" s="188">
        <f>J30+N30</f>
        <v>-15528.002091769231</v>
      </c>
      <c r="R30" s="188">
        <f>L30+F30</f>
        <v>-10717697.516923077</v>
      </c>
    </row>
    <row r="31" spans="1:18">
      <c r="A31" s="182">
        <f>A30+1</f>
        <v>11</v>
      </c>
      <c r="B31" s="12"/>
      <c r="C31" s="12" t="str">
        <f t="shared" ref="C31:D37" si="5">C20</f>
        <v>Mains - In-Line Inspections</v>
      </c>
      <c r="D31" s="182">
        <f t="shared" si="5"/>
        <v>376</v>
      </c>
      <c r="F31" s="186">
        <f>'202204 Bk Depr Form 2.4'!R31</f>
        <v>0</v>
      </c>
      <c r="H31" s="187">
        <f>+'202201 Bk Depr Form 2.1'!H31</f>
        <v>1.4833333333333332E-3</v>
      </c>
      <c r="J31" s="188">
        <f>F31*H31</f>
        <v>0</v>
      </c>
      <c r="L31" s="189">
        <f>'Cap Ex 2021 Form 2.13'!H28</f>
        <v>0</v>
      </c>
      <c r="N31" s="188">
        <f>H31*L31*0.5</f>
        <v>0</v>
      </c>
      <c r="P31" s="188">
        <f>J31+N31</f>
        <v>0</v>
      </c>
      <c r="R31" s="188">
        <f>L31+F31</f>
        <v>0</v>
      </c>
    </row>
    <row r="32" spans="1:18">
      <c r="A32" s="182">
        <f>A31+1</f>
        <v>12</v>
      </c>
      <c r="B32" s="12"/>
      <c r="C32" s="12" t="str">
        <f t="shared" si="5"/>
        <v>Plant Regulators</v>
      </c>
      <c r="D32" s="182">
        <f t="shared" si="5"/>
        <v>378</v>
      </c>
      <c r="F32" s="186">
        <f>'202204 Bk Depr Form 2.4'!R32</f>
        <v>-149037.29999999999</v>
      </c>
      <c r="H32" s="187">
        <f>+'202201 Bk Depr Form 2.1'!H32</f>
        <v>2.0916666666666666E-3</v>
      </c>
      <c r="J32" s="188">
        <f t="shared" ref="J32:J37" si="6">F32*H32</f>
        <v>-311.73635249999995</v>
      </c>
      <c r="L32" s="189">
        <f>'Cap Ex 2021 Form 2.13'!H29</f>
        <v>-12030</v>
      </c>
      <c r="N32" s="188">
        <f t="shared" ref="N32:N37" si="7">H32*L32*0.5</f>
        <v>-12.581375</v>
      </c>
      <c r="P32" s="188">
        <f t="shared" ref="P32:P37" si="8">J32+N32</f>
        <v>-324.31772749999993</v>
      </c>
      <c r="R32" s="188">
        <f t="shared" ref="R32:R37" si="9">L32+F32</f>
        <v>-161067.29999999999</v>
      </c>
    </row>
    <row r="33" spans="1:18">
      <c r="A33" s="182">
        <f t="shared" ref="A33:A36" si="10">A32+1</f>
        <v>13</v>
      </c>
      <c r="B33" s="12"/>
      <c r="C33" s="12" t="str">
        <f t="shared" si="5"/>
        <v>Plant Regulators - LP Program</v>
      </c>
      <c r="D33" s="182">
        <f t="shared" si="5"/>
        <v>378</v>
      </c>
      <c r="F33" s="186">
        <f>'202204 Bk Depr Form 2.4'!R33</f>
        <v>-194723.07</v>
      </c>
      <c r="H33" s="187">
        <f>+'202201 Bk Depr Form 2.1'!H33</f>
        <v>2.0916666666666666E-3</v>
      </c>
      <c r="J33" s="188">
        <f t="shared" si="6"/>
        <v>-407.29575475000001</v>
      </c>
      <c r="L33" s="189">
        <f>'Cap Ex 2021 Form 2.13'!H30</f>
        <v>0</v>
      </c>
      <c r="N33" s="188">
        <f t="shared" si="7"/>
        <v>0</v>
      </c>
      <c r="P33" s="188">
        <f t="shared" si="8"/>
        <v>-407.29575475000001</v>
      </c>
      <c r="R33" s="188">
        <f t="shared" si="9"/>
        <v>-194723.07</v>
      </c>
    </row>
    <row r="34" spans="1:18">
      <c r="A34" s="182">
        <f t="shared" si="10"/>
        <v>14</v>
      </c>
      <c r="B34" s="12"/>
      <c r="C34" s="12" t="str">
        <f t="shared" si="5"/>
        <v>Service Lines</v>
      </c>
      <c r="D34" s="182">
        <f t="shared" si="5"/>
        <v>380</v>
      </c>
      <c r="F34" s="186">
        <f>'202204 Bk Depr Form 2.4'!R34</f>
        <v>-8955358.7938461546</v>
      </c>
      <c r="H34" s="187">
        <f>+'202201 Bk Depr Form 2.1'!H34</f>
        <v>3.316666666666667E-3</v>
      </c>
      <c r="J34" s="188">
        <f t="shared" si="6"/>
        <v>-29701.939999589747</v>
      </c>
      <c r="L34" s="189">
        <f>'Cap Ex 2021 Form 2.13'!H31</f>
        <v>-100277</v>
      </c>
      <c r="N34" s="188">
        <f t="shared" si="7"/>
        <v>-166.29269166666668</v>
      </c>
      <c r="P34" s="188">
        <f t="shared" si="8"/>
        <v>-29868.232691256413</v>
      </c>
      <c r="R34" s="188">
        <f t="shared" si="9"/>
        <v>-9055635.7938461546</v>
      </c>
    </row>
    <row r="35" spans="1:18">
      <c r="A35" s="182">
        <f t="shared" si="10"/>
        <v>15</v>
      </c>
      <c r="B35" s="12"/>
      <c r="C35" s="12" t="str">
        <f t="shared" si="5"/>
        <v>Meter Installations</v>
      </c>
      <c r="D35" s="182">
        <f t="shared" si="5"/>
        <v>382</v>
      </c>
      <c r="F35" s="186">
        <f>'202204 Bk Depr Form 2.4'!R35</f>
        <v>-79248.182000000001</v>
      </c>
      <c r="H35" s="187">
        <f>+'202201 Bk Depr Form 2.1'!H35</f>
        <v>1.475E-3</v>
      </c>
      <c r="J35" s="188">
        <f t="shared" si="6"/>
        <v>-116.89106844999999</v>
      </c>
      <c r="L35" s="189">
        <f>'Cap Ex 2021 Form 2.13'!H32</f>
        <v>-713</v>
      </c>
      <c r="N35" s="188">
        <f t="shared" si="7"/>
        <v>-0.52583749999999996</v>
      </c>
      <c r="P35" s="188">
        <f t="shared" si="8"/>
        <v>-117.41690594999999</v>
      </c>
      <c r="R35" s="188">
        <f t="shared" si="9"/>
        <v>-79961.182000000001</v>
      </c>
    </row>
    <row r="36" spans="1:18" s="193" customFormat="1">
      <c r="A36" s="182">
        <f t="shared" si="10"/>
        <v>16</v>
      </c>
      <c r="C36" s="12" t="str">
        <f t="shared" si="5"/>
        <v>House Regulators</v>
      </c>
      <c r="D36" s="182">
        <f t="shared" si="5"/>
        <v>383</v>
      </c>
      <c r="E36" s="194"/>
      <c r="F36" s="186">
        <f>'202204 Bk Depr Form 2.4'!R36</f>
        <v>-18484.050000000003</v>
      </c>
      <c r="G36" s="194"/>
      <c r="H36" s="187">
        <f>+'202201 Bk Depr Form 2.1'!H36</f>
        <v>1.6333333333333332E-3</v>
      </c>
      <c r="I36" s="194"/>
      <c r="J36" s="186">
        <f t="shared" si="6"/>
        <v>-30.190615000000001</v>
      </c>
      <c r="K36" s="194"/>
      <c r="L36" s="189">
        <f>'Cap Ex 2021 Form 2.13'!H33</f>
        <v>-933</v>
      </c>
      <c r="M36" s="194"/>
      <c r="N36" s="186">
        <f t="shared" si="7"/>
        <v>-0.76194999999999991</v>
      </c>
      <c r="O36" s="194"/>
      <c r="P36" s="186">
        <f t="shared" si="8"/>
        <v>-30.952565</v>
      </c>
      <c r="Q36" s="194"/>
      <c r="R36" s="186">
        <f t="shared" si="9"/>
        <v>-19417.050000000003</v>
      </c>
    </row>
    <row r="37" spans="1:18">
      <c r="A37" s="182">
        <f>A36+1</f>
        <v>17</v>
      </c>
      <c r="B37" s="12"/>
      <c r="C37" s="12" t="str">
        <f t="shared" si="5"/>
        <v>GPS Devices</v>
      </c>
      <c r="D37" s="182">
        <f t="shared" si="5"/>
        <v>387</v>
      </c>
      <c r="F37" s="191">
        <f>'202204 Bk Depr Form 2.4'!R37</f>
        <v>0</v>
      </c>
      <c r="H37" s="187">
        <f>+'202201 Bk Depr Form 2.1'!H37</f>
        <v>2.6583333333333333E-3</v>
      </c>
      <c r="J37" s="188">
        <f t="shared" si="6"/>
        <v>0</v>
      </c>
      <c r="L37" s="195">
        <f>'Cap Ex 2021 Form 2.13'!H34</f>
        <v>0</v>
      </c>
      <c r="N37" s="188">
        <f t="shared" si="7"/>
        <v>0</v>
      </c>
      <c r="P37" s="188">
        <f t="shared" si="8"/>
        <v>0</v>
      </c>
      <c r="R37" s="188">
        <f t="shared" si="9"/>
        <v>0</v>
      </c>
    </row>
    <row r="38" spans="1:18">
      <c r="A38" s="182">
        <f>A37+1</f>
        <v>18</v>
      </c>
      <c r="B38" s="12"/>
      <c r="C38" s="12" t="s">
        <v>22</v>
      </c>
      <c r="F38" s="192">
        <f>SUM(F30:F37)</f>
        <v>-19615785.912769236</v>
      </c>
      <c r="J38" s="192">
        <f>SUM(J30:J37)</f>
        <v>-45726.139990392316</v>
      </c>
      <c r="L38" s="192">
        <f>SUM(L30:L37)</f>
        <v>-612716</v>
      </c>
      <c r="N38" s="192">
        <f>SUM(N30:N37)</f>
        <v>-550.07774583333321</v>
      </c>
      <c r="P38" s="192">
        <f>SUM(P30:P37)</f>
        <v>-46276.217736225641</v>
      </c>
      <c r="R38" s="192">
        <f>SUM(R30:R37)</f>
        <v>-20228501.912769236</v>
      </c>
    </row>
    <row r="39" spans="1:18">
      <c r="B39" s="12"/>
    </row>
    <row r="40" spans="1:18" s="199" customFormat="1" ht="13.5" thickBot="1">
      <c r="A40" s="196">
        <f>A38+1</f>
        <v>19</v>
      </c>
      <c r="B40" s="197" t="s">
        <v>18</v>
      </c>
      <c r="C40" s="197"/>
      <c r="D40" s="196"/>
      <c r="E40" s="196"/>
      <c r="F40" s="198">
        <f>F27+F38</f>
        <v>144968429.53144604</v>
      </c>
      <c r="G40" s="196"/>
      <c r="I40" s="196"/>
      <c r="J40" s="198">
        <f>J27+J38</f>
        <v>280813.51885051606</v>
      </c>
      <c r="K40" s="196"/>
      <c r="L40" s="198">
        <f>L27+L38</f>
        <v>1334829.2749514824</v>
      </c>
      <c r="M40" s="196"/>
      <c r="N40" s="198">
        <f>N27+N38</f>
        <v>1260.2342030184793</v>
      </c>
      <c r="O40" s="196"/>
      <c r="P40" s="198">
        <f>P27+P38</f>
        <v>282073.75305353454</v>
      </c>
      <c r="Q40" s="196"/>
      <c r="R40" s="198">
        <f>R27+R38</f>
        <v>146303258.80639753</v>
      </c>
    </row>
    <row r="41" spans="1:18" ht="13.15" thickTop="1">
      <c r="B41" s="12"/>
    </row>
    <row r="42" spans="1:18" ht="13.15">
      <c r="B42" s="200" t="s">
        <v>19</v>
      </c>
      <c r="C42" s="200"/>
    </row>
    <row r="43" spans="1:18">
      <c r="A43" s="182">
        <f>A40+1</f>
        <v>20</v>
      </c>
      <c r="B43" s="12"/>
      <c r="C43" s="12" t="str">
        <f>C30</f>
        <v>Mains</v>
      </c>
      <c r="D43" s="182">
        <f>D30</f>
        <v>376</v>
      </c>
      <c r="F43" s="186">
        <f>'202204 Bk Depr Form 2.4'!R43</f>
        <v>1376416.4385004388</v>
      </c>
      <c r="J43" s="188"/>
      <c r="L43" s="189">
        <f>'Cap Ex 2021 Form 2.13'!H39</f>
        <v>39714.158049381484</v>
      </c>
      <c r="N43" s="188"/>
      <c r="P43" s="188"/>
      <c r="R43" s="188">
        <f>L43+F43</f>
        <v>1416130.5965498204</v>
      </c>
    </row>
    <row r="44" spans="1:18">
      <c r="A44" s="182">
        <f>A43+1</f>
        <v>21</v>
      </c>
      <c r="B44" s="12"/>
      <c r="C44" s="12" t="str">
        <f t="shared" ref="C44:D50" si="11">C31</f>
        <v>Mains - In-Line Inspections</v>
      </c>
      <c r="D44" s="182">
        <f t="shared" si="11"/>
        <v>376</v>
      </c>
      <c r="F44" s="186">
        <f>'202204 Bk Depr Form 2.4'!R44</f>
        <v>0</v>
      </c>
      <c r="J44" s="188"/>
      <c r="L44" s="189">
        <f>'Cap Ex 2021 Form 2.13'!H40</f>
        <v>0</v>
      </c>
      <c r="N44" s="188"/>
      <c r="P44" s="188"/>
      <c r="R44" s="188">
        <f>L44+F44</f>
        <v>0</v>
      </c>
    </row>
    <row r="45" spans="1:18">
      <c r="A45" s="182">
        <f>A44+1</f>
        <v>22</v>
      </c>
      <c r="B45" s="12"/>
      <c r="C45" s="12" t="str">
        <f t="shared" si="11"/>
        <v>Plant Regulators</v>
      </c>
      <c r="D45" s="182">
        <f t="shared" si="11"/>
        <v>378</v>
      </c>
      <c r="F45" s="186">
        <f>'202204 Bk Depr Form 2.4'!R45</f>
        <v>11968.116972640002</v>
      </c>
      <c r="J45" s="188"/>
      <c r="L45" s="189">
        <f>'Cap Ex 2021 Form 2.13'!H41</f>
        <v>571.55474772000002</v>
      </c>
      <c r="N45" s="188"/>
      <c r="P45" s="188"/>
      <c r="R45" s="188">
        <f>L45+F45</f>
        <v>12539.671720360002</v>
      </c>
    </row>
    <row r="46" spans="1:18">
      <c r="A46" s="182">
        <f t="shared" ref="A46:A50" si="12">A45+1</f>
        <v>23</v>
      </c>
      <c r="B46" s="12"/>
      <c r="C46" s="12" t="str">
        <f t="shared" si="11"/>
        <v>Plant Regulators - LP Program</v>
      </c>
      <c r="D46" s="182">
        <f t="shared" si="11"/>
        <v>378</v>
      </c>
      <c r="F46" s="186">
        <f>'202204 Bk Depr Form 2.4'!R46</f>
        <v>10279.780000000001</v>
      </c>
      <c r="J46" s="188"/>
      <c r="L46" s="189">
        <f>'Cap Ex 2021 Form 2.13'!H42</f>
        <v>0</v>
      </c>
      <c r="N46" s="188"/>
      <c r="P46" s="188"/>
      <c r="R46" s="188">
        <f t="shared" ref="R46:R49" si="13">L46+F46</f>
        <v>10279.780000000001</v>
      </c>
    </row>
    <row r="47" spans="1:18">
      <c r="A47" s="182">
        <f t="shared" si="12"/>
        <v>24</v>
      </c>
      <c r="B47" s="12"/>
      <c r="C47" s="12" t="str">
        <f t="shared" si="11"/>
        <v>Service Lines</v>
      </c>
      <c r="D47" s="182">
        <f t="shared" si="11"/>
        <v>380</v>
      </c>
      <c r="F47" s="186">
        <f>'202204 Bk Depr Form 2.4'!R47</f>
        <v>6328154.1635706257</v>
      </c>
      <c r="J47" s="188"/>
      <c r="L47" s="189">
        <f>'Cap Ex 2021 Form 2.13'!H43</f>
        <v>93941.788950212882</v>
      </c>
      <c r="N47" s="188"/>
      <c r="P47" s="188"/>
      <c r="R47" s="188">
        <f t="shared" si="13"/>
        <v>6422095.9525208389</v>
      </c>
    </row>
    <row r="48" spans="1:18">
      <c r="A48" s="182">
        <f t="shared" si="12"/>
        <v>25</v>
      </c>
      <c r="B48" s="12"/>
      <c r="C48" s="12" t="str">
        <f t="shared" si="11"/>
        <v>Meter Installations</v>
      </c>
      <c r="D48" s="182">
        <f t="shared" si="11"/>
        <v>382</v>
      </c>
      <c r="F48" s="186">
        <f>'202204 Bk Depr Form 2.4'!R48</f>
        <v>762.94020474353897</v>
      </c>
      <c r="J48" s="188"/>
      <c r="L48" s="189">
        <f>'Cap Ex 2021 Form 2.13'!H44</f>
        <v>63.579232435938195</v>
      </c>
      <c r="N48" s="188"/>
      <c r="P48" s="188"/>
      <c r="R48" s="188">
        <f t="shared" si="13"/>
        <v>826.51943717947711</v>
      </c>
    </row>
    <row r="49" spans="1:18" s="193" customFormat="1">
      <c r="A49" s="182">
        <f t="shared" si="12"/>
        <v>26</v>
      </c>
      <c r="C49" s="12" t="str">
        <f t="shared" si="11"/>
        <v>House Regulators</v>
      </c>
      <c r="D49" s="182">
        <f t="shared" si="11"/>
        <v>383</v>
      </c>
      <c r="E49" s="194"/>
      <c r="F49" s="186">
        <f>'202204 Bk Depr Form 2.4'!R49</f>
        <v>78.690306294403257</v>
      </c>
      <c r="G49" s="194"/>
      <c r="I49" s="194"/>
      <c r="J49" s="186"/>
      <c r="K49" s="194"/>
      <c r="L49" s="189">
        <f>'Cap Ex 2021 Form 2.13'!H45</f>
        <v>6.4791444219199112</v>
      </c>
      <c r="M49" s="194"/>
      <c r="N49" s="186"/>
      <c r="O49" s="194"/>
      <c r="P49" s="186"/>
      <c r="Q49" s="194"/>
      <c r="R49" s="188">
        <f t="shared" si="13"/>
        <v>85.169450716323169</v>
      </c>
    </row>
    <row r="50" spans="1:18">
      <c r="A50" s="182">
        <f t="shared" si="12"/>
        <v>27</v>
      </c>
      <c r="B50" s="12"/>
      <c r="C50" s="12" t="str">
        <f t="shared" si="11"/>
        <v>GPS Devices</v>
      </c>
      <c r="D50" s="182">
        <f t="shared" si="11"/>
        <v>387</v>
      </c>
      <c r="F50" s="191">
        <f>'202204 Bk Depr Form 2.4'!R50</f>
        <v>0</v>
      </c>
      <c r="J50" s="188"/>
      <c r="L50" s="189">
        <f>'Cap Ex 2021 Form 2.13'!H46</f>
        <v>0</v>
      </c>
      <c r="N50" s="188"/>
      <c r="P50" s="188"/>
      <c r="R50" s="188">
        <f>L50+F50</f>
        <v>0</v>
      </c>
    </row>
    <row r="51" spans="1:18">
      <c r="A51" s="182">
        <f>A50+1</f>
        <v>28</v>
      </c>
      <c r="B51" s="12"/>
      <c r="C51" s="12" t="s">
        <v>23</v>
      </c>
      <c r="F51" s="192">
        <f>SUM(F43:F50)</f>
        <v>7727660.1295547429</v>
      </c>
      <c r="J51" s="192">
        <f>SUM(J43:J50)</f>
        <v>0</v>
      </c>
      <c r="L51" s="192">
        <f>SUM(L43:L50)</f>
        <v>134297.56012417222</v>
      </c>
      <c r="N51" s="192">
        <f>SUM(N43:N50)</f>
        <v>0</v>
      </c>
      <c r="P51" s="192">
        <f>SUM(P43:P50)</f>
        <v>0</v>
      </c>
      <c r="R51" s="192">
        <f>SUM(R43:R50)</f>
        <v>7861957.6896789148</v>
      </c>
    </row>
    <row r="53" spans="1:18">
      <c r="A53" s="182">
        <v>29</v>
      </c>
      <c r="C53" s="12" t="s">
        <v>276</v>
      </c>
      <c r="J53" s="219">
        <f>+J19+J20+J23+J31+J34+J30</f>
        <v>270234.90917657671</v>
      </c>
      <c r="N53" s="219">
        <f>+N19+N20+N23+N31+N34+N30</f>
        <v>1223.6016623179244</v>
      </c>
      <c r="P53" s="219">
        <f>+J53+N53</f>
        <v>271458.51083889464</v>
      </c>
    </row>
    <row r="54" spans="1:18">
      <c r="A54" s="182">
        <v>30</v>
      </c>
      <c r="C54" s="12" t="s">
        <v>277</v>
      </c>
      <c r="J54" s="219">
        <f>+J40-J53</f>
        <v>10578.609673939354</v>
      </c>
      <c r="N54" s="219">
        <f>+N40-N53</f>
        <v>36.632540700554955</v>
      </c>
      <c r="P54" s="219">
        <f>+P40-P53</f>
        <v>10615.242214639904</v>
      </c>
    </row>
  </sheetData>
  <pageMargins left="0.7" right="0.7" top="0.75" bottom="0.75" header="0.3" footer="0.3"/>
  <pageSetup scale="7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20">
    <tabColor rgb="FF00B050"/>
    <pageSetUpPr fitToPage="1"/>
  </sheetPr>
  <dimension ref="A1:R54"/>
  <sheetViews>
    <sheetView zoomScaleNormal="100" workbookViewId="0">
      <selection activeCell="F36" sqref="F36"/>
    </sheetView>
  </sheetViews>
  <sheetFormatPr defaultColWidth="9.3984375" defaultRowHeight="12.75"/>
  <cols>
    <col min="1" max="1" width="5.3984375" style="182" customWidth="1"/>
    <col min="2" max="2" width="2.59765625" style="182" customWidth="1"/>
    <col min="3" max="3" width="28.1328125" style="12" bestFit="1" customWidth="1"/>
    <col min="4" max="4" width="9.3984375" style="182"/>
    <col min="5" max="5" width="1.3984375" style="182" customWidth="1"/>
    <col min="6" max="6" width="15.59765625" style="12" customWidth="1"/>
    <col min="7" max="7" width="1.3984375" style="182" customWidth="1"/>
    <col min="8" max="8" width="9.59765625" style="12" customWidth="1"/>
    <col min="9" max="9" width="1.3984375" style="182" customWidth="1"/>
    <col min="10" max="10" width="12.59765625" style="12" bestFit="1" customWidth="1"/>
    <col min="11" max="11" width="1.3984375" style="182" customWidth="1"/>
    <col min="12" max="12" width="14.59765625" style="12" bestFit="1" customWidth="1"/>
    <col min="13" max="13" width="1.3984375" style="182" customWidth="1"/>
    <col min="14" max="14" width="16.59765625" style="12" customWidth="1"/>
    <col min="15" max="15" width="1.3984375" style="182" customWidth="1"/>
    <col min="16" max="16" width="16" style="12" bestFit="1" customWidth="1"/>
    <col min="17" max="17" width="1.3984375" style="182" customWidth="1"/>
    <col min="18" max="18" width="15.59765625" style="12" customWidth="1"/>
    <col min="19" max="16384" width="9.3984375" style="12"/>
  </cols>
  <sheetData>
    <row r="1" spans="1:18" ht="13.15">
      <c r="R1" s="220" t="s">
        <v>278</v>
      </c>
    </row>
    <row r="2" spans="1:18" ht="13.15">
      <c r="R2" s="220" t="s">
        <v>279</v>
      </c>
    </row>
    <row r="3" spans="1:18" ht="13.15">
      <c r="R3" s="220" t="s">
        <v>280</v>
      </c>
    </row>
    <row r="4" spans="1:18" ht="13.15">
      <c r="R4" s="220" t="s">
        <v>291</v>
      </c>
    </row>
    <row r="6" spans="1:18" ht="13.15">
      <c r="R6" s="65" t="s">
        <v>243</v>
      </c>
    </row>
    <row r="7" spans="1:18" ht="13.15">
      <c r="A7" s="176" t="str">
        <f>'202205 Bk Depr Form 2.5'!A7</f>
        <v>COLUMBIA GAS OF KENTUCKY, INC.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</row>
    <row r="8" spans="1:18" s="13" customFormat="1" ht="13.15">
      <c r="A8" s="177" t="str">
        <f>'202205 Bk Depr Form 2.5'!A8</f>
        <v>ANNUAL ADJUSTMENT TO THE SAFETY MODIFICATION AND REPLACEMENT PROGRAM ("SMRP")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</row>
    <row r="9" spans="1:18" ht="13.15">
      <c r="A9" s="176" t="s">
        <v>258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</row>
    <row r="10" spans="1:18" ht="13.15">
      <c r="A10" s="179"/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</row>
    <row r="11" spans="1:18" ht="13.15">
      <c r="A11" s="180"/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</row>
    <row r="12" spans="1:18" ht="13.15">
      <c r="C12" s="181"/>
      <c r="D12" s="181"/>
      <c r="E12" s="181"/>
      <c r="F12" s="181" t="s">
        <v>65</v>
      </c>
      <c r="G12" s="181"/>
      <c r="H12" s="181"/>
      <c r="I12" s="181"/>
      <c r="J12" s="181" t="s">
        <v>65</v>
      </c>
      <c r="K12" s="181"/>
      <c r="L12" s="181" t="s">
        <v>65</v>
      </c>
      <c r="M12" s="181"/>
      <c r="N12" s="181"/>
      <c r="O12" s="181"/>
      <c r="P12" s="181"/>
      <c r="Q12" s="181"/>
      <c r="R12" s="181" t="s">
        <v>65</v>
      </c>
    </row>
    <row r="13" spans="1:18" ht="13.15">
      <c r="C13" s="181"/>
      <c r="D13" s="181"/>
      <c r="E13" s="181"/>
      <c r="F13" s="181" t="s">
        <v>8</v>
      </c>
      <c r="G13" s="181"/>
      <c r="H13" s="181" t="s">
        <v>73</v>
      </c>
      <c r="I13" s="181"/>
      <c r="J13" s="181" t="s">
        <v>11</v>
      </c>
      <c r="K13" s="181"/>
      <c r="L13" s="181" t="s">
        <v>20</v>
      </c>
      <c r="M13" s="181"/>
      <c r="N13" s="181" t="s">
        <v>60</v>
      </c>
      <c r="O13" s="181"/>
      <c r="P13" s="181" t="s">
        <v>60</v>
      </c>
      <c r="Q13" s="181"/>
      <c r="R13" s="181" t="s">
        <v>14</v>
      </c>
    </row>
    <row r="14" spans="1:18" ht="13.15">
      <c r="A14" s="181" t="s">
        <v>4</v>
      </c>
      <c r="B14" s="181"/>
      <c r="C14" s="181"/>
      <c r="D14" s="181" t="s">
        <v>7</v>
      </c>
      <c r="E14" s="181"/>
      <c r="F14" s="181" t="s">
        <v>1</v>
      </c>
      <c r="G14" s="181"/>
      <c r="H14" s="181" t="s">
        <v>10</v>
      </c>
      <c r="I14" s="181"/>
      <c r="J14" s="181" t="s">
        <v>8</v>
      </c>
      <c r="K14" s="181"/>
      <c r="L14" s="181" t="s">
        <v>42</v>
      </c>
      <c r="M14" s="181"/>
      <c r="N14" s="181" t="s">
        <v>11</v>
      </c>
      <c r="O14" s="181"/>
      <c r="P14" s="181" t="s">
        <v>28</v>
      </c>
      <c r="Q14" s="181"/>
      <c r="R14" s="181" t="s">
        <v>1</v>
      </c>
    </row>
    <row r="15" spans="1:18" ht="13.15">
      <c r="A15" s="183" t="s">
        <v>5</v>
      </c>
      <c r="B15" s="183"/>
      <c r="C15" s="183" t="s">
        <v>6</v>
      </c>
      <c r="D15" s="183" t="s">
        <v>5</v>
      </c>
      <c r="E15" s="183"/>
      <c r="F15" s="183" t="s">
        <v>9</v>
      </c>
      <c r="G15" s="183"/>
      <c r="H15" s="183" t="s">
        <v>2</v>
      </c>
      <c r="I15" s="183"/>
      <c r="J15" s="183" t="s">
        <v>9</v>
      </c>
      <c r="K15" s="183"/>
      <c r="L15" s="183" t="s">
        <v>12</v>
      </c>
      <c r="M15" s="183"/>
      <c r="N15" s="183" t="s">
        <v>13</v>
      </c>
      <c r="O15" s="183"/>
      <c r="P15" s="183" t="s">
        <v>0</v>
      </c>
      <c r="Q15" s="183"/>
      <c r="R15" s="183" t="s">
        <v>9</v>
      </c>
    </row>
    <row r="16" spans="1:18" s="1" customFormat="1" ht="13.15">
      <c r="A16" s="181"/>
      <c r="B16" s="181"/>
      <c r="C16" s="184">
        <v>-1</v>
      </c>
      <c r="D16" s="184">
        <v>-2</v>
      </c>
      <c r="E16" s="184"/>
      <c r="F16" s="184">
        <v>-3</v>
      </c>
      <c r="G16" s="184"/>
      <c r="H16" s="184">
        <v>-4</v>
      </c>
      <c r="I16" s="184"/>
      <c r="J16" s="184" t="s">
        <v>15</v>
      </c>
      <c r="K16" s="184"/>
      <c r="L16" s="184">
        <v>-6</v>
      </c>
      <c r="M16" s="184"/>
      <c r="N16" s="184" t="s">
        <v>16</v>
      </c>
      <c r="O16" s="184"/>
      <c r="P16" s="184" t="s">
        <v>61</v>
      </c>
      <c r="Q16" s="184"/>
      <c r="R16" s="184" t="s">
        <v>17</v>
      </c>
    </row>
    <row r="18" spans="1:18" ht="13.15">
      <c r="B18" s="185" t="s">
        <v>20</v>
      </c>
      <c r="C18" s="185"/>
    </row>
    <row r="19" spans="1:18">
      <c r="A19" s="182">
        <v>1</v>
      </c>
      <c r="B19" s="12"/>
      <c r="C19" s="12" t="s">
        <v>90</v>
      </c>
      <c r="D19" s="182">
        <v>376</v>
      </c>
      <c r="F19" s="186">
        <f>'202205 Bk Depr Form 2.5'!R19</f>
        <v>117313569.89048615</v>
      </c>
      <c r="H19" s="187">
        <f>+'202205 Bk Depr Form 2.5'!H19</f>
        <v>1.4833333333333332E-3</v>
      </c>
      <c r="J19" s="188">
        <f>F19*H19</f>
        <v>174015.12867088779</v>
      </c>
      <c r="L19" s="189">
        <f>'Cap Ex 2021 Form 2.13'!I17</f>
        <v>1705746.6278187593</v>
      </c>
      <c r="N19" s="188">
        <f>H19*L19*0.5</f>
        <v>1265.0954156322464</v>
      </c>
      <c r="P19" s="188">
        <f>J19+N19</f>
        <v>175280.22408652003</v>
      </c>
      <c r="R19" s="188">
        <f>L19+F19</f>
        <v>119019316.51830491</v>
      </c>
    </row>
    <row r="20" spans="1:18">
      <c r="A20" s="182">
        <f t="shared" ref="A20:A26" si="0">A19+1</f>
        <v>2</v>
      </c>
      <c r="B20" s="12"/>
      <c r="C20" s="12" t="s">
        <v>91</v>
      </c>
      <c r="D20" s="182">
        <v>376</v>
      </c>
      <c r="F20" s="186">
        <f>'202205 Bk Depr Form 2.5'!R20</f>
        <v>0</v>
      </c>
      <c r="H20" s="187">
        <f>+'202205 Bk Depr Form 2.5'!H20</f>
        <v>1.4833333333333332E-3</v>
      </c>
      <c r="J20" s="188">
        <f t="shared" ref="J20:J23" si="1">F20*H20</f>
        <v>0</v>
      </c>
      <c r="L20" s="189">
        <f>'Cap Ex 2021 Form 2.13'!I18</f>
        <v>0</v>
      </c>
      <c r="N20" s="188">
        <f t="shared" ref="N20:N24" si="2">H20*L20*0.5</f>
        <v>0</v>
      </c>
      <c r="P20" s="188">
        <f t="shared" ref="P20:P23" si="3">J20+N20</f>
        <v>0</v>
      </c>
      <c r="R20" s="188">
        <f t="shared" ref="R20:R23" si="4">L20+F20</f>
        <v>0</v>
      </c>
    </row>
    <row r="21" spans="1:18">
      <c r="A21" s="182">
        <f t="shared" si="0"/>
        <v>3</v>
      </c>
      <c r="B21" s="12"/>
      <c r="C21" s="12" t="s">
        <v>92</v>
      </c>
      <c r="D21" s="182">
        <v>378</v>
      </c>
      <c r="F21" s="186">
        <f>'202205 Bk Depr Form 2.5'!R21</f>
        <v>1433709.6725665512</v>
      </c>
      <c r="H21" s="187">
        <f>+'202205 Bk Depr Form 2.5'!H21</f>
        <v>2.0916666666666666E-3</v>
      </c>
      <c r="J21" s="188">
        <f t="shared" si="1"/>
        <v>2998.8427317850364</v>
      </c>
      <c r="L21" s="189">
        <f>'Cap Ex 2021 Form 2.13'!I19</f>
        <v>49371.883778294759</v>
      </c>
      <c r="N21" s="188">
        <f t="shared" si="2"/>
        <v>51.634761784799935</v>
      </c>
      <c r="P21" s="188">
        <f t="shared" si="3"/>
        <v>3050.4774935698365</v>
      </c>
      <c r="R21" s="188">
        <f t="shared" si="4"/>
        <v>1483081.556344846</v>
      </c>
    </row>
    <row r="22" spans="1:18">
      <c r="A22" s="182">
        <f t="shared" si="0"/>
        <v>4</v>
      </c>
      <c r="B22" s="12"/>
      <c r="C22" s="12" t="s">
        <v>93</v>
      </c>
      <c r="D22" s="182">
        <v>378</v>
      </c>
      <c r="F22" s="186">
        <f>'202205 Bk Depr Form 2.5'!R22</f>
        <v>3348545.4100000006</v>
      </c>
      <c r="H22" s="187">
        <f>+'202205 Bk Depr Form 2.5'!H22</f>
        <v>2.0916666666666666E-3</v>
      </c>
      <c r="J22" s="188">
        <f t="shared" si="1"/>
        <v>7004.0408159166673</v>
      </c>
      <c r="L22" s="189">
        <f>'Cap Ex 2021 Form 2.13'!I20</f>
        <v>0</v>
      </c>
      <c r="N22" s="188">
        <f t="shared" si="2"/>
        <v>0</v>
      </c>
      <c r="P22" s="188">
        <f t="shared" si="3"/>
        <v>7004.0408159166673</v>
      </c>
      <c r="R22" s="188">
        <f t="shared" si="4"/>
        <v>3348545.4100000006</v>
      </c>
    </row>
    <row r="23" spans="1:18">
      <c r="A23" s="182">
        <f t="shared" si="0"/>
        <v>5</v>
      </c>
      <c r="B23" s="12"/>
      <c r="C23" s="12" t="s">
        <v>94</v>
      </c>
      <c r="D23" s="182">
        <v>380</v>
      </c>
      <c r="F23" s="186">
        <f>'202205 Bk Depr Form 2.5'!R23</f>
        <v>43597817.245231278</v>
      </c>
      <c r="H23" s="187">
        <f>+'202205 Bk Depr Form 2.5'!H23</f>
        <v>3.316666666666667E-3</v>
      </c>
      <c r="J23" s="188">
        <f t="shared" si="1"/>
        <v>144599.42719668374</v>
      </c>
      <c r="L23" s="189">
        <f>'Cap Ex 2021 Form 2.13'!I21</f>
        <v>433190.38833011856</v>
      </c>
      <c r="N23" s="188">
        <f t="shared" si="2"/>
        <v>718.37406064744664</v>
      </c>
      <c r="P23" s="188">
        <f t="shared" si="3"/>
        <v>145317.80125733119</v>
      </c>
      <c r="R23" s="188">
        <f t="shared" si="4"/>
        <v>44031007.633561395</v>
      </c>
    </row>
    <row r="24" spans="1:18">
      <c r="A24" s="182">
        <f t="shared" si="0"/>
        <v>6</v>
      </c>
      <c r="B24" s="12"/>
      <c r="C24" s="12" t="s">
        <v>95</v>
      </c>
      <c r="D24" s="182">
        <v>382</v>
      </c>
      <c r="F24" s="186">
        <f>'202205 Bk Depr Form 2.5'!R24</f>
        <v>282941.59854606702</v>
      </c>
      <c r="H24" s="187">
        <f>+'202205 Bk Depr Form 2.5'!H24</f>
        <v>1.475E-3</v>
      </c>
      <c r="J24" s="188">
        <f>F24*H24</f>
        <v>417.33885785544885</v>
      </c>
      <c r="L24" s="189">
        <f>'Cap Ex 2021 Form 2.13'!I22</f>
        <v>2924.8090466267199</v>
      </c>
      <c r="N24" s="188">
        <f t="shared" si="2"/>
        <v>2.1570466718872057</v>
      </c>
      <c r="P24" s="188">
        <f>J24+N24</f>
        <v>419.49590452733605</v>
      </c>
      <c r="R24" s="188">
        <f>L24+F24</f>
        <v>285866.40759269375</v>
      </c>
    </row>
    <row r="25" spans="1:18">
      <c r="A25" s="182">
        <f t="shared" si="0"/>
        <v>7</v>
      </c>
      <c r="B25" s="12"/>
      <c r="C25" s="190" t="s">
        <v>96</v>
      </c>
      <c r="D25" s="182">
        <v>383</v>
      </c>
      <c r="F25" s="186">
        <f>'202205 Bk Depr Form 2.5'!R25</f>
        <v>341795.90233670542</v>
      </c>
      <c r="H25" s="187">
        <f>+'202205 Bk Depr Form 2.5'!H25</f>
        <v>1.6333333333333332E-3</v>
      </c>
      <c r="J25" s="188">
        <f>F25*H25</f>
        <v>558.26664048328553</v>
      </c>
      <c r="L25" s="189">
        <f>'Cap Ex 2021 Form 2.13'!I23</f>
        <v>3830.569169128722</v>
      </c>
      <c r="N25" s="188">
        <f>H25*L25*0.5</f>
        <v>3.1282981547884563</v>
      </c>
      <c r="P25" s="188">
        <f>J25+N25</f>
        <v>561.394938638074</v>
      </c>
      <c r="R25" s="188">
        <f>L25+F25</f>
        <v>345626.47150583414</v>
      </c>
    </row>
    <row r="26" spans="1:18">
      <c r="A26" s="182">
        <f t="shared" si="0"/>
        <v>8</v>
      </c>
      <c r="B26" s="12"/>
      <c r="C26" s="12" t="s">
        <v>97</v>
      </c>
      <c r="D26" s="182">
        <v>387</v>
      </c>
      <c r="F26" s="191">
        <f>'202205 Bk Depr Form 2.5'!R26</f>
        <v>213381</v>
      </c>
      <c r="H26" s="187">
        <f>+'202205 Bk Depr Form 2.5'!H26</f>
        <v>2.6583333333333333E-3</v>
      </c>
      <c r="J26" s="188">
        <f>F26*H26</f>
        <v>567.23782500000004</v>
      </c>
      <c r="L26" s="189">
        <f>'Cap Ex 2021 Form 2.13'!I24</f>
        <v>0</v>
      </c>
      <c r="N26" s="188">
        <f>H26*L26*0.5</f>
        <v>0</v>
      </c>
      <c r="P26" s="188">
        <f>J26+N26</f>
        <v>567.23782500000004</v>
      </c>
      <c r="R26" s="188">
        <f>L26+F26</f>
        <v>213381</v>
      </c>
    </row>
    <row r="27" spans="1:18">
      <c r="A27" s="182">
        <f>A26+1</f>
        <v>9</v>
      </c>
      <c r="B27" s="12"/>
      <c r="C27" s="12" t="s">
        <v>21</v>
      </c>
      <c r="F27" s="192">
        <f>SUM(F19:F26)</f>
        <v>166531760.71916676</v>
      </c>
      <c r="J27" s="192">
        <f>SUM(J19:J26)</f>
        <v>330160.28273861203</v>
      </c>
      <c r="L27" s="192">
        <f>SUM(L19:L26)</f>
        <v>2195064.2781429281</v>
      </c>
      <c r="N27" s="192">
        <f>SUM(N19:N26)</f>
        <v>2040.3895828911686</v>
      </c>
      <c r="P27" s="192">
        <f>SUM(P19:P26)</f>
        <v>332200.67232150317</v>
      </c>
      <c r="R27" s="192">
        <f>SUM(R19:R26)</f>
        <v>168726824.99730965</v>
      </c>
    </row>
    <row r="28" spans="1:18">
      <c r="B28" s="12"/>
    </row>
    <row r="29" spans="1:18" ht="13.15">
      <c r="B29" s="185" t="s">
        <v>12</v>
      </c>
      <c r="C29" s="185"/>
    </row>
    <row r="30" spans="1:18">
      <c r="A30" s="182">
        <f>A27+1</f>
        <v>10</v>
      </c>
      <c r="B30" s="12"/>
      <c r="C30" s="12" t="str">
        <f>C19</f>
        <v>Mains</v>
      </c>
      <c r="D30" s="182">
        <f>D19</f>
        <v>376</v>
      </c>
      <c r="F30" s="186">
        <f>'202205 Bk Depr Form 2.5'!R30</f>
        <v>-10717697.516923077</v>
      </c>
      <c r="H30" s="187">
        <f>+'202205 Bk Depr Form 2.5'!H30</f>
        <v>1.4833333333333332E-3</v>
      </c>
      <c r="J30" s="188">
        <f>F30*H30</f>
        <v>-15897.917983435897</v>
      </c>
      <c r="L30" s="189">
        <f>'Cap Ex 2021 Form 2.13'!I27</f>
        <v>-519545</v>
      </c>
      <c r="N30" s="188">
        <f>H30*L30*0.5</f>
        <v>-385.32920833333333</v>
      </c>
      <c r="P30" s="188">
        <f>J30+N30</f>
        <v>-16283.247191769229</v>
      </c>
      <c r="R30" s="188">
        <f>L30+F30</f>
        <v>-11237242.516923077</v>
      </c>
    </row>
    <row r="31" spans="1:18">
      <c r="A31" s="182">
        <f>A30+1</f>
        <v>11</v>
      </c>
      <c r="B31" s="12"/>
      <c r="C31" s="12" t="str">
        <f t="shared" ref="C31:D37" si="5">C20</f>
        <v>Mains - In-Line Inspections</v>
      </c>
      <c r="D31" s="182">
        <f t="shared" si="5"/>
        <v>376</v>
      </c>
      <c r="F31" s="186">
        <f>'202205 Bk Depr Form 2.5'!R31</f>
        <v>0</v>
      </c>
      <c r="H31" s="187">
        <f>+'202205 Bk Depr Form 2.5'!H31</f>
        <v>1.4833333333333332E-3</v>
      </c>
      <c r="J31" s="188">
        <f>F31*H31</f>
        <v>0</v>
      </c>
      <c r="L31" s="189">
        <f>'Cap Ex 2021 Form 2.13'!I28</f>
        <v>0</v>
      </c>
      <c r="N31" s="188">
        <f>H31*L31*0.5</f>
        <v>0</v>
      </c>
      <c r="P31" s="188">
        <f>J31+N31</f>
        <v>0</v>
      </c>
      <c r="R31" s="188">
        <f>L31+F31</f>
        <v>0</v>
      </c>
    </row>
    <row r="32" spans="1:18">
      <c r="A32" s="182">
        <f>A31+1</f>
        <v>12</v>
      </c>
      <c r="B32" s="12"/>
      <c r="C32" s="12" t="str">
        <f t="shared" si="5"/>
        <v>Plant Regulators</v>
      </c>
      <c r="D32" s="182">
        <f t="shared" si="5"/>
        <v>378</v>
      </c>
      <c r="F32" s="186">
        <f>'202205 Bk Depr Form 2.5'!R32</f>
        <v>-161067.29999999999</v>
      </c>
      <c r="H32" s="187">
        <f>+'202205 Bk Depr Form 2.5'!H32</f>
        <v>2.0916666666666666E-3</v>
      </c>
      <c r="J32" s="188">
        <f t="shared" ref="J32:J37" si="6">F32*H32</f>
        <v>-336.89910249999997</v>
      </c>
      <c r="L32" s="189">
        <f>'Cap Ex 2021 Form 2.13'!I29</f>
        <v>-12030</v>
      </c>
      <c r="N32" s="188">
        <f t="shared" ref="N32:N37" si="7">H32*L32*0.5</f>
        <v>-12.581375</v>
      </c>
      <c r="P32" s="188">
        <f t="shared" ref="P32:P37" si="8">J32+N32</f>
        <v>-349.48047749999995</v>
      </c>
      <c r="R32" s="188">
        <f t="shared" ref="R32:R37" si="9">L32+F32</f>
        <v>-173097.3</v>
      </c>
    </row>
    <row r="33" spans="1:18">
      <c r="A33" s="182">
        <f t="shared" ref="A33:A36" si="10">A32+1</f>
        <v>13</v>
      </c>
      <c r="B33" s="12"/>
      <c r="C33" s="12" t="str">
        <f t="shared" si="5"/>
        <v>Plant Regulators - LP Program</v>
      </c>
      <c r="D33" s="182">
        <f t="shared" si="5"/>
        <v>378</v>
      </c>
      <c r="F33" s="186">
        <f>'202205 Bk Depr Form 2.5'!R33</f>
        <v>-194723.07</v>
      </c>
      <c r="H33" s="187">
        <f>+'202205 Bk Depr Form 2.5'!H33</f>
        <v>2.0916666666666666E-3</v>
      </c>
      <c r="J33" s="188">
        <f t="shared" si="6"/>
        <v>-407.29575475000001</v>
      </c>
      <c r="L33" s="189">
        <f>'Cap Ex 2021 Form 2.13'!I30</f>
        <v>0</v>
      </c>
      <c r="N33" s="188">
        <f t="shared" si="7"/>
        <v>0</v>
      </c>
      <c r="P33" s="188">
        <f t="shared" si="8"/>
        <v>-407.29575475000001</v>
      </c>
      <c r="R33" s="188">
        <f t="shared" si="9"/>
        <v>-194723.07</v>
      </c>
    </row>
    <row r="34" spans="1:18">
      <c r="A34" s="182">
        <f t="shared" si="10"/>
        <v>14</v>
      </c>
      <c r="B34" s="12"/>
      <c r="C34" s="12" t="str">
        <f t="shared" si="5"/>
        <v>Service Lines</v>
      </c>
      <c r="D34" s="182">
        <f t="shared" si="5"/>
        <v>380</v>
      </c>
      <c r="F34" s="186">
        <f>'202205 Bk Depr Form 2.5'!R34</f>
        <v>-9055635.7938461546</v>
      </c>
      <c r="H34" s="187">
        <f>+'202205 Bk Depr Form 2.5'!H34</f>
        <v>3.316666666666667E-3</v>
      </c>
      <c r="J34" s="188">
        <f t="shared" si="6"/>
        <v>-30034.525382923082</v>
      </c>
      <c r="L34" s="189">
        <f>'Cap Ex 2021 Form 2.13'!I31</f>
        <v>-105555</v>
      </c>
      <c r="N34" s="188">
        <f t="shared" si="7"/>
        <v>-175.04537500000001</v>
      </c>
      <c r="P34" s="188">
        <f t="shared" si="8"/>
        <v>-30209.570757923084</v>
      </c>
      <c r="R34" s="188">
        <f t="shared" si="9"/>
        <v>-9161190.7938461546</v>
      </c>
    </row>
    <row r="35" spans="1:18">
      <c r="A35" s="182">
        <f t="shared" si="10"/>
        <v>15</v>
      </c>
      <c r="B35" s="12"/>
      <c r="C35" s="12" t="str">
        <f t="shared" si="5"/>
        <v>Meter Installations</v>
      </c>
      <c r="D35" s="182">
        <f t="shared" si="5"/>
        <v>382</v>
      </c>
      <c r="F35" s="186">
        <f>'202205 Bk Depr Form 2.5'!R35</f>
        <v>-79961.182000000001</v>
      </c>
      <c r="H35" s="187">
        <f>+'202205 Bk Depr Form 2.5'!H35</f>
        <v>1.475E-3</v>
      </c>
      <c r="J35" s="188">
        <f t="shared" si="6"/>
        <v>-117.94274344999999</v>
      </c>
      <c r="L35" s="189">
        <f>'Cap Ex 2021 Form 2.13'!I32</f>
        <v>-713</v>
      </c>
      <c r="N35" s="188">
        <f t="shared" si="7"/>
        <v>-0.52583749999999996</v>
      </c>
      <c r="P35" s="188">
        <f t="shared" si="8"/>
        <v>-118.46858094999999</v>
      </c>
      <c r="R35" s="188">
        <f t="shared" si="9"/>
        <v>-80674.182000000001</v>
      </c>
    </row>
    <row r="36" spans="1:18" s="193" customFormat="1">
      <c r="A36" s="182">
        <f t="shared" si="10"/>
        <v>16</v>
      </c>
      <c r="C36" s="12" t="str">
        <f t="shared" si="5"/>
        <v>House Regulators</v>
      </c>
      <c r="D36" s="182">
        <f t="shared" si="5"/>
        <v>383</v>
      </c>
      <c r="E36" s="194"/>
      <c r="F36" s="186">
        <f>'202205 Bk Depr Form 2.5'!R36</f>
        <v>-19417.050000000003</v>
      </c>
      <c r="G36" s="194"/>
      <c r="H36" s="187">
        <f>+'202205 Bk Depr Form 2.5'!H36</f>
        <v>1.6333333333333332E-3</v>
      </c>
      <c r="I36" s="194"/>
      <c r="J36" s="186">
        <f t="shared" si="6"/>
        <v>-31.714515000000002</v>
      </c>
      <c r="K36" s="194"/>
      <c r="L36" s="189">
        <f>'Cap Ex 2021 Form 2.13'!I33</f>
        <v>-933</v>
      </c>
      <c r="M36" s="194"/>
      <c r="N36" s="186">
        <f t="shared" si="7"/>
        <v>-0.76194999999999991</v>
      </c>
      <c r="O36" s="194"/>
      <c r="P36" s="186">
        <f t="shared" si="8"/>
        <v>-32.476465000000005</v>
      </c>
      <c r="Q36" s="194"/>
      <c r="R36" s="186">
        <f t="shared" si="9"/>
        <v>-20350.050000000003</v>
      </c>
    </row>
    <row r="37" spans="1:18">
      <c r="A37" s="182">
        <f>A36+1</f>
        <v>17</v>
      </c>
      <c r="B37" s="12"/>
      <c r="C37" s="12" t="str">
        <f t="shared" si="5"/>
        <v>GPS Devices</v>
      </c>
      <c r="D37" s="182">
        <f t="shared" si="5"/>
        <v>387</v>
      </c>
      <c r="F37" s="191">
        <f>'202205 Bk Depr Form 2.5'!R37</f>
        <v>0</v>
      </c>
      <c r="H37" s="187">
        <f>+'202205 Bk Depr Form 2.5'!H37</f>
        <v>2.6583333333333333E-3</v>
      </c>
      <c r="J37" s="188">
        <f t="shared" si="6"/>
        <v>0</v>
      </c>
      <c r="L37" s="195">
        <f>'Cap Ex 2021 Form 2.13'!I34</f>
        <v>0</v>
      </c>
      <c r="N37" s="188">
        <f t="shared" si="7"/>
        <v>0</v>
      </c>
      <c r="P37" s="188">
        <f t="shared" si="8"/>
        <v>0</v>
      </c>
      <c r="R37" s="188">
        <f t="shared" si="9"/>
        <v>0</v>
      </c>
    </row>
    <row r="38" spans="1:18">
      <c r="A38" s="182">
        <f>A37+1</f>
        <v>18</v>
      </c>
      <c r="B38" s="12"/>
      <c r="C38" s="12" t="s">
        <v>22</v>
      </c>
      <c r="F38" s="192">
        <f>SUM(F30:F37)</f>
        <v>-20228501.912769236</v>
      </c>
      <c r="J38" s="192">
        <f>SUM(J30:J37)</f>
        <v>-46826.29548205898</v>
      </c>
      <c r="L38" s="192">
        <f>SUM(L30:L37)</f>
        <v>-638776</v>
      </c>
      <c r="N38" s="192">
        <f>SUM(N30:N37)</f>
        <v>-574.24374583333326</v>
      </c>
      <c r="P38" s="192">
        <f>SUM(P30:P37)</f>
        <v>-47400.539227892317</v>
      </c>
      <c r="R38" s="192">
        <f>SUM(R30:R37)</f>
        <v>-20867277.912769236</v>
      </c>
    </row>
    <row r="39" spans="1:18">
      <c r="B39" s="12"/>
    </row>
    <row r="40" spans="1:18" s="199" customFormat="1" ht="13.5" thickBot="1">
      <c r="A40" s="196">
        <f>A38+1</f>
        <v>19</v>
      </c>
      <c r="B40" s="197" t="s">
        <v>18</v>
      </c>
      <c r="C40" s="197"/>
      <c r="D40" s="196"/>
      <c r="E40" s="196"/>
      <c r="F40" s="198">
        <f>F27+F38</f>
        <v>146303258.80639753</v>
      </c>
      <c r="G40" s="196"/>
      <c r="I40" s="196"/>
      <c r="J40" s="198">
        <f>J27+J38</f>
        <v>283333.98725655302</v>
      </c>
      <c r="K40" s="196"/>
      <c r="L40" s="198">
        <f>L27+L38</f>
        <v>1556288.2781429281</v>
      </c>
      <c r="M40" s="196"/>
      <c r="N40" s="198">
        <f>N27+N38</f>
        <v>1466.1458370578353</v>
      </c>
      <c r="O40" s="196"/>
      <c r="P40" s="198">
        <f>P27+P38</f>
        <v>284800.13309361087</v>
      </c>
      <c r="Q40" s="196"/>
      <c r="R40" s="198">
        <f>R27+R38</f>
        <v>147859547.08454043</v>
      </c>
    </row>
    <row r="41" spans="1:18" ht="13.15" thickTop="1">
      <c r="B41" s="12"/>
    </row>
    <row r="42" spans="1:18" ht="13.15">
      <c r="B42" s="200" t="s">
        <v>19</v>
      </c>
      <c r="C42" s="200"/>
    </row>
    <row r="43" spans="1:18">
      <c r="A43" s="182">
        <f>A40+1</f>
        <v>20</v>
      </c>
      <c r="B43" s="12"/>
      <c r="C43" s="12" t="str">
        <f>C30</f>
        <v>Mains</v>
      </c>
      <c r="D43" s="182">
        <f>D30</f>
        <v>376</v>
      </c>
      <c r="F43" s="186">
        <f>'202205 Bk Depr Form 2.5'!R43</f>
        <v>1416130.5965498204</v>
      </c>
      <c r="J43" s="188"/>
      <c r="L43" s="189">
        <f>'Cap Ex 2021 Form 2.13'!I39</f>
        <v>37300.240796065671</v>
      </c>
      <c r="N43" s="188"/>
      <c r="P43" s="188"/>
      <c r="R43" s="188">
        <f>L43+F43</f>
        <v>1453430.837345886</v>
      </c>
    </row>
    <row r="44" spans="1:18">
      <c r="A44" s="182">
        <f>A43+1</f>
        <v>21</v>
      </c>
      <c r="B44" s="12"/>
      <c r="C44" s="12" t="str">
        <f t="shared" ref="C44:D50" si="11">C31</f>
        <v>Mains - In-Line Inspections</v>
      </c>
      <c r="D44" s="182">
        <f t="shared" si="11"/>
        <v>376</v>
      </c>
      <c r="F44" s="186">
        <f>'202205 Bk Depr Form 2.5'!R44</f>
        <v>0</v>
      </c>
      <c r="J44" s="188"/>
      <c r="L44" s="189">
        <f>'Cap Ex 2021 Form 2.13'!I40</f>
        <v>0</v>
      </c>
      <c r="N44" s="188"/>
      <c r="P44" s="188"/>
      <c r="R44" s="188">
        <f>L44+F44</f>
        <v>0</v>
      </c>
    </row>
    <row r="45" spans="1:18">
      <c r="A45" s="182">
        <f>A44+1</f>
        <v>22</v>
      </c>
      <c r="B45" s="12"/>
      <c r="C45" s="12" t="str">
        <f t="shared" si="11"/>
        <v>Plant Regulators</v>
      </c>
      <c r="D45" s="182">
        <f t="shared" si="11"/>
        <v>378</v>
      </c>
      <c r="F45" s="186">
        <f>'202205 Bk Depr Form 2.5'!R45</f>
        <v>12539.671720360002</v>
      </c>
      <c r="J45" s="188"/>
      <c r="L45" s="189">
        <f>'Cap Ex 2021 Form 2.13'!I41</f>
        <v>571.55474772000002</v>
      </c>
      <c r="N45" s="188"/>
      <c r="P45" s="188"/>
      <c r="R45" s="188">
        <f>L45+F45</f>
        <v>13111.226468080002</v>
      </c>
    </row>
    <row r="46" spans="1:18">
      <c r="A46" s="182">
        <f t="shared" ref="A46:A50" si="12">A45+1</f>
        <v>23</v>
      </c>
      <c r="B46" s="12"/>
      <c r="C46" s="12" t="str">
        <f t="shared" si="11"/>
        <v>Plant Regulators - LP Program</v>
      </c>
      <c r="D46" s="182">
        <f t="shared" si="11"/>
        <v>378</v>
      </c>
      <c r="F46" s="186">
        <f>'202205 Bk Depr Form 2.5'!R46</f>
        <v>10279.780000000001</v>
      </c>
      <c r="J46" s="188"/>
      <c r="L46" s="189">
        <f>'Cap Ex 2021 Form 2.13'!I42</f>
        <v>0</v>
      </c>
      <c r="N46" s="188"/>
      <c r="P46" s="188"/>
      <c r="R46" s="188">
        <f t="shared" ref="R46:R49" si="13">L46+F46</f>
        <v>10279.780000000001</v>
      </c>
    </row>
    <row r="47" spans="1:18">
      <c r="A47" s="182">
        <f t="shared" si="12"/>
        <v>24</v>
      </c>
      <c r="B47" s="12"/>
      <c r="C47" s="12" t="str">
        <f t="shared" si="11"/>
        <v>Service Lines</v>
      </c>
      <c r="D47" s="182">
        <f t="shared" si="11"/>
        <v>380</v>
      </c>
      <c r="F47" s="186">
        <f>'202205 Bk Depr Form 2.5'!R47</f>
        <v>6422095.9525208389</v>
      </c>
      <c r="J47" s="188"/>
      <c r="L47" s="189">
        <f>'Cap Ex 2021 Form 2.13'!I43</f>
        <v>88290.882253702221</v>
      </c>
      <c r="N47" s="188"/>
      <c r="P47" s="188"/>
      <c r="R47" s="188">
        <f t="shared" si="13"/>
        <v>6510386.8347745407</v>
      </c>
    </row>
    <row r="48" spans="1:18">
      <c r="A48" s="182">
        <f t="shared" si="12"/>
        <v>25</v>
      </c>
      <c r="B48" s="12"/>
      <c r="C48" s="12" t="str">
        <f t="shared" si="11"/>
        <v>Meter Installations</v>
      </c>
      <c r="D48" s="182">
        <f t="shared" si="11"/>
        <v>382</v>
      </c>
      <c r="F48" s="186">
        <f>'202205 Bk Depr Form 2.5'!R48</f>
        <v>826.51943717947711</v>
      </c>
      <c r="J48" s="188"/>
      <c r="L48" s="189">
        <f>'Cap Ex 2021 Form 2.13'!I44</f>
        <v>63.579232435938195</v>
      </c>
      <c r="N48" s="188"/>
      <c r="P48" s="188"/>
      <c r="R48" s="188">
        <f t="shared" si="13"/>
        <v>890.09866961541525</v>
      </c>
    </row>
    <row r="49" spans="1:18" s="193" customFormat="1">
      <c r="A49" s="182">
        <f t="shared" si="12"/>
        <v>26</v>
      </c>
      <c r="C49" s="12" t="str">
        <f t="shared" si="11"/>
        <v>House Regulators</v>
      </c>
      <c r="D49" s="182">
        <f t="shared" si="11"/>
        <v>383</v>
      </c>
      <c r="E49" s="194"/>
      <c r="F49" s="186">
        <f>'202205 Bk Depr Form 2.5'!R49</f>
        <v>85.169450716323169</v>
      </c>
      <c r="G49" s="194"/>
      <c r="I49" s="194"/>
      <c r="J49" s="186"/>
      <c r="K49" s="194"/>
      <c r="L49" s="189">
        <f>'Cap Ex 2021 Form 2.13'!I45</f>
        <v>6.5064894734861198</v>
      </c>
      <c r="M49" s="194"/>
      <c r="N49" s="186"/>
      <c r="O49" s="194"/>
      <c r="P49" s="186"/>
      <c r="Q49" s="194"/>
      <c r="R49" s="188">
        <f t="shared" si="13"/>
        <v>91.675940189809296</v>
      </c>
    </row>
    <row r="50" spans="1:18">
      <c r="A50" s="182">
        <f t="shared" si="12"/>
        <v>27</v>
      </c>
      <c r="B50" s="12"/>
      <c r="C50" s="12" t="str">
        <f t="shared" si="11"/>
        <v>GPS Devices</v>
      </c>
      <c r="D50" s="182">
        <f t="shared" si="11"/>
        <v>387</v>
      </c>
      <c r="F50" s="191">
        <f>'202205 Bk Depr Form 2.5'!R50</f>
        <v>0</v>
      </c>
      <c r="J50" s="188"/>
      <c r="L50" s="189">
        <f>'Cap Ex 2021 Form 2.13'!I46</f>
        <v>0</v>
      </c>
      <c r="N50" s="188"/>
      <c r="P50" s="188"/>
      <c r="R50" s="188">
        <f>L50+F50</f>
        <v>0</v>
      </c>
    </row>
    <row r="51" spans="1:18">
      <c r="A51" s="182">
        <f>A50+1</f>
        <v>28</v>
      </c>
      <c r="B51" s="12"/>
      <c r="C51" s="12" t="s">
        <v>23</v>
      </c>
      <c r="F51" s="192">
        <f>SUM(F43:F50)</f>
        <v>7861957.6896789148</v>
      </c>
      <c r="J51" s="192">
        <f>SUM(J43:J50)</f>
        <v>0</v>
      </c>
      <c r="L51" s="192">
        <f>SUM(L43:L50)</f>
        <v>126232.76351939731</v>
      </c>
      <c r="N51" s="192">
        <f>SUM(N43:N50)</f>
        <v>0</v>
      </c>
      <c r="P51" s="192">
        <f>SUM(P43:P50)</f>
        <v>0</v>
      </c>
      <c r="R51" s="192">
        <f>SUM(R43:R50)</f>
        <v>7988190.4531983119</v>
      </c>
    </row>
    <row r="53" spans="1:18">
      <c r="A53" s="182">
        <v>29</v>
      </c>
      <c r="C53" s="12" t="s">
        <v>276</v>
      </c>
      <c r="J53" s="219">
        <f>+J19+J20+J23+J31+J34+J30</f>
        <v>272682.11250121251</v>
      </c>
      <c r="N53" s="219">
        <f>+N19+N20+N23+N31+N34+N30</f>
        <v>1423.0948929463598</v>
      </c>
      <c r="P53" s="219">
        <f>+J53+N53</f>
        <v>274105.20739415888</v>
      </c>
    </row>
    <row r="54" spans="1:18">
      <c r="A54" s="182">
        <v>30</v>
      </c>
      <c r="C54" s="12" t="s">
        <v>277</v>
      </c>
      <c r="J54" s="219">
        <f>+J40-J53</f>
        <v>10651.874755340512</v>
      </c>
      <c r="N54" s="219">
        <f>+N40-N53</f>
        <v>43.050944111475474</v>
      </c>
      <c r="P54" s="219">
        <f>+P40-P53</f>
        <v>10694.925699451996</v>
      </c>
    </row>
  </sheetData>
  <pageMargins left="0.7" right="0.7" top="0.75" bottom="0.75" header="0.3" footer="0.3"/>
  <pageSetup scale="7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21">
    <tabColor rgb="FF00B050"/>
    <pageSetUpPr fitToPage="1"/>
  </sheetPr>
  <dimension ref="A1:R54"/>
  <sheetViews>
    <sheetView zoomScaleNormal="100" workbookViewId="0">
      <selection activeCell="F36" sqref="F36"/>
    </sheetView>
  </sheetViews>
  <sheetFormatPr defaultColWidth="9.3984375" defaultRowHeight="12.75"/>
  <cols>
    <col min="1" max="1" width="5.3984375" style="182" customWidth="1"/>
    <col min="2" max="2" width="2.59765625" style="182" customWidth="1"/>
    <col min="3" max="3" width="28.1328125" style="12" bestFit="1" customWidth="1"/>
    <col min="4" max="4" width="9.3984375" style="182"/>
    <col min="5" max="5" width="1.3984375" style="182" customWidth="1"/>
    <col min="6" max="6" width="15.59765625" style="12" customWidth="1"/>
    <col min="7" max="7" width="1.3984375" style="182" customWidth="1"/>
    <col min="8" max="8" width="9.59765625" style="12" customWidth="1"/>
    <col min="9" max="9" width="1.3984375" style="182" customWidth="1"/>
    <col min="10" max="10" width="12.59765625" style="12" bestFit="1" customWidth="1"/>
    <col min="11" max="11" width="1.3984375" style="182" customWidth="1"/>
    <col min="12" max="12" width="14.59765625" style="12" bestFit="1" customWidth="1"/>
    <col min="13" max="13" width="1.3984375" style="182" customWidth="1"/>
    <col min="14" max="14" width="16.59765625" style="12" customWidth="1"/>
    <col min="15" max="15" width="1.3984375" style="182" customWidth="1"/>
    <col min="16" max="16" width="16" style="12" bestFit="1" customWidth="1"/>
    <col min="17" max="17" width="1.3984375" style="182" customWidth="1"/>
    <col min="18" max="18" width="15.59765625" style="12" customWidth="1"/>
    <col min="19" max="16384" width="9.3984375" style="12"/>
  </cols>
  <sheetData>
    <row r="1" spans="1:18" ht="13.15">
      <c r="R1" s="220" t="s">
        <v>278</v>
      </c>
    </row>
    <row r="2" spans="1:18" ht="13.15">
      <c r="R2" s="220" t="s">
        <v>279</v>
      </c>
    </row>
    <row r="3" spans="1:18" ht="13.15">
      <c r="R3" s="220" t="s">
        <v>280</v>
      </c>
    </row>
    <row r="4" spans="1:18" ht="13.15">
      <c r="R4" s="220" t="s">
        <v>290</v>
      </c>
    </row>
    <row r="6" spans="1:18" ht="13.15">
      <c r="R6" s="65" t="s">
        <v>244</v>
      </c>
    </row>
    <row r="7" spans="1:18" ht="13.15">
      <c r="A7" s="176" t="str">
        <f>'202206 Bk Depr Form 2.6'!A7</f>
        <v>COLUMBIA GAS OF KENTUCKY, INC.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</row>
    <row r="8" spans="1:18" s="13" customFormat="1" ht="13.15">
      <c r="A8" s="177" t="str">
        <f>'202206 Bk Depr Form 2.6'!A8</f>
        <v>ANNUAL ADJUSTMENT TO THE SAFETY MODIFICATION AND REPLACEMENT PROGRAM ("SMRP")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</row>
    <row r="9" spans="1:18" ht="13.15">
      <c r="A9" s="176" t="s">
        <v>259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</row>
    <row r="10" spans="1:18" ht="13.15">
      <c r="A10" s="179"/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</row>
    <row r="11" spans="1:18" ht="13.15">
      <c r="A11" s="180"/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</row>
    <row r="12" spans="1:18" ht="13.15">
      <c r="C12" s="181"/>
      <c r="D12" s="181"/>
      <c r="E12" s="181"/>
      <c r="F12" s="181" t="s">
        <v>66</v>
      </c>
      <c r="G12" s="181"/>
      <c r="H12" s="181"/>
      <c r="I12" s="181"/>
      <c r="J12" s="181" t="s">
        <v>66</v>
      </c>
      <c r="K12" s="181"/>
      <c r="L12" s="181" t="s">
        <v>66</v>
      </c>
      <c r="M12" s="181"/>
      <c r="N12" s="181"/>
      <c r="O12" s="181"/>
      <c r="P12" s="181"/>
      <c r="Q12" s="181"/>
      <c r="R12" s="181" t="s">
        <v>66</v>
      </c>
    </row>
    <row r="13" spans="1:18" ht="13.15">
      <c r="C13" s="181"/>
      <c r="D13" s="181"/>
      <c r="E13" s="181"/>
      <c r="F13" s="181" t="s">
        <v>8</v>
      </c>
      <c r="G13" s="181"/>
      <c r="H13" s="181" t="s">
        <v>73</v>
      </c>
      <c r="I13" s="181"/>
      <c r="J13" s="181" t="s">
        <v>11</v>
      </c>
      <c r="K13" s="181"/>
      <c r="L13" s="181" t="s">
        <v>20</v>
      </c>
      <c r="M13" s="181"/>
      <c r="N13" s="181" t="s">
        <v>60</v>
      </c>
      <c r="O13" s="181"/>
      <c r="P13" s="181" t="s">
        <v>60</v>
      </c>
      <c r="Q13" s="181"/>
      <c r="R13" s="181" t="s">
        <v>14</v>
      </c>
    </row>
    <row r="14" spans="1:18" ht="13.15">
      <c r="A14" s="181" t="s">
        <v>4</v>
      </c>
      <c r="B14" s="181"/>
      <c r="C14" s="181"/>
      <c r="D14" s="181" t="s">
        <v>7</v>
      </c>
      <c r="E14" s="181"/>
      <c r="F14" s="181" t="s">
        <v>1</v>
      </c>
      <c r="G14" s="181"/>
      <c r="H14" s="181" t="s">
        <v>10</v>
      </c>
      <c r="I14" s="181"/>
      <c r="J14" s="181" t="s">
        <v>8</v>
      </c>
      <c r="K14" s="181"/>
      <c r="L14" s="181" t="s">
        <v>42</v>
      </c>
      <c r="M14" s="181"/>
      <c r="N14" s="181" t="s">
        <v>11</v>
      </c>
      <c r="O14" s="181"/>
      <c r="P14" s="181" t="s">
        <v>28</v>
      </c>
      <c r="Q14" s="181"/>
      <c r="R14" s="181" t="s">
        <v>1</v>
      </c>
    </row>
    <row r="15" spans="1:18" ht="13.15">
      <c r="A15" s="183" t="s">
        <v>5</v>
      </c>
      <c r="B15" s="183"/>
      <c r="C15" s="183" t="s">
        <v>6</v>
      </c>
      <c r="D15" s="183" t="s">
        <v>5</v>
      </c>
      <c r="E15" s="183"/>
      <c r="F15" s="183" t="s">
        <v>9</v>
      </c>
      <c r="G15" s="183"/>
      <c r="H15" s="183" t="s">
        <v>2</v>
      </c>
      <c r="I15" s="183"/>
      <c r="J15" s="183" t="s">
        <v>9</v>
      </c>
      <c r="K15" s="183"/>
      <c r="L15" s="183" t="s">
        <v>12</v>
      </c>
      <c r="M15" s="183"/>
      <c r="N15" s="183" t="s">
        <v>13</v>
      </c>
      <c r="O15" s="183"/>
      <c r="P15" s="183" t="s">
        <v>0</v>
      </c>
      <c r="Q15" s="183"/>
      <c r="R15" s="183" t="s">
        <v>9</v>
      </c>
    </row>
    <row r="16" spans="1:18" s="1" customFormat="1" ht="13.15">
      <c r="A16" s="181"/>
      <c r="B16" s="181"/>
      <c r="C16" s="184">
        <v>-1</v>
      </c>
      <c r="D16" s="184">
        <v>-2</v>
      </c>
      <c r="E16" s="184"/>
      <c r="F16" s="184">
        <v>-3</v>
      </c>
      <c r="G16" s="184"/>
      <c r="H16" s="184">
        <v>-4</v>
      </c>
      <c r="I16" s="184"/>
      <c r="J16" s="184" t="s">
        <v>15</v>
      </c>
      <c r="K16" s="184"/>
      <c r="L16" s="184">
        <v>-6</v>
      </c>
      <c r="M16" s="184"/>
      <c r="N16" s="184" t="s">
        <v>16</v>
      </c>
      <c r="O16" s="184"/>
      <c r="P16" s="184" t="s">
        <v>61</v>
      </c>
      <c r="Q16" s="184"/>
      <c r="R16" s="184" t="s">
        <v>17</v>
      </c>
    </row>
    <row r="18" spans="1:18" ht="13.15">
      <c r="B18" s="185" t="s">
        <v>20</v>
      </c>
      <c r="C18" s="185"/>
    </row>
    <row r="19" spans="1:18">
      <c r="A19" s="182">
        <v>1</v>
      </c>
      <c r="B19" s="12"/>
      <c r="C19" s="12" t="s">
        <v>90</v>
      </c>
      <c r="D19" s="182">
        <v>376</v>
      </c>
      <c r="F19" s="186">
        <f>'202206 Bk Depr Form 2.6'!R19</f>
        <v>119019316.51830491</v>
      </c>
      <c r="H19" s="187">
        <f>+'202206 Bk Depr Form 2.6'!H19</f>
        <v>1.4833333333333332E-3</v>
      </c>
      <c r="J19" s="188">
        <f>F19*H19</f>
        <v>176545.31950215227</v>
      </c>
      <c r="L19" s="189">
        <f>'Cap Ex 2021 Form 2.13'!J17</f>
        <v>1921142.4161329293</v>
      </c>
      <c r="N19" s="188">
        <f>H19*L19*0.5</f>
        <v>1424.8472919652559</v>
      </c>
      <c r="P19" s="188">
        <f>J19+N19</f>
        <v>177970.16679411754</v>
      </c>
      <c r="R19" s="188">
        <f>L19+F19</f>
        <v>120940458.93443784</v>
      </c>
    </row>
    <row r="20" spans="1:18">
      <c r="A20" s="182">
        <f t="shared" ref="A20:A26" si="0">A19+1</f>
        <v>2</v>
      </c>
      <c r="B20" s="12"/>
      <c r="C20" s="12" t="s">
        <v>91</v>
      </c>
      <c r="D20" s="182">
        <v>376</v>
      </c>
      <c r="F20" s="186">
        <f>'202206 Bk Depr Form 2.6'!R20</f>
        <v>0</v>
      </c>
      <c r="H20" s="187">
        <f>+'202206 Bk Depr Form 2.6'!H20</f>
        <v>1.4833333333333332E-3</v>
      </c>
      <c r="J20" s="188">
        <f t="shared" ref="J20:J23" si="1">F20*H20</f>
        <v>0</v>
      </c>
      <c r="L20" s="189">
        <f>'Cap Ex 2021 Form 2.13'!J18</f>
        <v>0</v>
      </c>
      <c r="N20" s="188">
        <f t="shared" ref="N20:N24" si="2">H20*L20*0.5</f>
        <v>0</v>
      </c>
      <c r="P20" s="188">
        <f t="shared" ref="P20:P23" si="3">J20+N20</f>
        <v>0</v>
      </c>
      <c r="R20" s="188">
        <f t="shared" ref="R20:R23" si="4">L20+F20</f>
        <v>0</v>
      </c>
    </row>
    <row r="21" spans="1:18">
      <c r="A21" s="182">
        <f t="shared" si="0"/>
        <v>3</v>
      </c>
      <c r="B21" s="12"/>
      <c r="C21" s="12" t="s">
        <v>92</v>
      </c>
      <c r="D21" s="182">
        <v>378</v>
      </c>
      <c r="F21" s="186">
        <f>'202206 Bk Depr Form 2.6'!R21</f>
        <v>1483081.556344846</v>
      </c>
      <c r="H21" s="187">
        <f>+'202206 Bk Depr Form 2.6'!H21</f>
        <v>2.0916666666666666E-3</v>
      </c>
      <c r="J21" s="188">
        <f t="shared" si="1"/>
        <v>3102.1122553546361</v>
      </c>
      <c r="L21" s="189">
        <f>'Cap Ex 2021 Form 2.13'!J19</f>
        <v>55606.3946098245</v>
      </c>
      <c r="N21" s="188">
        <f t="shared" si="2"/>
        <v>58.155021029441457</v>
      </c>
      <c r="P21" s="188">
        <f t="shared" si="3"/>
        <v>3160.2672763840774</v>
      </c>
      <c r="R21" s="188">
        <f t="shared" si="4"/>
        <v>1538687.9509546706</v>
      </c>
    </row>
    <row r="22" spans="1:18">
      <c r="A22" s="182">
        <f t="shared" si="0"/>
        <v>4</v>
      </c>
      <c r="B22" s="12"/>
      <c r="C22" s="12" t="s">
        <v>93</v>
      </c>
      <c r="D22" s="182">
        <v>378</v>
      </c>
      <c r="F22" s="186">
        <f>'202206 Bk Depr Form 2.6'!R22</f>
        <v>3348545.4100000006</v>
      </c>
      <c r="H22" s="187">
        <f>+'202206 Bk Depr Form 2.6'!H22</f>
        <v>2.0916666666666666E-3</v>
      </c>
      <c r="J22" s="188">
        <f t="shared" si="1"/>
        <v>7004.0408159166673</v>
      </c>
      <c r="L22" s="189">
        <f>'Cap Ex 2021 Form 2.13'!J20</f>
        <v>0</v>
      </c>
      <c r="N22" s="188">
        <f t="shared" si="2"/>
        <v>0</v>
      </c>
      <c r="P22" s="188">
        <f t="shared" si="3"/>
        <v>7004.0408159166673</v>
      </c>
      <c r="R22" s="188">
        <f t="shared" si="4"/>
        <v>3348545.4100000006</v>
      </c>
    </row>
    <row r="23" spans="1:18">
      <c r="A23" s="182">
        <f t="shared" si="0"/>
        <v>5</v>
      </c>
      <c r="B23" s="12"/>
      <c r="C23" s="12" t="s">
        <v>94</v>
      </c>
      <c r="D23" s="182">
        <v>380</v>
      </c>
      <c r="F23" s="186">
        <f>'202206 Bk Depr Form 2.6'!R23</f>
        <v>44031007.633561395</v>
      </c>
      <c r="H23" s="187">
        <f>+'202206 Bk Depr Form 2.6'!H23</f>
        <v>3.316666666666667E-3</v>
      </c>
      <c r="J23" s="188">
        <f t="shared" si="1"/>
        <v>146036.17531797863</v>
      </c>
      <c r="L23" s="189">
        <f>'Cap Ex 2021 Form 2.13'!J21</f>
        <v>487892.17326274078</v>
      </c>
      <c r="N23" s="188">
        <f t="shared" si="2"/>
        <v>809.08785399404519</v>
      </c>
      <c r="P23" s="188">
        <f t="shared" si="3"/>
        <v>146845.26317197268</v>
      </c>
      <c r="R23" s="188">
        <f t="shared" si="4"/>
        <v>44518899.806824133</v>
      </c>
    </row>
    <row r="24" spans="1:18">
      <c r="A24" s="182">
        <f t="shared" si="0"/>
        <v>6</v>
      </c>
      <c r="B24" s="12"/>
      <c r="C24" s="12" t="s">
        <v>95</v>
      </c>
      <c r="D24" s="182">
        <v>382</v>
      </c>
      <c r="F24" s="186">
        <f>'202206 Bk Depr Form 2.6'!R24</f>
        <v>285866.40759269375</v>
      </c>
      <c r="H24" s="187">
        <f>+'202206 Bk Depr Form 2.6'!H24</f>
        <v>1.475E-3</v>
      </c>
      <c r="J24" s="188">
        <f>F24*H24</f>
        <v>421.65295119922325</v>
      </c>
      <c r="L24" s="189">
        <f>'Cap Ex 2021 Form 2.13'!J22</f>
        <v>3294.1438235461892</v>
      </c>
      <c r="N24" s="188">
        <f t="shared" si="2"/>
        <v>2.4294310698653145</v>
      </c>
      <c r="P24" s="188">
        <f>J24+N24</f>
        <v>424.08238226908855</v>
      </c>
      <c r="R24" s="188">
        <f>L24+F24</f>
        <v>289160.55141623993</v>
      </c>
    </row>
    <row r="25" spans="1:18">
      <c r="A25" s="182">
        <f t="shared" si="0"/>
        <v>7</v>
      </c>
      <c r="B25" s="12"/>
      <c r="C25" s="190" t="s">
        <v>96</v>
      </c>
      <c r="D25" s="182">
        <v>383</v>
      </c>
      <c r="F25" s="186">
        <f>'202206 Bk Depr Form 2.6'!R25</f>
        <v>345626.47150583414</v>
      </c>
      <c r="H25" s="187">
        <f>+'202206 Bk Depr Form 2.6'!H25</f>
        <v>1.6333333333333332E-3</v>
      </c>
      <c r="J25" s="188">
        <f>F25*H25</f>
        <v>564.52323679286235</v>
      </c>
      <c r="L25" s="189">
        <f>'Cap Ex 2021 Form 2.13'!J23</f>
        <v>4314.2802035931591</v>
      </c>
      <c r="N25" s="188">
        <f>H25*L25*0.5</f>
        <v>3.5233288329344128</v>
      </c>
      <c r="P25" s="188">
        <f>J25+N25</f>
        <v>568.0465656257968</v>
      </c>
      <c r="R25" s="188">
        <f>L25+F25</f>
        <v>349940.75170942728</v>
      </c>
    </row>
    <row r="26" spans="1:18">
      <c r="A26" s="182">
        <f t="shared" si="0"/>
        <v>8</v>
      </c>
      <c r="B26" s="12"/>
      <c r="C26" s="12" t="s">
        <v>97</v>
      </c>
      <c r="D26" s="182">
        <v>387</v>
      </c>
      <c r="F26" s="191">
        <f>'202206 Bk Depr Form 2.6'!R26</f>
        <v>213381</v>
      </c>
      <c r="H26" s="187">
        <f>+'202206 Bk Depr Form 2.6'!H26</f>
        <v>2.6583333333333333E-3</v>
      </c>
      <c r="J26" s="188">
        <f>F26*H26</f>
        <v>567.23782500000004</v>
      </c>
      <c r="L26" s="189">
        <f>'Cap Ex 2021 Form 2.13'!J24</f>
        <v>0</v>
      </c>
      <c r="N26" s="188">
        <f>H26*L26*0.5</f>
        <v>0</v>
      </c>
      <c r="P26" s="188">
        <f>J26+N26</f>
        <v>567.23782500000004</v>
      </c>
      <c r="R26" s="188">
        <f>L26+F26</f>
        <v>213381</v>
      </c>
    </row>
    <row r="27" spans="1:18">
      <c r="A27" s="182">
        <f>A26+1</f>
        <v>9</v>
      </c>
      <c r="B27" s="12"/>
      <c r="C27" s="12" t="s">
        <v>21</v>
      </c>
      <c r="F27" s="192">
        <f>SUM(F19:F26)</f>
        <v>168726824.99730965</v>
      </c>
      <c r="J27" s="192">
        <f>SUM(J19:J26)</f>
        <v>334241.06190439436</v>
      </c>
      <c r="L27" s="192">
        <f>SUM(L19:L26)</f>
        <v>2472249.4080326338</v>
      </c>
      <c r="N27" s="192">
        <f>SUM(N19:N26)</f>
        <v>2298.0429268915423</v>
      </c>
      <c r="P27" s="192">
        <f>SUM(P19:P26)</f>
        <v>336539.10483128589</v>
      </c>
      <c r="R27" s="192">
        <f>SUM(R19:R26)</f>
        <v>171199074.40534234</v>
      </c>
    </row>
    <row r="28" spans="1:18">
      <c r="B28" s="12"/>
    </row>
    <row r="29" spans="1:18" ht="13.15">
      <c r="B29" s="185" t="s">
        <v>12</v>
      </c>
      <c r="C29" s="185"/>
    </row>
    <row r="30" spans="1:18">
      <c r="A30" s="182">
        <f>A27+1</f>
        <v>10</v>
      </c>
      <c r="B30" s="12"/>
      <c r="C30" s="12" t="str">
        <f>C19</f>
        <v>Mains</v>
      </c>
      <c r="D30" s="182">
        <f>D19</f>
        <v>376</v>
      </c>
      <c r="F30" s="186">
        <f>'202206 Bk Depr Form 2.6'!R30</f>
        <v>-11237242.516923077</v>
      </c>
      <c r="H30" s="187">
        <f>+'202206 Bk Depr Form 2.6'!H30</f>
        <v>1.4833333333333332E-3</v>
      </c>
      <c r="J30" s="188">
        <f>F30*H30</f>
        <v>-16668.576400102564</v>
      </c>
      <c r="L30" s="189">
        <f>'Cap Ex 2021 Form 2.13'!J27</f>
        <v>-415636</v>
      </c>
      <c r="N30" s="188">
        <f>H30*L30*0.5</f>
        <v>-308.26336666666663</v>
      </c>
      <c r="P30" s="188">
        <f>J30+N30</f>
        <v>-16976.83976676923</v>
      </c>
      <c r="R30" s="188">
        <f>L30+F30</f>
        <v>-11652878.516923077</v>
      </c>
    </row>
    <row r="31" spans="1:18">
      <c r="A31" s="182">
        <f>A30+1</f>
        <v>11</v>
      </c>
      <c r="B31" s="12"/>
      <c r="C31" s="12" t="str">
        <f t="shared" ref="C31:D37" si="5">C20</f>
        <v>Mains - In-Line Inspections</v>
      </c>
      <c r="D31" s="182">
        <f t="shared" si="5"/>
        <v>376</v>
      </c>
      <c r="F31" s="186">
        <f>'202206 Bk Depr Form 2.6'!R31</f>
        <v>0</v>
      </c>
      <c r="H31" s="187">
        <f>+'202206 Bk Depr Form 2.6'!H31</f>
        <v>1.4833333333333332E-3</v>
      </c>
      <c r="J31" s="188">
        <f>F31*H31</f>
        <v>0</v>
      </c>
      <c r="L31" s="189">
        <f>'Cap Ex 2021 Form 2.13'!J28</f>
        <v>0</v>
      </c>
      <c r="N31" s="188">
        <f>H31*L31*0.5</f>
        <v>0</v>
      </c>
      <c r="P31" s="188">
        <f>J31+N31</f>
        <v>0</v>
      </c>
      <c r="R31" s="188">
        <f>L31+F31</f>
        <v>0</v>
      </c>
    </row>
    <row r="32" spans="1:18">
      <c r="A32" s="182">
        <f>A31+1</f>
        <v>12</v>
      </c>
      <c r="B32" s="12"/>
      <c r="C32" s="12" t="str">
        <f t="shared" si="5"/>
        <v>Plant Regulators</v>
      </c>
      <c r="D32" s="182">
        <f t="shared" si="5"/>
        <v>378</v>
      </c>
      <c r="F32" s="186">
        <f>'202206 Bk Depr Form 2.6'!R32</f>
        <v>-173097.3</v>
      </c>
      <c r="H32" s="187">
        <f>+'202206 Bk Depr Form 2.6'!H32</f>
        <v>2.0916666666666666E-3</v>
      </c>
      <c r="J32" s="188">
        <f t="shared" ref="J32:J37" si="6">F32*H32</f>
        <v>-362.06185249999999</v>
      </c>
      <c r="L32" s="189">
        <f>'Cap Ex 2021 Form 2.13'!J29</f>
        <v>-12030</v>
      </c>
      <c r="N32" s="188">
        <f t="shared" ref="N32:N37" si="7">H32*L32*0.5</f>
        <v>-12.581375</v>
      </c>
      <c r="P32" s="188">
        <f t="shared" ref="P32:P37" si="8">J32+N32</f>
        <v>-374.64322749999997</v>
      </c>
      <c r="R32" s="188">
        <f t="shared" ref="R32:R37" si="9">L32+F32</f>
        <v>-185127.3</v>
      </c>
    </row>
    <row r="33" spans="1:18">
      <c r="A33" s="182">
        <f t="shared" ref="A33:A36" si="10">A32+1</f>
        <v>13</v>
      </c>
      <c r="B33" s="12"/>
      <c r="C33" s="12" t="str">
        <f t="shared" si="5"/>
        <v>Plant Regulators - LP Program</v>
      </c>
      <c r="D33" s="182">
        <f t="shared" si="5"/>
        <v>378</v>
      </c>
      <c r="F33" s="186">
        <f>'202206 Bk Depr Form 2.6'!R33</f>
        <v>-194723.07</v>
      </c>
      <c r="H33" s="187">
        <f>+'202206 Bk Depr Form 2.6'!H33</f>
        <v>2.0916666666666666E-3</v>
      </c>
      <c r="J33" s="188">
        <f t="shared" si="6"/>
        <v>-407.29575475000001</v>
      </c>
      <c r="L33" s="189">
        <f>'Cap Ex 2021 Form 2.13'!J30</f>
        <v>0</v>
      </c>
      <c r="N33" s="188">
        <f t="shared" si="7"/>
        <v>0</v>
      </c>
      <c r="P33" s="188">
        <f t="shared" si="8"/>
        <v>-407.29575475000001</v>
      </c>
      <c r="R33" s="188">
        <f t="shared" si="9"/>
        <v>-194723.07</v>
      </c>
    </row>
    <row r="34" spans="1:18">
      <c r="A34" s="182">
        <f t="shared" si="10"/>
        <v>14</v>
      </c>
      <c r="B34" s="12"/>
      <c r="C34" s="12" t="str">
        <f t="shared" si="5"/>
        <v>Service Lines</v>
      </c>
      <c r="D34" s="182">
        <f t="shared" si="5"/>
        <v>380</v>
      </c>
      <c r="F34" s="186">
        <f>'202206 Bk Depr Form 2.6'!R34</f>
        <v>-9161190.7938461546</v>
      </c>
      <c r="H34" s="187">
        <f>+'202206 Bk Depr Form 2.6'!H34</f>
        <v>3.316666666666667E-3</v>
      </c>
      <c r="J34" s="188">
        <f t="shared" si="6"/>
        <v>-30384.616132923082</v>
      </c>
      <c r="L34" s="189">
        <f>'Cap Ex 2021 Form 2.13'!J31</f>
        <v>-110832</v>
      </c>
      <c r="N34" s="188">
        <f t="shared" si="7"/>
        <v>-183.79640000000001</v>
      </c>
      <c r="P34" s="188">
        <f t="shared" si="8"/>
        <v>-30568.412532923081</v>
      </c>
      <c r="R34" s="188">
        <f t="shared" si="9"/>
        <v>-9272022.7938461546</v>
      </c>
    </row>
    <row r="35" spans="1:18">
      <c r="A35" s="182">
        <f t="shared" si="10"/>
        <v>15</v>
      </c>
      <c r="B35" s="12"/>
      <c r="C35" s="12" t="str">
        <f t="shared" si="5"/>
        <v>Meter Installations</v>
      </c>
      <c r="D35" s="182">
        <f t="shared" si="5"/>
        <v>382</v>
      </c>
      <c r="F35" s="186">
        <f>'202206 Bk Depr Form 2.6'!R35</f>
        <v>-80674.182000000001</v>
      </c>
      <c r="H35" s="187">
        <f>+'202206 Bk Depr Form 2.6'!H35</f>
        <v>1.475E-3</v>
      </c>
      <c r="J35" s="188">
        <f t="shared" si="6"/>
        <v>-118.99441845</v>
      </c>
      <c r="L35" s="189">
        <f>'Cap Ex 2021 Form 2.13'!J32</f>
        <v>-713</v>
      </c>
      <c r="N35" s="188">
        <f t="shared" si="7"/>
        <v>-0.52583749999999996</v>
      </c>
      <c r="P35" s="188">
        <f t="shared" si="8"/>
        <v>-119.52025594999999</v>
      </c>
      <c r="R35" s="188">
        <f t="shared" si="9"/>
        <v>-81387.182000000001</v>
      </c>
    </row>
    <row r="36" spans="1:18" s="193" customFormat="1">
      <c r="A36" s="182">
        <f t="shared" si="10"/>
        <v>16</v>
      </c>
      <c r="C36" s="12" t="str">
        <f t="shared" si="5"/>
        <v>House Regulators</v>
      </c>
      <c r="D36" s="182">
        <f t="shared" si="5"/>
        <v>383</v>
      </c>
      <c r="E36" s="194"/>
      <c r="F36" s="186">
        <f>'202206 Bk Depr Form 2.6'!R36</f>
        <v>-20350.050000000003</v>
      </c>
      <c r="G36" s="194"/>
      <c r="H36" s="187">
        <f>+'202206 Bk Depr Form 2.6'!H36</f>
        <v>1.6333333333333332E-3</v>
      </c>
      <c r="I36" s="194"/>
      <c r="J36" s="186">
        <f t="shared" si="6"/>
        <v>-33.238415000000003</v>
      </c>
      <c r="K36" s="194"/>
      <c r="L36" s="189">
        <f>'Cap Ex 2021 Form 2.13'!J33</f>
        <v>-933</v>
      </c>
      <c r="M36" s="194"/>
      <c r="N36" s="186">
        <f t="shared" si="7"/>
        <v>-0.76194999999999991</v>
      </c>
      <c r="O36" s="194"/>
      <c r="P36" s="186">
        <f t="shared" si="8"/>
        <v>-34.000365000000002</v>
      </c>
      <c r="Q36" s="194"/>
      <c r="R36" s="186">
        <f t="shared" si="9"/>
        <v>-21283.050000000003</v>
      </c>
    </row>
    <row r="37" spans="1:18">
      <c r="A37" s="182">
        <f>A36+1</f>
        <v>17</v>
      </c>
      <c r="B37" s="12"/>
      <c r="C37" s="12" t="str">
        <f t="shared" si="5"/>
        <v>GPS Devices</v>
      </c>
      <c r="D37" s="182">
        <f t="shared" si="5"/>
        <v>387</v>
      </c>
      <c r="F37" s="191">
        <f>'202206 Bk Depr Form 2.6'!R37</f>
        <v>0</v>
      </c>
      <c r="H37" s="187">
        <f>+'202206 Bk Depr Form 2.6'!H37</f>
        <v>2.6583333333333333E-3</v>
      </c>
      <c r="J37" s="188">
        <f t="shared" si="6"/>
        <v>0</v>
      </c>
      <c r="L37" s="195">
        <f>'Cap Ex 2021 Form 2.13'!J34</f>
        <v>0</v>
      </c>
      <c r="N37" s="188">
        <f t="shared" si="7"/>
        <v>0</v>
      </c>
      <c r="P37" s="188">
        <f t="shared" si="8"/>
        <v>0</v>
      </c>
      <c r="R37" s="188">
        <f t="shared" si="9"/>
        <v>0</v>
      </c>
    </row>
    <row r="38" spans="1:18">
      <c r="A38" s="182">
        <f>A37+1</f>
        <v>18</v>
      </c>
      <c r="B38" s="12"/>
      <c r="C38" s="12" t="s">
        <v>22</v>
      </c>
      <c r="F38" s="192">
        <f>SUM(F30:F37)</f>
        <v>-20867277.912769236</v>
      </c>
      <c r="J38" s="192">
        <f>SUM(J30:J37)</f>
        <v>-47974.782973725647</v>
      </c>
      <c r="L38" s="192">
        <f>SUM(L30:L37)</f>
        <v>-540144</v>
      </c>
      <c r="N38" s="192">
        <f>SUM(N30:N37)</f>
        <v>-505.92892916666665</v>
      </c>
      <c r="P38" s="192">
        <f>SUM(P30:P37)</f>
        <v>-48480.711902892319</v>
      </c>
      <c r="R38" s="192">
        <f>SUM(R30:R37)</f>
        <v>-21407421.912769236</v>
      </c>
    </row>
    <row r="39" spans="1:18">
      <c r="B39" s="12"/>
    </row>
    <row r="40" spans="1:18" s="199" customFormat="1" ht="13.5" thickBot="1">
      <c r="A40" s="196">
        <f>A38+1</f>
        <v>19</v>
      </c>
      <c r="B40" s="197" t="s">
        <v>18</v>
      </c>
      <c r="C40" s="197"/>
      <c r="D40" s="196"/>
      <c r="E40" s="196"/>
      <c r="F40" s="198">
        <f>F27+F38</f>
        <v>147859547.08454043</v>
      </c>
      <c r="G40" s="196"/>
      <c r="I40" s="196"/>
      <c r="J40" s="198">
        <f>J27+J38</f>
        <v>286266.27893066872</v>
      </c>
      <c r="K40" s="196"/>
      <c r="L40" s="198">
        <f>L27+L38</f>
        <v>1932105.4080326338</v>
      </c>
      <c r="M40" s="196"/>
      <c r="N40" s="198">
        <f>N27+N38</f>
        <v>1792.1139977248756</v>
      </c>
      <c r="O40" s="196"/>
      <c r="P40" s="198">
        <f>P27+P38</f>
        <v>288058.39292839356</v>
      </c>
      <c r="Q40" s="196"/>
      <c r="R40" s="198">
        <f>R27+R38</f>
        <v>149791652.49257311</v>
      </c>
    </row>
    <row r="41" spans="1:18" ht="13.15" thickTop="1">
      <c r="B41" s="12"/>
    </row>
    <row r="42" spans="1:18" ht="13.15">
      <c r="B42" s="200" t="s">
        <v>19</v>
      </c>
      <c r="C42" s="200"/>
    </row>
    <row r="43" spans="1:18">
      <c r="A43" s="182">
        <f>A40+1</f>
        <v>20</v>
      </c>
      <c r="B43" s="12"/>
      <c r="C43" s="12" t="str">
        <f>C30</f>
        <v>Mains</v>
      </c>
      <c r="D43" s="182">
        <f>D30</f>
        <v>376</v>
      </c>
      <c r="F43" s="186">
        <f>'202206 Bk Depr Form 2.6'!R43</f>
        <v>1453430.837345886</v>
      </c>
      <c r="J43" s="188"/>
      <c r="L43" s="189">
        <f>'Cap Ex 2021 Form 2.13'!J39</f>
        <v>40522.738887353553</v>
      </c>
      <c r="N43" s="188"/>
      <c r="P43" s="188"/>
      <c r="R43" s="188">
        <f>L43+F43</f>
        <v>1493953.5762332396</v>
      </c>
    </row>
    <row r="44" spans="1:18">
      <c r="A44" s="182">
        <f>A43+1</f>
        <v>21</v>
      </c>
      <c r="B44" s="12"/>
      <c r="C44" s="12" t="str">
        <f t="shared" ref="C44:D50" si="11">C31</f>
        <v>Mains - In-Line Inspections</v>
      </c>
      <c r="D44" s="182">
        <f t="shared" si="11"/>
        <v>376</v>
      </c>
      <c r="F44" s="186">
        <f>'202206 Bk Depr Form 2.6'!R44</f>
        <v>0</v>
      </c>
      <c r="J44" s="188"/>
      <c r="L44" s="189">
        <f>'Cap Ex 2021 Form 2.13'!J40</f>
        <v>0</v>
      </c>
      <c r="N44" s="188"/>
      <c r="P44" s="188"/>
      <c r="R44" s="188">
        <f>L44+F44</f>
        <v>0</v>
      </c>
    </row>
    <row r="45" spans="1:18">
      <c r="A45" s="182">
        <f>A44+1</f>
        <v>22</v>
      </c>
      <c r="B45" s="12"/>
      <c r="C45" s="12" t="str">
        <f t="shared" si="11"/>
        <v>Plant Regulators</v>
      </c>
      <c r="D45" s="182">
        <f t="shared" si="11"/>
        <v>378</v>
      </c>
      <c r="F45" s="186">
        <f>'202206 Bk Depr Form 2.6'!R45</f>
        <v>13111.226468080002</v>
      </c>
      <c r="J45" s="188"/>
      <c r="L45" s="189">
        <f>'Cap Ex 2021 Form 2.13'!J41</f>
        <v>571.55474772000002</v>
      </c>
      <c r="N45" s="188"/>
      <c r="P45" s="188"/>
      <c r="R45" s="188">
        <f>L45+F45</f>
        <v>13682.781215800002</v>
      </c>
    </row>
    <row r="46" spans="1:18">
      <c r="A46" s="182">
        <f t="shared" ref="A46:A50" si="12">A45+1</f>
        <v>23</v>
      </c>
      <c r="B46" s="12"/>
      <c r="C46" s="12" t="str">
        <f t="shared" si="11"/>
        <v>Plant Regulators - LP Program</v>
      </c>
      <c r="D46" s="182">
        <f t="shared" si="11"/>
        <v>378</v>
      </c>
      <c r="F46" s="186">
        <f>'202206 Bk Depr Form 2.6'!R46</f>
        <v>10279.780000000001</v>
      </c>
      <c r="J46" s="188"/>
      <c r="L46" s="189">
        <f>'Cap Ex 2021 Form 2.13'!J42</f>
        <v>0</v>
      </c>
      <c r="N46" s="188"/>
      <c r="P46" s="188"/>
      <c r="R46" s="188">
        <f t="shared" ref="R46:R49" si="13">L46+F46</f>
        <v>10279.780000000001</v>
      </c>
    </row>
    <row r="47" spans="1:18">
      <c r="A47" s="182">
        <f t="shared" si="12"/>
        <v>24</v>
      </c>
      <c r="B47" s="12"/>
      <c r="C47" s="12" t="str">
        <f t="shared" si="11"/>
        <v>Service Lines</v>
      </c>
      <c r="D47" s="182">
        <f t="shared" si="11"/>
        <v>380</v>
      </c>
      <c r="F47" s="186">
        <f>'202206 Bk Depr Form 2.6'!R47</f>
        <v>6510386.8347745407</v>
      </c>
      <c r="J47" s="188"/>
      <c r="L47" s="189">
        <f>'Cap Ex 2021 Form 2.13'!J43</f>
        <v>98740.175591747684</v>
      </c>
      <c r="N47" s="188"/>
      <c r="P47" s="188"/>
      <c r="R47" s="188">
        <f t="shared" si="13"/>
        <v>6609127.010366288</v>
      </c>
    </row>
    <row r="48" spans="1:18">
      <c r="A48" s="182">
        <f t="shared" si="12"/>
        <v>25</v>
      </c>
      <c r="B48" s="12"/>
      <c r="C48" s="12" t="str">
        <f t="shared" si="11"/>
        <v>Meter Installations</v>
      </c>
      <c r="D48" s="182">
        <f t="shared" si="11"/>
        <v>382</v>
      </c>
      <c r="F48" s="186">
        <f>'202206 Bk Depr Form 2.6'!R48</f>
        <v>890.09866961541525</v>
      </c>
      <c r="J48" s="188"/>
      <c r="L48" s="189">
        <f>'Cap Ex 2021 Form 2.13'!J44</f>
        <v>63.579232435938195</v>
      </c>
      <c r="N48" s="188"/>
      <c r="P48" s="188"/>
      <c r="R48" s="188">
        <f t="shared" si="13"/>
        <v>953.67790205135339</v>
      </c>
    </row>
    <row r="49" spans="1:18" s="193" customFormat="1">
      <c r="A49" s="182">
        <f t="shared" si="12"/>
        <v>26</v>
      </c>
      <c r="C49" s="12" t="str">
        <f t="shared" si="11"/>
        <v>House Regulators</v>
      </c>
      <c r="D49" s="182">
        <f t="shared" si="11"/>
        <v>383</v>
      </c>
      <c r="E49" s="194"/>
      <c r="F49" s="186">
        <f>'202206 Bk Depr Form 2.6'!R49</f>
        <v>91.675940189809296</v>
      </c>
      <c r="G49" s="194"/>
      <c r="I49" s="194"/>
      <c r="J49" s="186"/>
      <c r="K49" s="194"/>
      <c r="L49" s="189">
        <f>'Cap Ex 2021 Form 2.13'!J45</f>
        <v>6.4559247622804392</v>
      </c>
      <c r="M49" s="194"/>
      <c r="N49" s="186"/>
      <c r="O49" s="194"/>
      <c r="P49" s="186"/>
      <c r="Q49" s="194"/>
      <c r="R49" s="188">
        <f t="shared" si="13"/>
        <v>98.131864952089728</v>
      </c>
    </row>
    <row r="50" spans="1:18">
      <c r="A50" s="182">
        <f t="shared" si="12"/>
        <v>27</v>
      </c>
      <c r="B50" s="12"/>
      <c r="C50" s="12" t="str">
        <f t="shared" si="11"/>
        <v>GPS Devices</v>
      </c>
      <c r="D50" s="182">
        <f t="shared" si="11"/>
        <v>387</v>
      </c>
      <c r="F50" s="191">
        <f>'202206 Bk Depr Form 2.6'!R50</f>
        <v>0</v>
      </c>
      <c r="J50" s="188"/>
      <c r="L50" s="189">
        <f>'Cap Ex 2021 Form 2.13'!J46</f>
        <v>0</v>
      </c>
      <c r="N50" s="188"/>
      <c r="P50" s="188"/>
      <c r="R50" s="188">
        <f>L50+F50</f>
        <v>0</v>
      </c>
    </row>
    <row r="51" spans="1:18">
      <c r="A51" s="182">
        <f>A50+1</f>
        <v>28</v>
      </c>
      <c r="B51" s="12"/>
      <c r="C51" s="12" t="s">
        <v>23</v>
      </c>
      <c r="F51" s="192">
        <f>SUM(F43:F50)</f>
        <v>7988190.4531983119</v>
      </c>
      <c r="J51" s="192">
        <f>SUM(J43:J50)</f>
        <v>0</v>
      </c>
      <c r="L51" s="192">
        <f>SUM(L43:L50)</f>
        <v>139904.50438401944</v>
      </c>
      <c r="N51" s="192">
        <f>SUM(N43:N50)</f>
        <v>0</v>
      </c>
      <c r="P51" s="192">
        <f>SUM(P43:P50)</f>
        <v>0</v>
      </c>
      <c r="R51" s="192">
        <f>SUM(R43:R50)</f>
        <v>8128094.9575823313</v>
      </c>
    </row>
    <row r="53" spans="1:18">
      <c r="A53" s="182">
        <v>29</v>
      </c>
      <c r="C53" s="12" t="s">
        <v>276</v>
      </c>
      <c r="J53" s="219">
        <f>+J19+J20+J23+J31+J34+J30</f>
        <v>275528.30228710524</v>
      </c>
      <c r="N53" s="219">
        <f>+N19+N20+N23+N31+N34+N30</f>
        <v>1741.8753792926341</v>
      </c>
      <c r="P53" s="219">
        <f>+J53+N53</f>
        <v>277270.17766639788</v>
      </c>
    </row>
    <row r="54" spans="1:18">
      <c r="A54" s="182">
        <v>30</v>
      </c>
      <c r="C54" s="12" t="s">
        <v>277</v>
      </c>
      <c r="J54" s="219">
        <f>+J40-J53</f>
        <v>10737.976643563481</v>
      </c>
      <c r="N54" s="219">
        <f>+N40-N53</f>
        <v>50.238618432241537</v>
      </c>
      <c r="P54" s="219">
        <f>+P40-P53</f>
        <v>10788.215261995676</v>
      </c>
    </row>
  </sheetData>
  <pageMargins left="0.7" right="0.7" top="0.75" bottom="0.75" header="0.3" footer="0.3"/>
  <pageSetup scale="7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22">
    <tabColor rgb="FF00B050"/>
    <pageSetUpPr fitToPage="1"/>
  </sheetPr>
  <dimension ref="A1:R54"/>
  <sheetViews>
    <sheetView zoomScaleNormal="100" workbookViewId="0">
      <selection activeCell="F36" sqref="F36"/>
    </sheetView>
  </sheetViews>
  <sheetFormatPr defaultColWidth="9.3984375" defaultRowHeight="12.75"/>
  <cols>
    <col min="1" max="1" width="5.3984375" style="182" customWidth="1"/>
    <col min="2" max="2" width="2.59765625" style="182" customWidth="1"/>
    <col min="3" max="3" width="28.1328125" style="12" bestFit="1" customWidth="1"/>
    <col min="4" max="4" width="9.3984375" style="182"/>
    <col min="5" max="5" width="1.3984375" style="182" customWidth="1"/>
    <col min="6" max="6" width="15.59765625" style="12" customWidth="1"/>
    <col min="7" max="7" width="1.3984375" style="182" customWidth="1"/>
    <col min="8" max="8" width="9.59765625" style="12" customWidth="1"/>
    <col min="9" max="9" width="1.3984375" style="182" customWidth="1"/>
    <col min="10" max="10" width="12.59765625" style="12" bestFit="1" customWidth="1"/>
    <col min="11" max="11" width="1.3984375" style="182" customWidth="1"/>
    <col min="12" max="12" width="14.59765625" style="12" bestFit="1" customWidth="1"/>
    <col min="13" max="13" width="1.3984375" style="182" customWidth="1"/>
    <col min="14" max="14" width="16.59765625" style="12" customWidth="1"/>
    <col min="15" max="15" width="1.3984375" style="182" customWidth="1"/>
    <col min="16" max="16" width="16" style="12" bestFit="1" customWidth="1"/>
    <col min="17" max="17" width="1.3984375" style="182" customWidth="1"/>
    <col min="18" max="18" width="15.59765625" style="12" customWidth="1"/>
    <col min="19" max="16384" width="9.3984375" style="12"/>
  </cols>
  <sheetData>
    <row r="1" spans="1:18" ht="13.15">
      <c r="R1" s="220" t="s">
        <v>278</v>
      </c>
    </row>
    <row r="2" spans="1:18" ht="13.15">
      <c r="R2" s="220" t="s">
        <v>279</v>
      </c>
    </row>
    <row r="3" spans="1:18" ht="13.15">
      <c r="R3" s="220" t="s">
        <v>280</v>
      </c>
    </row>
    <row r="4" spans="1:18" ht="13.15">
      <c r="R4" s="220" t="s">
        <v>289</v>
      </c>
    </row>
    <row r="6" spans="1:18" ht="13.15">
      <c r="R6" s="65" t="s">
        <v>245</v>
      </c>
    </row>
    <row r="7" spans="1:18" ht="13.15">
      <c r="A7" s="176" t="str">
        <f>'202207 Bk Depr Form 2.7'!A7</f>
        <v>COLUMBIA GAS OF KENTUCKY, INC.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</row>
    <row r="8" spans="1:18" s="13" customFormat="1" ht="13.15">
      <c r="A8" s="177" t="str">
        <f>'202207 Bk Depr Form 2.7'!A8</f>
        <v>ANNUAL ADJUSTMENT TO THE SAFETY MODIFICATION AND REPLACEMENT PROGRAM ("SMRP")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</row>
    <row r="9" spans="1:18" ht="13.15">
      <c r="A9" s="176" t="s">
        <v>260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</row>
    <row r="10" spans="1:18" ht="13.15">
      <c r="A10" s="179"/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</row>
    <row r="11" spans="1:18" ht="13.15">
      <c r="A11" s="180"/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</row>
    <row r="12" spans="1:18" ht="13.15">
      <c r="C12" s="181"/>
      <c r="D12" s="181"/>
      <c r="E12" s="181"/>
      <c r="F12" s="181" t="s">
        <v>67</v>
      </c>
      <c r="G12" s="181"/>
      <c r="H12" s="181"/>
      <c r="I12" s="181"/>
      <c r="J12" s="181" t="s">
        <v>67</v>
      </c>
      <c r="K12" s="181"/>
      <c r="L12" s="181" t="s">
        <v>67</v>
      </c>
      <c r="M12" s="181"/>
      <c r="N12" s="181"/>
      <c r="O12" s="181"/>
      <c r="P12" s="181"/>
      <c r="Q12" s="181"/>
      <c r="R12" s="181" t="s">
        <v>67</v>
      </c>
    </row>
    <row r="13" spans="1:18" ht="13.15">
      <c r="C13" s="181"/>
      <c r="D13" s="181"/>
      <c r="E13" s="181"/>
      <c r="F13" s="181" t="s">
        <v>8</v>
      </c>
      <c r="G13" s="181"/>
      <c r="H13" s="181" t="s">
        <v>73</v>
      </c>
      <c r="I13" s="181"/>
      <c r="J13" s="181" t="s">
        <v>11</v>
      </c>
      <c r="K13" s="181"/>
      <c r="L13" s="181" t="s">
        <v>20</v>
      </c>
      <c r="M13" s="181"/>
      <c r="N13" s="181" t="s">
        <v>60</v>
      </c>
      <c r="O13" s="181"/>
      <c r="P13" s="181" t="s">
        <v>60</v>
      </c>
      <c r="Q13" s="181"/>
      <c r="R13" s="181" t="s">
        <v>14</v>
      </c>
    </row>
    <row r="14" spans="1:18" ht="13.15">
      <c r="A14" s="181" t="s">
        <v>4</v>
      </c>
      <c r="B14" s="181"/>
      <c r="C14" s="181"/>
      <c r="D14" s="181" t="s">
        <v>7</v>
      </c>
      <c r="E14" s="181"/>
      <c r="F14" s="181" t="s">
        <v>1</v>
      </c>
      <c r="G14" s="181"/>
      <c r="H14" s="181" t="s">
        <v>10</v>
      </c>
      <c r="I14" s="181"/>
      <c r="J14" s="181" t="s">
        <v>8</v>
      </c>
      <c r="K14" s="181"/>
      <c r="L14" s="181" t="s">
        <v>42</v>
      </c>
      <c r="M14" s="181"/>
      <c r="N14" s="181" t="s">
        <v>11</v>
      </c>
      <c r="O14" s="181"/>
      <c r="P14" s="181" t="s">
        <v>28</v>
      </c>
      <c r="Q14" s="181"/>
      <c r="R14" s="181" t="s">
        <v>1</v>
      </c>
    </row>
    <row r="15" spans="1:18" ht="13.15">
      <c r="A15" s="183" t="s">
        <v>5</v>
      </c>
      <c r="B15" s="183"/>
      <c r="C15" s="183" t="s">
        <v>6</v>
      </c>
      <c r="D15" s="183" t="s">
        <v>5</v>
      </c>
      <c r="E15" s="183"/>
      <c r="F15" s="183" t="s">
        <v>9</v>
      </c>
      <c r="G15" s="183"/>
      <c r="H15" s="183" t="s">
        <v>2</v>
      </c>
      <c r="I15" s="183"/>
      <c r="J15" s="183" t="s">
        <v>9</v>
      </c>
      <c r="K15" s="183"/>
      <c r="L15" s="183" t="s">
        <v>12</v>
      </c>
      <c r="M15" s="183"/>
      <c r="N15" s="183" t="s">
        <v>13</v>
      </c>
      <c r="O15" s="183"/>
      <c r="P15" s="183" t="s">
        <v>0</v>
      </c>
      <c r="Q15" s="183"/>
      <c r="R15" s="183" t="s">
        <v>9</v>
      </c>
    </row>
    <row r="16" spans="1:18" s="1" customFormat="1" ht="13.15">
      <c r="A16" s="181"/>
      <c r="B16" s="181"/>
      <c r="C16" s="184">
        <v>-1</v>
      </c>
      <c r="D16" s="184">
        <v>-2</v>
      </c>
      <c r="E16" s="184"/>
      <c r="F16" s="184">
        <v>-3</v>
      </c>
      <c r="G16" s="184"/>
      <c r="H16" s="184">
        <v>-4</v>
      </c>
      <c r="I16" s="184"/>
      <c r="J16" s="184" t="s">
        <v>15</v>
      </c>
      <c r="K16" s="184"/>
      <c r="L16" s="184">
        <v>-6</v>
      </c>
      <c r="M16" s="184"/>
      <c r="N16" s="184" t="s">
        <v>16</v>
      </c>
      <c r="O16" s="184"/>
      <c r="P16" s="184" t="s">
        <v>61</v>
      </c>
      <c r="Q16" s="184"/>
      <c r="R16" s="184" t="s">
        <v>17</v>
      </c>
    </row>
    <row r="18" spans="1:18" ht="13.15">
      <c r="B18" s="185" t="s">
        <v>20</v>
      </c>
      <c r="C18" s="185"/>
    </row>
    <row r="19" spans="1:18">
      <c r="A19" s="182">
        <v>1</v>
      </c>
      <c r="B19" s="12"/>
      <c r="C19" s="12" t="s">
        <v>90</v>
      </c>
      <c r="D19" s="182">
        <v>376</v>
      </c>
      <c r="F19" s="186">
        <f>'202207 Bk Depr Form 2.7'!R19</f>
        <v>120940458.93443784</v>
      </c>
      <c r="H19" s="187">
        <f>+'202207 Bk Depr Form 2.7'!H19</f>
        <v>1.4833333333333332E-3</v>
      </c>
      <c r="J19" s="188">
        <f>F19*H19</f>
        <v>179395.01408608278</v>
      </c>
      <c r="L19" s="189">
        <f>'Cap Ex 2021 Form 2.13'!K17</f>
        <v>2798606.0292806099</v>
      </c>
      <c r="N19" s="188">
        <f>H19*L19*0.5</f>
        <v>2075.6328050497855</v>
      </c>
      <c r="P19" s="188">
        <f>J19+N19</f>
        <v>181470.64689113258</v>
      </c>
      <c r="R19" s="188">
        <f>L19+F19</f>
        <v>123739064.96371844</v>
      </c>
    </row>
    <row r="20" spans="1:18">
      <c r="A20" s="182">
        <f t="shared" ref="A20:A26" si="0">A19+1</f>
        <v>2</v>
      </c>
      <c r="B20" s="12"/>
      <c r="C20" s="12" t="s">
        <v>91</v>
      </c>
      <c r="D20" s="182">
        <v>376</v>
      </c>
      <c r="F20" s="186">
        <f>'202207 Bk Depr Form 2.7'!R20</f>
        <v>0</v>
      </c>
      <c r="H20" s="187">
        <f>+'202207 Bk Depr Form 2.7'!H20</f>
        <v>1.4833333333333332E-3</v>
      </c>
      <c r="J20" s="188">
        <f t="shared" ref="J20:J23" si="1">F20*H20</f>
        <v>0</v>
      </c>
      <c r="L20" s="189">
        <f>'Cap Ex 2021 Form 2.13'!K18</f>
        <v>0</v>
      </c>
      <c r="N20" s="188">
        <f t="shared" ref="N20:N24" si="2">H20*L20*0.5</f>
        <v>0</v>
      </c>
      <c r="P20" s="188">
        <f t="shared" ref="P20:P23" si="3">J20+N20</f>
        <v>0</v>
      </c>
      <c r="R20" s="188">
        <f t="shared" ref="R20:R23" si="4">L20+F20</f>
        <v>0</v>
      </c>
    </row>
    <row r="21" spans="1:18">
      <c r="A21" s="182">
        <f t="shared" si="0"/>
        <v>3</v>
      </c>
      <c r="B21" s="12"/>
      <c r="C21" s="12" t="s">
        <v>92</v>
      </c>
      <c r="D21" s="182">
        <v>378</v>
      </c>
      <c r="F21" s="186">
        <f>'202207 Bk Depr Form 2.7'!R21</f>
        <v>1538687.9509546706</v>
      </c>
      <c r="H21" s="187">
        <f>+'202207 Bk Depr Form 2.7'!H21</f>
        <v>2.0916666666666666E-3</v>
      </c>
      <c r="J21" s="188">
        <f t="shared" si="1"/>
        <v>3218.4222974135191</v>
      </c>
      <c r="L21" s="189">
        <f>'Cap Ex 2021 Form 2.13'!K19</f>
        <v>81004.088981003384</v>
      </c>
      <c r="N21" s="188">
        <f t="shared" si="2"/>
        <v>84.71677639263271</v>
      </c>
      <c r="P21" s="188">
        <f t="shared" si="3"/>
        <v>3303.1390738061518</v>
      </c>
      <c r="R21" s="188">
        <f t="shared" si="4"/>
        <v>1619692.0399356741</v>
      </c>
    </row>
    <row r="22" spans="1:18">
      <c r="A22" s="182">
        <f t="shared" si="0"/>
        <v>4</v>
      </c>
      <c r="B22" s="12"/>
      <c r="C22" s="12" t="s">
        <v>93</v>
      </c>
      <c r="D22" s="182">
        <v>378</v>
      </c>
      <c r="F22" s="186">
        <f>'202207 Bk Depr Form 2.7'!R22</f>
        <v>3348545.4100000006</v>
      </c>
      <c r="H22" s="187">
        <f>+'202207 Bk Depr Form 2.7'!H22</f>
        <v>2.0916666666666666E-3</v>
      </c>
      <c r="J22" s="188">
        <f t="shared" si="1"/>
        <v>7004.0408159166673</v>
      </c>
      <c r="L22" s="189">
        <f>'Cap Ex 2021 Form 2.13'!K20</f>
        <v>0</v>
      </c>
      <c r="N22" s="188">
        <f t="shared" si="2"/>
        <v>0</v>
      </c>
      <c r="P22" s="188">
        <f t="shared" si="3"/>
        <v>7004.0408159166673</v>
      </c>
      <c r="R22" s="188">
        <f t="shared" si="4"/>
        <v>3348545.4100000006</v>
      </c>
    </row>
    <row r="23" spans="1:18">
      <c r="A23" s="182">
        <f t="shared" si="0"/>
        <v>5</v>
      </c>
      <c r="B23" s="12"/>
      <c r="C23" s="12" t="s">
        <v>94</v>
      </c>
      <c r="D23" s="182">
        <v>380</v>
      </c>
      <c r="F23" s="186">
        <f>'202207 Bk Depr Form 2.7'!R23</f>
        <v>44518899.806824133</v>
      </c>
      <c r="H23" s="187">
        <f>+'202207 Bk Depr Form 2.7'!H23</f>
        <v>3.316666666666667E-3</v>
      </c>
      <c r="J23" s="188">
        <f t="shared" si="1"/>
        <v>147654.35102596672</v>
      </c>
      <c r="L23" s="189">
        <f>'Cap Ex 2021 Form 2.13'!K21</f>
        <v>710732.30504190223</v>
      </c>
      <c r="N23" s="188">
        <f t="shared" si="2"/>
        <v>1178.6310725278213</v>
      </c>
      <c r="P23" s="188">
        <f t="shared" si="3"/>
        <v>148832.98209849454</v>
      </c>
      <c r="R23" s="188">
        <f t="shared" si="4"/>
        <v>45229632.111866035</v>
      </c>
    </row>
    <row r="24" spans="1:18">
      <c r="A24" s="182">
        <f t="shared" si="0"/>
        <v>6</v>
      </c>
      <c r="B24" s="12"/>
      <c r="C24" s="12" t="s">
        <v>95</v>
      </c>
      <c r="D24" s="182">
        <v>382</v>
      </c>
      <c r="F24" s="186">
        <f>'202207 Bk Depr Form 2.7'!R24</f>
        <v>289160.55141623993</v>
      </c>
      <c r="H24" s="187">
        <f>+'202207 Bk Depr Form 2.7'!H24</f>
        <v>1.475E-3</v>
      </c>
      <c r="J24" s="188">
        <f>F24*H24</f>
        <v>426.51181333895391</v>
      </c>
      <c r="L24" s="189">
        <f>'Cap Ex 2021 Form 2.13'!K22</f>
        <v>4798.7128327793662</v>
      </c>
      <c r="N24" s="188">
        <f t="shared" si="2"/>
        <v>3.5390507141747825</v>
      </c>
      <c r="P24" s="188">
        <f>J24+N24</f>
        <v>430.05086405312869</v>
      </c>
      <c r="R24" s="188">
        <f>L24+F24</f>
        <v>293959.26424901932</v>
      </c>
    </row>
    <row r="25" spans="1:18">
      <c r="A25" s="182">
        <f t="shared" si="0"/>
        <v>7</v>
      </c>
      <c r="B25" s="12"/>
      <c r="C25" s="190" t="s">
        <v>96</v>
      </c>
      <c r="D25" s="182">
        <v>383</v>
      </c>
      <c r="F25" s="186">
        <f>'202207 Bk Depr Form 2.7'!R25</f>
        <v>349940.75170942728</v>
      </c>
      <c r="H25" s="187">
        <f>+'202207 Bk Depr Form 2.7'!H25</f>
        <v>1.6333333333333332E-3</v>
      </c>
      <c r="J25" s="188">
        <f>F25*H25</f>
        <v>571.56989445873114</v>
      </c>
      <c r="L25" s="189">
        <f>'Cap Ex 2021 Form 2.13'!K23</f>
        <v>6284.7868478618602</v>
      </c>
      <c r="N25" s="188">
        <f>H25*L25*0.5</f>
        <v>5.1325759257538524</v>
      </c>
      <c r="P25" s="188">
        <f>J25+N25</f>
        <v>576.70247038448497</v>
      </c>
      <c r="R25" s="188">
        <f>L25+F25</f>
        <v>356225.53855728911</v>
      </c>
    </row>
    <row r="26" spans="1:18">
      <c r="A26" s="182">
        <f t="shared" si="0"/>
        <v>8</v>
      </c>
      <c r="B26" s="12"/>
      <c r="C26" s="12" t="s">
        <v>97</v>
      </c>
      <c r="D26" s="182">
        <v>387</v>
      </c>
      <c r="F26" s="191">
        <f>'202207 Bk Depr Form 2.7'!R26</f>
        <v>213381</v>
      </c>
      <c r="H26" s="187">
        <f>+'202207 Bk Depr Form 2.7'!H26</f>
        <v>2.6583333333333333E-3</v>
      </c>
      <c r="J26" s="188">
        <f>F26*H26</f>
        <v>567.23782500000004</v>
      </c>
      <c r="L26" s="189">
        <f>'Cap Ex 2021 Form 2.13'!K24</f>
        <v>0</v>
      </c>
      <c r="N26" s="188">
        <f>H26*L26*0.5</f>
        <v>0</v>
      </c>
      <c r="P26" s="188">
        <f>J26+N26</f>
        <v>567.23782500000004</v>
      </c>
      <c r="R26" s="188">
        <f>L26+F26</f>
        <v>213381</v>
      </c>
    </row>
    <row r="27" spans="1:18">
      <c r="A27" s="182">
        <f>A26+1</f>
        <v>9</v>
      </c>
      <c r="B27" s="12"/>
      <c r="C27" s="12" t="s">
        <v>21</v>
      </c>
      <c r="F27" s="192">
        <f>SUM(F19:F26)</f>
        <v>171199074.40534234</v>
      </c>
      <c r="J27" s="192">
        <f>SUM(J19:J26)</f>
        <v>338837.14775817742</v>
      </c>
      <c r="L27" s="192">
        <f>SUM(L19:L26)</f>
        <v>3601425.9229841568</v>
      </c>
      <c r="N27" s="192">
        <f>SUM(N19:N26)</f>
        <v>3347.652280610168</v>
      </c>
      <c r="P27" s="192">
        <f>SUM(P19:P26)</f>
        <v>342184.80003878759</v>
      </c>
      <c r="R27" s="192">
        <f>SUM(R19:R26)</f>
        <v>174800500.32832646</v>
      </c>
    </row>
    <row r="28" spans="1:18">
      <c r="B28" s="12"/>
    </row>
    <row r="29" spans="1:18" ht="13.15">
      <c r="B29" s="185" t="s">
        <v>12</v>
      </c>
      <c r="C29" s="185"/>
    </row>
    <row r="30" spans="1:18">
      <c r="A30" s="182">
        <f>A27+1</f>
        <v>10</v>
      </c>
      <c r="B30" s="12"/>
      <c r="C30" s="12" t="str">
        <f>C19</f>
        <v>Mains</v>
      </c>
      <c r="D30" s="182">
        <f>D19</f>
        <v>376</v>
      </c>
      <c r="F30" s="186">
        <f>'202207 Bk Depr Form 2.7'!R30</f>
        <v>-11652878.516923077</v>
      </c>
      <c r="H30" s="187">
        <f>+'202207 Bk Depr Form 2.7'!H30</f>
        <v>1.4833333333333332E-3</v>
      </c>
      <c r="J30" s="188">
        <f>F30*H30</f>
        <v>-17285.103133435896</v>
      </c>
      <c r="L30" s="189">
        <f>'Cap Ex 2021 Form 2.13'!K27</f>
        <v>-384463</v>
      </c>
      <c r="N30" s="188">
        <f>H30*L30*0.5</f>
        <v>-285.14339166666667</v>
      </c>
      <c r="P30" s="188">
        <f>J30+N30</f>
        <v>-17570.246525102564</v>
      </c>
      <c r="R30" s="188">
        <f>L30+F30</f>
        <v>-12037341.516923077</v>
      </c>
    </row>
    <row r="31" spans="1:18">
      <c r="A31" s="182">
        <f>A30+1</f>
        <v>11</v>
      </c>
      <c r="B31" s="12"/>
      <c r="C31" s="12" t="str">
        <f t="shared" ref="C31:D37" si="5">C20</f>
        <v>Mains - In-Line Inspections</v>
      </c>
      <c r="D31" s="182">
        <f t="shared" si="5"/>
        <v>376</v>
      </c>
      <c r="F31" s="186">
        <f>'202207 Bk Depr Form 2.7'!R31</f>
        <v>0</v>
      </c>
      <c r="H31" s="187">
        <f>+'202207 Bk Depr Form 2.7'!H31</f>
        <v>1.4833333333333332E-3</v>
      </c>
      <c r="J31" s="188">
        <f>F31*H31</f>
        <v>0</v>
      </c>
      <c r="L31" s="189">
        <f>'Cap Ex 2021 Form 2.13'!K28</f>
        <v>0</v>
      </c>
      <c r="N31" s="188">
        <f>H31*L31*0.5</f>
        <v>0</v>
      </c>
      <c r="P31" s="188">
        <f>J31+N31</f>
        <v>0</v>
      </c>
      <c r="R31" s="188">
        <f>L31+F31</f>
        <v>0</v>
      </c>
    </row>
    <row r="32" spans="1:18">
      <c r="A32" s="182">
        <f>A31+1</f>
        <v>12</v>
      </c>
      <c r="B32" s="12"/>
      <c r="C32" s="12" t="str">
        <f t="shared" si="5"/>
        <v>Plant Regulators</v>
      </c>
      <c r="D32" s="182">
        <f t="shared" si="5"/>
        <v>378</v>
      </c>
      <c r="F32" s="186">
        <f>'202207 Bk Depr Form 2.7'!R32</f>
        <v>-185127.3</v>
      </c>
      <c r="H32" s="187">
        <f>+'202207 Bk Depr Form 2.7'!H32</f>
        <v>2.0916666666666666E-3</v>
      </c>
      <c r="J32" s="188">
        <f t="shared" ref="J32:J37" si="6">F32*H32</f>
        <v>-387.22460249999995</v>
      </c>
      <c r="L32" s="189">
        <f>'Cap Ex 2021 Form 2.13'!K29</f>
        <v>-12030</v>
      </c>
      <c r="N32" s="188">
        <f t="shared" ref="N32:N37" si="7">H32*L32*0.5</f>
        <v>-12.581375</v>
      </c>
      <c r="P32" s="188">
        <f t="shared" ref="P32:P37" si="8">J32+N32</f>
        <v>-399.80597749999993</v>
      </c>
      <c r="R32" s="188">
        <f t="shared" ref="R32:R37" si="9">L32+F32</f>
        <v>-197157.3</v>
      </c>
    </row>
    <row r="33" spans="1:18">
      <c r="A33" s="182">
        <f t="shared" ref="A33:A36" si="10">A32+1</f>
        <v>13</v>
      </c>
      <c r="B33" s="12"/>
      <c r="C33" s="12" t="str">
        <f t="shared" si="5"/>
        <v>Plant Regulators - LP Program</v>
      </c>
      <c r="D33" s="182">
        <f t="shared" si="5"/>
        <v>378</v>
      </c>
      <c r="F33" s="186">
        <f>'202207 Bk Depr Form 2.7'!R33</f>
        <v>-194723.07</v>
      </c>
      <c r="H33" s="187">
        <f>+'202207 Bk Depr Form 2.7'!H33</f>
        <v>2.0916666666666666E-3</v>
      </c>
      <c r="J33" s="188">
        <f t="shared" si="6"/>
        <v>-407.29575475000001</v>
      </c>
      <c r="L33" s="189">
        <f>'Cap Ex 2021 Form 2.13'!K30</f>
        <v>0</v>
      </c>
      <c r="N33" s="188">
        <f t="shared" si="7"/>
        <v>0</v>
      </c>
      <c r="P33" s="188">
        <f t="shared" si="8"/>
        <v>-407.29575475000001</v>
      </c>
      <c r="R33" s="188">
        <f t="shared" si="9"/>
        <v>-194723.07</v>
      </c>
    </row>
    <row r="34" spans="1:18">
      <c r="A34" s="182">
        <f t="shared" si="10"/>
        <v>14</v>
      </c>
      <c r="B34" s="12"/>
      <c r="C34" s="12" t="str">
        <f t="shared" si="5"/>
        <v>Service Lines</v>
      </c>
      <c r="D34" s="182">
        <f t="shared" si="5"/>
        <v>380</v>
      </c>
      <c r="F34" s="186">
        <f>'202207 Bk Depr Form 2.7'!R34</f>
        <v>-9272022.7938461546</v>
      </c>
      <c r="H34" s="187">
        <f>+'202207 Bk Depr Form 2.7'!H34</f>
        <v>3.316666666666667E-3</v>
      </c>
      <c r="J34" s="188">
        <f t="shared" si="6"/>
        <v>-30752.208932923084</v>
      </c>
      <c r="L34" s="189">
        <f>'Cap Ex 2021 Form 2.13'!K31</f>
        <v>-94999</v>
      </c>
      <c r="N34" s="188">
        <f t="shared" si="7"/>
        <v>-157.54000833333336</v>
      </c>
      <c r="P34" s="188">
        <f t="shared" si="8"/>
        <v>-30909.748941256417</v>
      </c>
      <c r="R34" s="188">
        <f t="shared" si="9"/>
        <v>-9367021.7938461546</v>
      </c>
    </row>
    <row r="35" spans="1:18">
      <c r="A35" s="182">
        <f t="shared" si="10"/>
        <v>15</v>
      </c>
      <c r="B35" s="12"/>
      <c r="C35" s="12" t="str">
        <f t="shared" si="5"/>
        <v>Meter Installations</v>
      </c>
      <c r="D35" s="182">
        <f t="shared" si="5"/>
        <v>382</v>
      </c>
      <c r="F35" s="186">
        <f>'202207 Bk Depr Form 2.7'!R35</f>
        <v>-81387.182000000001</v>
      </c>
      <c r="H35" s="187">
        <f>+'202207 Bk Depr Form 2.7'!H35</f>
        <v>1.475E-3</v>
      </c>
      <c r="J35" s="188">
        <f t="shared" si="6"/>
        <v>-120.04609345</v>
      </c>
      <c r="L35" s="189">
        <f>'Cap Ex 2021 Form 2.13'!K32</f>
        <v>-713</v>
      </c>
      <c r="N35" s="188">
        <f t="shared" si="7"/>
        <v>-0.52583749999999996</v>
      </c>
      <c r="P35" s="188">
        <f t="shared" si="8"/>
        <v>-120.57193095</v>
      </c>
      <c r="R35" s="188">
        <f t="shared" si="9"/>
        <v>-82100.182000000001</v>
      </c>
    </row>
    <row r="36" spans="1:18" s="193" customFormat="1">
      <c r="A36" s="182">
        <f t="shared" si="10"/>
        <v>16</v>
      </c>
      <c r="C36" s="12" t="str">
        <f t="shared" si="5"/>
        <v>House Regulators</v>
      </c>
      <c r="D36" s="182">
        <f t="shared" si="5"/>
        <v>383</v>
      </c>
      <c r="E36" s="194"/>
      <c r="F36" s="186">
        <f>'202207 Bk Depr Form 2.7'!R36</f>
        <v>-21283.050000000003</v>
      </c>
      <c r="G36" s="194"/>
      <c r="H36" s="187">
        <f>+'202207 Bk Depr Form 2.7'!H36</f>
        <v>1.6333333333333332E-3</v>
      </c>
      <c r="I36" s="194"/>
      <c r="J36" s="186">
        <f t="shared" si="6"/>
        <v>-34.762315000000001</v>
      </c>
      <c r="K36" s="194"/>
      <c r="L36" s="189">
        <f>'Cap Ex 2021 Form 2.13'!K33</f>
        <v>-933</v>
      </c>
      <c r="M36" s="194"/>
      <c r="N36" s="186">
        <f t="shared" si="7"/>
        <v>-0.76194999999999991</v>
      </c>
      <c r="O36" s="194"/>
      <c r="P36" s="186">
        <f t="shared" si="8"/>
        <v>-35.524265</v>
      </c>
      <c r="Q36" s="194"/>
      <c r="R36" s="186">
        <f t="shared" si="9"/>
        <v>-22216.050000000003</v>
      </c>
    </row>
    <row r="37" spans="1:18">
      <c r="A37" s="182">
        <f>A36+1</f>
        <v>17</v>
      </c>
      <c r="B37" s="12"/>
      <c r="C37" s="12" t="str">
        <f t="shared" si="5"/>
        <v>GPS Devices</v>
      </c>
      <c r="D37" s="182">
        <f t="shared" si="5"/>
        <v>387</v>
      </c>
      <c r="F37" s="191">
        <f>'202207 Bk Depr Form 2.7'!R37</f>
        <v>0</v>
      </c>
      <c r="H37" s="187">
        <f>+'202207 Bk Depr Form 2.7'!H37</f>
        <v>2.6583333333333333E-3</v>
      </c>
      <c r="J37" s="188">
        <f t="shared" si="6"/>
        <v>0</v>
      </c>
      <c r="L37" s="195">
        <f>'Cap Ex 2021 Form 2.13'!K34</f>
        <v>0</v>
      </c>
      <c r="N37" s="188">
        <f t="shared" si="7"/>
        <v>0</v>
      </c>
      <c r="P37" s="188">
        <f t="shared" si="8"/>
        <v>0</v>
      </c>
      <c r="R37" s="188">
        <f t="shared" si="9"/>
        <v>0</v>
      </c>
    </row>
    <row r="38" spans="1:18">
      <c r="A38" s="182">
        <f>A37+1</f>
        <v>18</v>
      </c>
      <c r="B38" s="12"/>
      <c r="C38" s="12" t="s">
        <v>22</v>
      </c>
      <c r="F38" s="192">
        <f>SUM(F30:F37)</f>
        <v>-21407421.912769236</v>
      </c>
      <c r="J38" s="192">
        <f>SUM(J30:J37)</f>
        <v>-48986.640832058984</v>
      </c>
      <c r="L38" s="192">
        <f>SUM(L30:L37)</f>
        <v>-493138</v>
      </c>
      <c r="N38" s="192">
        <f>SUM(N30:N37)</f>
        <v>-456.55256250000002</v>
      </c>
      <c r="P38" s="192">
        <f>SUM(P30:P37)</f>
        <v>-49443.193394558984</v>
      </c>
      <c r="R38" s="192">
        <f>SUM(R30:R37)</f>
        <v>-21900559.912769236</v>
      </c>
    </row>
    <row r="39" spans="1:18">
      <c r="B39" s="12"/>
    </row>
    <row r="40" spans="1:18" s="199" customFormat="1" ht="13.5" thickBot="1">
      <c r="A40" s="196">
        <f>A38+1</f>
        <v>19</v>
      </c>
      <c r="B40" s="197" t="s">
        <v>18</v>
      </c>
      <c r="C40" s="197"/>
      <c r="D40" s="196"/>
      <c r="E40" s="196"/>
      <c r="F40" s="198">
        <f>F27+F38</f>
        <v>149791652.49257311</v>
      </c>
      <c r="G40" s="196"/>
      <c r="I40" s="196"/>
      <c r="J40" s="198">
        <f>J27+J38</f>
        <v>289850.50692611845</v>
      </c>
      <c r="K40" s="196"/>
      <c r="L40" s="198">
        <f>L27+L38</f>
        <v>3108287.9229841568</v>
      </c>
      <c r="M40" s="196"/>
      <c r="N40" s="198">
        <f>N27+N38</f>
        <v>2891.0997181101679</v>
      </c>
      <c r="O40" s="196"/>
      <c r="P40" s="198">
        <f>P27+P38</f>
        <v>292741.60664422862</v>
      </c>
      <c r="Q40" s="196"/>
      <c r="R40" s="198">
        <f>R27+R38</f>
        <v>152899940.41555724</v>
      </c>
    </row>
    <row r="41" spans="1:18" ht="13.15" thickTop="1">
      <c r="B41" s="12"/>
    </row>
    <row r="42" spans="1:18" ht="13.15">
      <c r="B42" s="200" t="s">
        <v>19</v>
      </c>
      <c r="C42" s="200"/>
    </row>
    <row r="43" spans="1:18">
      <c r="A43" s="182">
        <f>A40+1</f>
        <v>20</v>
      </c>
      <c r="B43" s="12"/>
      <c r="C43" s="12" t="str">
        <f>C30</f>
        <v>Mains</v>
      </c>
      <c r="D43" s="182">
        <f>D30</f>
        <v>376</v>
      </c>
      <c r="F43" s="186">
        <f>'202207 Bk Depr Form 2.7'!R43</f>
        <v>1493953.5762332396</v>
      </c>
      <c r="J43" s="188"/>
      <c r="L43" s="189">
        <f>'Cap Ex 2021 Form 2.13'!K39</f>
        <v>40438.334316993045</v>
      </c>
      <c r="N43" s="188"/>
      <c r="P43" s="188"/>
      <c r="R43" s="188">
        <f>L43+F43</f>
        <v>1534391.9105502327</v>
      </c>
    </row>
    <row r="44" spans="1:18">
      <c r="A44" s="182">
        <f>A43+1</f>
        <v>21</v>
      </c>
      <c r="B44" s="12"/>
      <c r="C44" s="12" t="str">
        <f t="shared" ref="C44:D50" si="11">C31</f>
        <v>Mains - In-Line Inspections</v>
      </c>
      <c r="D44" s="182">
        <f t="shared" si="11"/>
        <v>376</v>
      </c>
      <c r="F44" s="186">
        <f>'202207 Bk Depr Form 2.7'!R44</f>
        <v>0</v>
      </c>
      <c r="J44" s="188"/>
      <c r="L44" s="189">
        <f>'Cap Ex 2021 Form 2.13'!K40</f>
        <v>0</v>
      </c>
      <c r="N44" s="188"/>
      <c r="P44" s="188"/>
      <c r="R44" s="188">
        <f>L44+F44</f>
        <v>0</v>
      </c>
    </row>
    <row r="45" spans="1:18">
      <c r="A45" s="182">
        <f>A44+1</f>
        <v>22</v>
      </c>
      <c r="B45" s="12"/>
      <c r="C45" s="12" t="str">
        <f t="shared" si="11"/>
        <v>Plant Regulators</v>
      </c>
      <c r="D45" s="182">
        <f t="shared" si="11"/>
        <v>378</v>
      </c>
      <c r="F45" s="186">
        <f>'202207 Bk Depr Form 2.7'!R45</f>
        <v>13682.781215800002</v>
      </c>
      <c r="J45" s="188"/>
      <c r="L45" s="189">
        <f>'Cap Ex 2021 Form 2.13'!K41</f>
        <v>571.55474772000002</v>
      </c>
      <c r="N45" s="188"/>
      <c r="P45" s="188"/>
      <c r="R45" s="188">
        <f>L45+F45</f>
        <v>14254.335963520001</v>
      </c>
    </row>
    <row r="46" spans="1:18">
      <c r="A46" s="182">
        <f t="shared" ref="A46:A50" si="12">A45+1</f>
        <v>23</v>
      </c>
      <c r="B46" s="12"/>
      <c r="C46" s="12" t="str">
        <f t="shared" si="11"/>
        <v>Plant Regulators - LP Program</v>
      </c>
      <c r="D46" s="182">
        <f t="shared" si="11"/>
        <v>378</v>
      </c>
      <c r="F46" s="186">
        <f>'202207 Bk Depr Form 2.7'!R46</f>
        <v>10279.780000000001</v>
      </c>
      <c r="J46" s="188"/>
      <c r="L46" s="189">
        <f>'Cap Ex 2021 Form 2.13'!K42</f>
        <v>0</v>
      </c>
      <c r="N46" s="188"/>
      <c r="P46" s="188"/>
      <c r="R46" s="188">
        <f t="shared" ref="R46:R49" si="13">L46+F46</f>
        <v>10279.780000000001</v>
      </c>
    </row>
    <row r="47" spans="1:18">
      <c r="A47" s="182">
        <f t="shared" si="12"/>
        <v>24</v>
      </c>
      <c r="B47" s="12"/>
      <c r="C47" s="12" t="str">
        <f t="shared" si="11"/>
        <v>Service Lines</v>
      </c>
      <c r="D47" s="182">
        <f t="shared" si="11"/>
        <v>380</v>
      </c>
      <c r="F47" s="186">
        <f>'202207 Bk Depr Form 2.7'!R47</f>
        <v>6609127.010366288</v>
      </c>
      <c r="J47" s="188"/>
      <c r="L47" s="189">
        <f>'Cap Ex 2021 Form 2.13'!K43</f>
        <v>100327.11296107764</v>
      </c>
      <c r="N47" s="188"/>
      <c r="P47" s="188"/>
      <c r="R47" s="188">
        <f t="shared" si="13"/>
        <v>6709454.1233273661</v>
      </c>
    </row>
    <row r="48" spans="1:18">
      <c r="A48" s="182">
        <f t="shared" si="12"/>
        <v>25</v>
      </c>
      <c r="B48" s="12"/>
      <c r="C48" s="12" t="str">
        <f t="shared" si="11"/>
        <v>Meter Installations</v>
      </c>
      <c r="D48" s="182">
        <f t="shared" si="11"/>
        <v>382</v>
      </c>
      <c r="F48" s="186">
        <f>'202207 Bk Depr Form 2.7'!R48</f>
        <v>953.67790205135339</v>
      </c>
      <c r="J48" s="188"/>
      <c r="L48" s="189">
        <f>'Cap Ex 2021 Form 2.13'!K44</f>
        <v>63.579232435938195</v>
      </c>
      <c r="N48" s="188"/>
      <c r="P48" s="188"/>
      <c r="R48" s="188">
        <f t="shared" si="13"/>
        <v>1017.2571344872915</v>
      </c>
    </row>
    <row r="49" spans="1:18" s="193" customFormat="1">
      <c r="A49" s="182">
        <f t="shared" si="12"/>
        <v>26</v>
      </c>
      <c r="C49" s="12" t="str">
        <f t="shared" si="11"/>
        <v>House Regulators</v>
      </c>
      <c r="D49" s="182">
        <f t="shared" si="11"/>
        <v>383</v>
      </c>
      <c r="E49" s="194"/>
      <c r="F49" s="186">
        <f>'202207 Bk Depr Form 2.7'!R49</f>
        <v>98.131864952089728</v>
      </c>
      <c r="G49" s="194"/>
      <c r="I49" s="194"/>
      <c r="J49" s="186"/>
      <c r="K49" s="194"/>
      <c r="L49" s="189">
        <f>'Cap Ex 2021 Form 2.13'!K45</f>
        <v>6.4482454841526504</v>
      </c>
      <c r="M49" s="194"/>
      <c r="N49" s="186"/>
      <c r="O49" s="194"/>
      <c r="P49" s="186"/>
      <c r="Q49" s="194"/>
      <c r="R49" s="188">
        <f t="shared" si="13"/>
        <v>104.58011043624238</v>
      </c>
    </row>
    <row r="50" spans="1:18">
      <c r="A50" s="182">
        <f t="shared" si="12"/>
        <v>27</v>
      </c>
      <c r="B50" s="12"/>
      <c r="C50" s="12" t="str">
        <f t="shared" si="11"/>
        <v>GPS Devices</v>
      </c>
      <c r="D50" s="182">
        <f t="shared" si="11"/>
        <v>387</v>
      </c>
      <c r="F50" s="191">
        <f>'202207 Bk Depr Form 2.7'!R50</f>
        <v>0</v>
      </c>
      <c r="J50" s="188"/>
      <c r="L50" s="189">
        <f>'Cap Ex 2021 Form 2.13'!K46</f>
        <v>0</v>
      </c>
      <c r="N50" s="188"/>
      <c r="P50" s="188"/>
      <c r="R50" s="188">
        <f>L50+F50</f>
        <v>0</v>
      </c>
    </row>
    <row r="51" spans="1:18">
      <c r="A51" s="182">
        <f>A50+1</f>
        <v>28</v>
      </c>
      <c r="B51" s="12"/>
      <c r="C51" s="12" t="s">
        <v>23</v>
      </c>
      <c r="F51" s="192">
        <f>SUM(F43:F50)</f>
        <v>8128094.9575823313</v>
      </c>
      <c r="J51" s="192">
        <f>SUM(J43:J50)</f>
        <v>0</v>
      </c>
      <c r="L51" s="192">
        <f>SUM(L43:L50)</f>
        <v>141407.02950371077</v>
      </c>
      <c r="N51" s="192">
        <f>SUM(N43:N50)</f>
        <v>0</v>
      </c>
      <c r="P51" s="192">
        <f>SUM(P43:P50)</f>
        <v>0</v>
      </c>
      <c r="R51" s="192">
        <f>SUM(R43:R50)</f>
        <v>8269501.9870860418</v>
      </c>
    </row>
    <row r="53" spans="1:18">
      <c r="A53" s="182">
        <v>29</v>
      </c>
      <c r="C53" s="12" t="s">
        <v>276</v>
      </c>
      <c r="J53" s="219">
        <f>+J19+J20+J23+J31+J34+J30</f>
        <v>279012.05304569053</v>
      </c>
      <c r="N53" s="219">
        <f>+N19+N20+N23+N31+N34+N30</f>
        <v>2811.5804775776069</v>
      </c>
      <c r="P53" s="219">
        <f>+J53+N53</f>
        <v>281823.63352326816</v>
      </c>
    </row>
    <row r="54" spans="1:18">
      <c r="A54" s="182">
        <v>30</v>
      </c>
      <c r="C54" s="12" t="s">
        <v>277</v>
      </c>
      <c r="J54" s="219">
        <f>+J40-J53</f>
        <v>10838.453880427929</v>
      </c>
      <c r="N54" s="219">
        <f>+N40-N53</f>
        <v>79.519240532561071</v>
      </c>
      <c r="P54" s="219">
        <f>+P40-P53</f>
        <v>10917.973120960465</v>
      </c>
    </row>
  </sheetData>
  <pageMargins left="0.7" right="0.7" top="0.75" bottom="0.75" header="0.3" footer="0.3"/>
  <pageSetup scale="73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23">
    <tabColor rgb="FF00B050"/>
    <pageSetUpPr fitToPage="1"/>
  </sheetPr>
  <dimension ref="A1:R54"/>
  <sheetViews>
    <sheetView zoomScaleNormal="100" workbookViewId="0">
      <selection activeCell="F36" sqref="F36"/>
    </sheetView>
  </sheetViews>
  <sheetFormatPr defaultColWidth="9.3984375" defaultRowHeight="12.75"/>
  <cols>
    <col min="1" max="1" width="5.3984375" style="182" customWidth="1"/>
    <col min="2" max="2" width="2.59765625" style="182" customWidth="1"/>
    <col min="3" max="3" width="28.1328125" style="12" bestFit="1" customWidth="1"/>
    <col min="4" max="4" width="9.3984375" style="182"/>
    <col min="5" max="5" width="1.3984375" style="182" customWidth="1"/>
    <col min="6" max="6" width="15.59765625" style="12" customWidth="1"/>
    <col min="7" max="7" width="1.3984375" style="182" customWidth="1"/>
    <col min="8" max="8" width="9.59765625" style="12" customWidth="1"/>
    <col min="9" max="9" width="1.3984375" style="182" customWidth="1"/>
    <col min="10" max="10" width="12.59765625" style="12" bestFit="1" customWidth="1"/>
    <col min="11" max="11" width="1.3984375" style="182" customWidth="1"/>
    <col min="12" max="12" width="14.59765625" style="12" bestFit="1" customWidth="1"/>
    <col min="13" max="13" width="1.3984375" style="182" customWidth="1"/>
    <col min="14" max="14" width="16.59765625" style="12" customWidth="1"/>
    <col min="15" max="15" width="1.3984375" style="182" customWidth="1"/>
    <col min="16" max="16" width="16" style="12" bestFit="1" customWidth="1"/>
    <col min="17" max="17" width="1.3984375" style="182" customWidth="1"/>
    <col min="18" max="18" width="15.59765625" style="12" customWidth="1"/>
    <col min="19" max="16384" width="9.3984375" style="12"/>
  </cols>
  <sheetData>
    <row r="1" spans="1:18" ht="13.15">
      <c r="R1" s="220" t="s">
        <v>278</v>
      </c>
    </row>
    <row r="2" spans="1:18" ht="13.15">
      <c r="R2" s="220" t="s">
        <v>279</v>
      </c>
    </row>
    <row r="3" spans="1:18" ht="13.15">
      <c r="R3" s="220" t="s">
        <v>280</v>
      </c>
    </row>
    <row r="4" spans="1:18" ht="13.15">
      <c r="R4" s="220" t="s">
        <v>288</v>
      </c>
    </row>
    <row r="6" spans="1:18" ht="13.15">
      <c r="R6" s="65" t="s">
        <v>246</v>
      </c>
    </row>
    <row r="7" spans="1:18" ht="13.15">
      <c r="A7" s="176" t="str">
        <f>'202208 Bk Depr Form 2.8'!A7</f>
        <v>COLUMBIA GAS OF KENTUCKY, INC.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</row>
    <row r="8" spans="1:18" s="13" customFormat="1" ht="13.15">
      <c r="A8" s="177" t="str">
        <f>'202208 Bk Depr Form 2.8'!A8</f>
        <v>ANNUAL ADJUSTMENT TO THE SAFETY MODIFICATION AND REPLACEMENT PROGRAM ("SMRP")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</row>
    <row r="9" spans="1:18" ht="13.15">
      <c r="A9" s="176" t="s">
        <v>261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</row>
    <row r="10" spans="1:18" ht="13.15">
      <c r="A10" s="179"/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</row>
    <row r="11" spans="1:18" ht="13.15">
      <c r="A11" s="180"/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</row>
    <row r="12" spans="1:18" ht="13.15">
      <c r="C12" s="181"/>
      <c r="D12" s="181"/>
      <c r="E12" s="181"/>
      <c r="F12" s="181" t="s">
        <v>68</v>
      </c>
      <c r="G12" s="181"/>
      <c r="H12" s="181"/>
      <c r="I12" s="181"/>
      <c r="J12" s="181" t="s">
        <v>68</v>
      </c>
      <c r="K12" s="181"/>
      <c r="L12" s="181" t="s">
        <v>68</v>
      </c>
      <c r="M12" s="181"/>
      <c r="N12" s="181"/>
      <c r="O12" s="181"/>
      <c r="P12" s="181"/>
      <c r="Q12" s="181"/>
      <c r="R12" s="181" t="s">
        <v>68</v>
      </c>
    </row>
    <row r="13" spans="1:18" ht="13.15">
      <c r="C13" s="181"/>
      <c r="D13" s="181"/>
      <c r="E13" s="181"/>
      <c r="F13" s="181" t="s">
        <v>8</v>
      </c>
      <c r="G13" s="181"/>
      <c r="H13" s="181" t="s">
        <v>73</v>
      </c>
      <c r="I13" s="181"/>
      <c r="J13" s="181" t="s">
        <v>11</v>
      </c>
      <c r="K13" s="181"/>
      <c r="L13" s="181" t="s">
        <v>20</v>
      </c>
      <c r="M13" s="181"/>
      <c r="N13" s="181" t="s">
        <v>60</v>
      </c>
      <c r="O13" s="181"/>
      <c r="P13" s="181" t="s">
        <v>60</v>
      </c>
      <c r="Q13" s="181"/>
      <c r="R13" s="181" t="s">
        <v>14</v>
      </c>
    </row>
    <row r="14" spans="1:18" ht="13.15">
      <c r="A14" s="181" t="s">
        <v>4</v>
      </c>
      <c r="B14" s="181"/>
      <c r="C14" s="181"/>
      <c r="D14" s="181" t="s">
        <v>7</v>
      </c>
      <c r="E14" s="181"/>
      <c r="F14" s="181" t="s">
        <v>1</v>
      </c>
      <c r="G14" s="181"/>
      <c r="H14" s="181" t="s">
        <v>10</v>
      </c>
      <c r="I14" s="181"/>
      <c r="J14" s="181" t="s">
        <v>8</v>
      </c>
      <c r="K14" s="181"/>
      <c r="L14" s="181" t="s">
        <v>42</v>
      </c>
      <c r="M14" s="181"/>
      <c r="N14" s="181" t="s">
        <v>11</v>
      </c>
      <c r="O14" s="181"/>
      <c r="P14" s="181" t="s">
        <v>28</v>
      </c>
      <c r="Q14" s="181"/>
      <c r="R14" s="181" t="s">
        <v>1</v>
      </c>
    </row>
    <row r="15" spans="1:18" ht="13.15">
      <c r="A15" s="183" t="s">
        <v>5</v>
      </c>
      <c r="B15" s="183"/>
      <c r="C15" s="183" t="s">
        <v>6</v>
      </c>
      <c r="D15" s="183" t="s">
        <v>5</v>
      </c>
      <c r="E15" s="183"/>
      <c r="F15" s="183" t="s">
        <v>9</v>
      </c>
      <c r="G15" s="183"/>
      <c r="H15" s="183" t="s">
        <v>2</v>
      </c>
      <c r="I15" s="183"/>
      <c r="J15" s="183" t="s">
        <v>9</v>
      </c>
      <c r="K15" s="183"/>
      <c r="L15" s="183" t="s">
        <v>12</v>
      </c>
      <c r="M15" s="183"/>
      <c r="N15" s="183" t="s">
        <v>13</v>
      </c>
      <c r="O15" s="183"/>
      <c r="P15" s="183" t="s">
        <v>0</v>
      </c>
      <c r="Q15" s="183"/>
      <c r="R15" s="183" t="s">
        <v>9</v>
      </c>
    </row>
    <row r="16" spans="1:18" s="1" customFormat="1" ht="13.15">
      <c r="A16" s="181"/>
      <c r="B16" s="181"/>
      <c r="C16" s="184">
        <v>-1</v>
      </c>
      <c r="D16" s="184">
        <v>-2</v>
      </c>
      <c r="E16" s="184"/>
      <c r="F16" s="184">
        <v>-3</v>
      </c>
      <c r="G16" s="184"/>
      <c r="H16" s="184">
        <v>-4</v>
      </c>
      <c r="I16" s="184"/>
      <c r="J16" s="184" t="s">
        <v>15</v>
      </c>
      <c r="K16" s="184"/>
      <c r="L16" s="184">
        <v>-6</v>
      </c>
      <c r="M16" s="184"/>
      <c r="N16" s="184" t="s">
        <v>16</v>
      </c>
      <c r="O16" s="184"/>
      <c r="P16" s="184" t="s">
        <v>61</v>
      </c>
      <c r="Q16" s="184"/>
      <c r="R16" s="184" t="s">
        <v>17</v>
      </c>
    </row>
    <row r="18" spans="1:18" ht="13.15">
      <c r="B18" s="185" t="s">
        <v>20</v>
      </c>
      <c r="C18" s="185"/>
    </row>
    <row r="19" spans="1:18">
      <c r="A19" s="182">
        <v>1</v>
      </c>
      <c r="B19" s="12"/>
      <c r="C19" s="12" t="s">
        <v>90</v>
      </c>
      <c r="D19" s="182">
        <v>376</v>
      </c>
      <c r="F19" s="186">
        <f>'202208 Bk Depr Form 2.8'!R19</f>
        <v>123739064.96371844</v>
      </c>
      <c r="H19" s="187">
        <f>+'202208 Bk Depr Form 2.8'!H19</f>
        <v>1.4833333333333332E-3</v>
      </c>
      <c r="J19" s="188">
        <f>F19*H19</f>
        <v>183546.27969618235</v>
      </c>
      <c r="L19" s="189">
        <f>'Cap Ex 2021 Form 2.13'!L17</f>
        <v>2062977.2679058742</v>
      </c>
      <c r="N19" s="188">
        <f>H19*L19*0.5</f>
        <v>1530.0414736968567</v>
      </c>
      <c r="P19" s="188">
        <f>J19+N19</f>
        <v>185076.3211698792</v>
      </c>
      <c r="R19" s="188">
        <f>L19+F19</f>
        <v>125802042.23162432</v>
      </c>
    </row>
    <row r="20" spans="1:18">
      <c r="A20" s="182">
        <f t="shared" ref="A20:A26" si="0">A19+1</f>
        <v>2</v>
      </c>
      <c r="B20" s="12"/>
      <c r="C20" s="12" t="s">
        <v>91</v>
      </c>
      <c r="D20" s="182">
        <v>376</v>
      </c>
      <c r="F20" s="186">
        <f>'202208 Bk Depr Form 2.8'!R20</f>
        <v>0</v>
      </c>
      <c r="H20" s="187">
        <f>+'202208 Bk Depr Form 2.8'!H20</f>
        <v>1.4833333333333332E-3</v>
      </c>
      <c r="J20" s="188">
        <f t="shared" ref="J20:J23" si="1">F20*H20</f>
        <v>0</v>
      </c>
      <c r="L20" s="189">
        <f>'Cap Ex 2021 Form 2.13'!L18</f>
        <v>0</v>
      </c>
      <c r="N20" s="188">
        <f t="shared" ref="N20:N24" si="2">H20*L20*0.5</f>
        <v>0</v>
      </c>
      <c r="P20" s="188">
        <f t="shared" ref="P20:P23" si="3">J20+N20</f>
        <v>0</v>
      </c>
      <c r="R20" s="188">
        <f t="shared" ref="R20:R23" si="4">L20+F20</f>
        <v>0</v>
      </c>
    </row>
    <row r="21" spans="1:18">
      <c r="A21" s="182">
        <f t="shared" si="0"/>
        <v>3</v>
      </c>
      <c r="B21" s="12"/>
      <c r="C21" s="12" t="s">
        <v>92</v>
      </c>
      <c r="D21" s="182">
        <v>378</v>
      </c>
      <c r="F21" s="186">
        <f>'202208 Bk Depr Form 2.8'!R21</f>
        <v>1619692.0399356741</v>
      </c>
      <c r="H21" s="187">
        <f>+'202208 Bk Depr Form 2.8'!H21</f>
        <v>2.0916666666666666E-3</v>
      </c>
      <c r="J21" s="188">
        <f t="shared" si="1"/>
        <v>3387.855850198785</v>
      </c>
      <c r="L21" s="189">
        <f>'Cap Ex 2021 Form 2.13'!L19</f>
        <v>59711.725204204864</v>
      </c>
      <c r="N21" s="188">
        <f t="shared" si="2"/>
        <v>62.448512609397582</v>
      </c>
      <c r="P21" s="188">
        <f t="shared" si="3"/>
        <v>3450.3043628081828</v>
      </c>
      <c r="R21" s="188">
        <f t="shared" si="4"/>
        <v>1679403.765139879</v>
      </c>
    </row>
    <row r="22" spans="1:18">
      <c r="A22" s="182">
        <f t="shared" si="0"/>
        <v>4</v>
      </c>
      <c r="B22" s="12"/>
      <c r="C22" s="12" t="s">
        <v>93</v>
      </c>
      <c r="D22" s="182">
        <v>378</v>
      </c>
      <c r="F22" s="186">
        <f>'202208 Bk Depr Form 2.8'!R22</f>
        <v>3348545.4100000006</v>
      </c>
      <c r="H22" s="187">
        <f>+'202208 Bk Depr Form 2.8'!H22</f>
        <v>2.0916666666666666E-3</v>
      </c>
      <c r="J22" s="188">
        <f t="shared" si="1"/>
        <v>7004.0408159166673</v>
      </c>
      <c r="L22" s="189">
        <f>'Cap Ex 2021 Form 2.13'!L20</f>
        <v>0</v>
      </c>
      <c r="N22" s="188">
        <f t="shared" si="2"/>
        <v>0</v>
      </c>
      <c r="P22" s="188">
        <f t="shared" si="3"/>
        <v>7004.0408159166673</v>
      </c>
      <c r="R22" s="188">
        <f t="shared" si="4"/>
        <v>3348545.4100000006</v>
      </c>
    </row>
    <row r="23" spans="1:18">
      <c r="A23" s="182">
        <f t="shared" si="0"/>
        <v>5</v>
      </c>
      <c r="B23" s="12"/>
      <c r="C23" s="12" t="s">
        <v>94</v>
      </c>
      <c r="D23" s="182">
        <v>380</v>
      </c>
      <c r="F23" s="186">
        <f>'202208 Bk Depr Form 2.8'!R23</f>
        <v>45229632.111866035</v>
      </c>
      <c r="H23" s="187">
        <f>+'202208 Bk Depr Form 2.8'!H23</f>
        <v>3.316666666666667E-3</v>
      </c>
      <c r="J23" s="188">
        <f t="shared" si="1"/>
        <v>150011.61317102236</v>
      </c>
      <c r="L23" s="189">
        <f>'Cap Ex 2021 Form 2.13'!L21</f>
        <v>523912.46696652239</v>
      </c>
      <c r="N23" s="188">
        <f t="shared" si="2"/>
        <v>868.82150771948307</v>
      </c>
      <c r="P23" s="188">
        <f t="shared" si="3"/>
        <v>150880.43467874185</v>
      </c>
      <c r="R23" s="188">
        <f t="shared" si="4"/>
        <v>45753544.578832559</v>
      </c>
    </row>
    <row r="24" spans="1:18">
      <c r="A24" s="182">
        <f t="shared" si="0"/>
        <v>6</v>
      </c>
      <c r="B24" s="12"/>
      <c r="C24" s="12" t="s">
        <v>95</v>
      </c>
      <c r="D24" s="182">
        <v>382</v>
      </c>
      <c r="F24" s="186">
        <f>'202208 Bk Depr Form 2.8'!R24</f>
        <v>293959.26424901932</v>
      </c>
      <c r="H24" s="187">
        <f>+'202208 Bk Depr Form 2.8'!H24</f>
        <v>1.475E-3</v>
      </c>
      <c r="J24" s="188">
        <f>F24*H24</f>
        <v>433.58991476730347</v>
      </c>
      <c r="L24" s="189">
        <f>'Cap Ex 2021 Form 2.13'!L22</f>
        <v>3537.345158859951</v>
      </c>
      <c r="N24" s="188">
        <f t="shared" si="2"/>
        <v>2.6087920546592138</v>
      </c>
      <c r="P24" s="188">
        <f>J24+N24</f>
        <v>436.19870682196267</v>
      </c>
      <c r="R24" s="188">
        <f>L24+F24</f>
        <v>297496.6094078793</v>
      </c>
    </row>
    <row r="25" spans="1:18">
      <c r="A25" s="182">
        <f t="shared" si="0"/>
        <v>7</v>
      </c>
      <c r="B25" s="12"/>
      <c r="C25" s="190" t="s">
        <v>96</v>
      </c>
      <c r="D25" s="182">
        <v>383</v>
      </c>
      <c r="F25" s="186">
        <f>'202208 Bk Depr Form 2.8'!R25</f>
        <v>356225.53855728911</v>
      </c>
      <c r="H25" s="187">
        <f>+'202208 Bk Depr Form 2.8'!H25</f>
        <v>1.6333333333333332E-3</v>
      </c>
      <c r="J25" s="188">
        <f>F25*H25</f>
        <v>581.83504631023879</v>
      </c>
      <c r="L25" s="189">
        <f>'Cap Ex 2021 Form 2.13'!L23</f>
        <v>4632.7965655478911</v>
      </c>
      <c r="N25" s="188">
        <f>H25*L25*0.5</f>
        <v>3.7834505285307776</v>
      </c>
      <c r="P25" s="188">
        <f>J25+N25</f>
        <v>585.6184968387696</v>
      </c>
      <c r="R25" s="188">
        <f>L25+F25</f>
        <v>360858.33512283699</v>
      </c>
    </row>
    <row r="26" spans="1:18">
      <c r="A26" s="182">
        <f t="shared" si="0"/>
        <v>8</v>
      </c>
      <c r="B26" s="12"/>
      <c r="C26" s="12" t="s">
        <v>97</v>
      </c>
      <c r="D26" s="182">
        <v>387</v>
      </c>
      <c r="F26" s="191">
        <f>'202208 Bk Depr Form 2.8'!R26</f>
        <v>213381</v>
      </c>
      <c r="H26" s="187">
        <f>+'202208 Bk Depr Form 2.8'!H26</f>
        <v>2.6583333333333333E-3</v>
      </c>
      <c r="J26" s="188">
        <f>F26*H26</f>
        <v>567.23782500000004</v>
      </c>
      <c r="L26" s="189">
        <f>'Cap Ex 2021 Form 2.13'!L24</f>
        <v>0</v>
      </c>
      <c r="N26" s="188">
        <f>H26*L26*0.5</f>
        <v>0</v>
      </c>
      <c r="P26" s="188">
        <f>J26+N26</f>
        <v>567.23782500000004</v>
      </c>
      <c r="R26" s="188">
        <f>L26+F26</f>
        <v>213381</v>
      </c>
    </row>
    <row r="27" spans="1:18">
      <c r="A27" s="182">
        <f>A26+1</f>
        <v>9</v>
      </c>
      <c r="B27" s="12"/>
      <c r="C27" s="12" t="s">
        <v>21</v>
      </c>
      <c r="F27" s="192">
        <f>SUM(F19:F26)</f>
        <v>174800500.32832646</v>
      </c>
      <c r="J27" s="192">
        <f>SUM(J19:J26)</f>
        <v>345532.45231939765</v>
      </c>
      <c r="L27" s="192">
        <f>SUM(L19:L26)</f>
        <v>2654771.6018010094</v>
      </c>
      <c r="N27" s="192">
        <f>SUM(N19:N26)</f>
        <v>2467.7037366089276</v>
      </c>
      <c r="P27" s="192">
        <f>SUM(P19:P26)</f>
        <v>348000.15605600661</v>
      </c>
      <c r="R27" s="192">
        <f>SUM(R19:R26)</f>
        <v>177455271.93012744</v>
      </c>
    </row>
    <row r="28" spans="1:18">
      <c r="B28" s="12"/>
    </row>
    <row r="29" spans="1:18" ht="13.15">
      <c r="B29" s="185" t="s">
        <v>12</v>
      </c>
      <c r="C29" s="185"/>
    </row>
    <row r="30" spans="1:18">
      <c r="A30" s="182">
        <f>A27+1</f>
        <v>10</v>
      </c>
      <c r="B30" s="12"/>
      <c r="C30" s="12" t="str">
        <f>C19</f>
        <v>Mains</v>
      </c>
      <c r="D30" s="182">
        <f>D19</f>
        <v>376</v>
      </c>
      <c r="F30" s="186">
        <f>'202208 Bk Depr Form 2.8'!R30</f>
        <v>-12037341.516923077</v>
      </c>
      <c r="H30" s="187">
        <f>+'202208 Bk Depr Form 2.8'!H30</f>
        <v>1.4833333333333332E-3</v>
      </c>
      <c r="J30" s="188">
        <f>F30*H30</f>
        <v>-17855.389916769229</v>
      </c>
      <c r="L30" s="189">
        <f>'Cap Ex 2021 Form 2.13'!L27</f>
        <v>-446809</v>
      </c>
      <c r="N30" s="188">
        <f>H30*L30*0.5</f>
        <v>-331.38334166666664</v>
      </c>
      <c r="P30" s="188">
        <f>J30+N30</f>
        <v>-18186.773258435896</v>
      </c>
      <c r="R30" s="188">
        <f>L30+F30</f>
        <v>-12484150.516923077</v>
      </c>
    </row>
    <row r="31" spans="1:18">
      <c r="A31" s="182">
        <f>A30+1</f>
        <v>11</v>
      </c>
      <c r="B31" s="12"/>
      <c r="C31" s="12" t="str">
        <f t="shared" ref="C31:D37" si="5">C20</f>
        <v>Mains - In-Line Inspections</v>
      </c>
      <c r="D31" s="182">
        <f t="shared" si="5"/>
        <v>376</v>
      </c>
      <c r="F31" s="186">
        <f>'202208 Bk Depr Form 2.8'!R31</f>
        <v>0</v>
      </c>
      <c r="H31" s="187">
        <f>+'202208 Bk Depr Form 2.8'!H31</f>
        <v>1.4833333333333332E-3</v>
      </c>
      <c r="J31" s="188">
        <f>F31*H31</f>
        <v>0</v>
      </c>
      <c r="L31" s="189">
        <f>'Cap Ex 2021 Form 2.13'!L28</f>
        <v>0</v>
      </c>
      <c r="N31" s="188">
        <f>H31*L31*0.5</f>
        <v>0</v>
      </c>
      <c r="P31" s="188">
        <f>J31+N31</f>
        <v>0</v>
      </c>
      <c r="R31" s="188">
        <f>L31+F31</f>
        <v>0</v>
      </c>
    </row>
    <row r="32" spans="1:18">
      <c r="A32" s="182">
        <f>A31+1</f>
        <v>12</v>
      </c>
      <c r="B32" s="12"/>
      <c r="C32" s="12" t="str">
        <f t="shared" si="5"/>
        <v>Plant Regulators</v>
      </c>
      <c r="D32" s="182">
        <f t="shared" si="5"/>
        <v>378</v>
      </c>
      <c r="F32" s="186">
        <f>'202208 Bk Depr Form 2.8'!R32</f>
        <v>-197157.3</v>
      </c>
      <c r="H32" s="187">
        <f>+'202208 Bk Depr Form 2.8'!H32</f>
        <v>2.0916666666666666E-3</v>
      </c>
      <c r="J32" s="188">
        <f t="shared" ref="J32:J37" si="6">F32*H32</f>
        <v>-412.38735249999996</v>
      </c>
      <c r="L32" s="189">
        <f>'Cap Ex 2021 Form 2.13'!L29</f>
        <v>-12030</v>
      </c>
      <c r="N32" s="188">
        <f t="shared" ref="N32:N37" si="7">H32*L32*0.5</f>
        <v>-12.581375</v>
      </c>
      <c r="P32" s="188">
        <f t="shared" ref="P32:P37" si="8">J32+N32</f>
        <v>-424.96872749999994</v>
      </c>
      <c r="R32" s="188">
        <f t="shared" ref="R32:R37" si="9">L32+F32</f>
        <v>-209187.3</v>
      </c>
    </row>
    <row r="33" spans="1:18">
      <c r="A33" s="182">
        <f t="shared" ref="A33:A36" si="10">A32+1</f>
        <v>13</v>
      </c>
      <c r="B33" s="12"/>
      <c r="C33" s="12" t="str">
        <f t="shared" si="5"/>
        <v>Plant Regulators - LP Program</v>
      </c>
      <c r="D33" s="182">
        <f t="shared" si="5"/>
        <v>378</v>
      </c>
      <c r="F33" s="186">
        <f>'202208 Bk Depr Form 2.8'!R33</f>
        <v>-194723.07</v>
      </c>
      <c r="H33" s="187">
        <f>+'202208 Bk Depr Form 2.8'!H33</f>
        <v>2.0916666666666666E-3</v>
      </c>
      <c r="J33" s="188">
        <f t="shared" si="6"/>
        <v>-407.29575475000001</v>
      </c>
      <c r="L33" s="189">
        <f>'Cap Ex 2021 Form 2.13'!L30</f>
        <v>0</v>
      </c>
      <c r="N33" s="188">
        <f t="shared" si="7"/>
        <v>0</v>
      </c>
      <c r="P33" s="188">
        <f t="shared" si="8"/>
        <v>-407.29575475000001</v>
      </c>
      <c r="R33" s="188">
        <f t="shared" si="9"/>
        <v>-194723.07</v>
      </c>
    </row>
    <row r="34" spans="1:18">
      <c r="A34" s="182">
        <f t="shared" si="10"/>
        <v>14</v>
      </c>
      <c r="B34" s="12"/>
      <c r="C34" s="12" t="str">
        <f t="shared" si="5"/>
        <v>Service Lines</v>
      </c>
      <c r="D34" s="182">
        <f t="shared" si="5"/>
        <v>380</v>
      </c>
      <c r="F34" s="186">
        <f>'202208 Bk Depr Form 2.8'!R34</f>
        <v>-9367021.7938461546</v>
      </c>
      <c r="H34" s="187">
        <f>+'202208 Bk Depr Form 2.8'!H34</f>
        <v>3.316666666666667E-3</v>
      </c>
      <c r="J34" s="188">
        <f t="shared" si="6"/>
        <v>-31067.288949589751</v>
      </c>
      <c r="L34" s="189">
        <f>'Cap Ex 2021 Form 2.13'!L31</f>
        <v>-84444</v>
      </c>
      <c r="N34" s="188">
        <f t="shared" si="7"/>
        <v>-140.03630000000001</v>
      </c>
      <c r="P34" s="188">
        <f t="shared" si="8"/>
        <v>-31207.32524958975</v>
      </c>
      <c r="R34" s="188">
        <f t="shared" si="9"/>
        <v>-9451465.7938461546</v>
      </c>
    </row>
    <row r="35" spans="1:18">
      <c r="A35" s="182">
        <f t="shared" si="10"/>
        <v>15</v>
      </c>
      <c r="B35" s="12"/>
      <c r="C35" s="12" t="str">
        <f t="shared" si="5"/>
        <v>Meter Installations</v>
      </c>
      <c r="D35" s="182">
        <f t="shared" si="5"/>
        <v>382</v>
      </c>
      <c r="F35" s="186">
        <f>'202208 Bk Depr Form 2.8'!R35</f>
        <v>-82100.182000000001</v>
      </c>
      <c r="H35" s="187">
        <f>+'202208 Bk Depr Form 2.8'!H35</f>
        <v>1.475E-3</v>
      </c>
      <c r="J35" s="188">
        <f t="shared" si="6"/>
        <v>-121.09776845</v>
      </c>
      <c r="L35" s="189">
        <f>'Cap Ex 2021 Form 2.13'!L32</f>
        <v>-713</v>
      </c>
      <c r="N35" s="188">
        <f t="shared" si="7"/>
        <v>-0.52583749999999996</v>
      </c>
      <c r="P35" s="188">
        <f t="shared" si="8"/>
        <v>-121.62360595</v>
      </c>
      <c r="R35" s="188">
        <f t="shared" si="9"/>
        <v>-82813.182000000001</v>
      </c>
    </row>
    <row r="36" spans="1:18" s="193" customFormat="1">
      <c r="A36" s="182">
        <f t="shared" si="10"/>
        <v>16</v>
      </c>
      <c r="C36" s="12" t="str">
        <f t="shared" si="5"/>
        <v>House Regulators</v>
      </c>
      <c r="D36" s="182">
        <f t="shared" si="5"/>
        <v>383</v>
      </c>
      <c r="E36" s="194"/>
      <c r="F36" s="186">
        <f>'202208 Bk Depr Form 2.8'!R36</f>
        <v>-22216.050000000003</v>
      </c>
      <c r="G36" s="194"/>
      <c r="H36" s="187">
        <f>+'202208 Bk Depr Form 2.8'!H36</f>
        <v>1.6333333333333332E-3</v>
      </c>
      <c r="I36" s="194"/>
      <c r="J36" s="186">
        <f t="shared" si="6"/>
        <v>-36.286214999999999</v>
      </c>
      <c r="K36" s="194"/>
      <c r="L36" s="189">
        <f>'Cap Ex 2021 Form 2.13'!L33</f>
        <v>-933</v>
      </c>
      <c r="M36" s="194"/>
      <c r="N36" s="186">
        <f t="shared" si="7"/>
        <v>-0.76194999999999991</v>
      </c>
      <c r="O36" s="194"/>
      <c r="P36" s="186">
        <f t="shared" si="8"/>
        <v>-37.048164999999997</v>
      </c>
      <c r="Q36" s="194"/>
      <c r="R36" s="186">
        <f t="shared" si="9"/>
        <v>-23149.050000000003</v>
      </c>
    </row>
    <row r="37" spans="1:18">
      <c r="A37" s="182">
        <f>A36+1</f>
        <v>17</v>
      </c>
      <c r="B37" s="12"/>
      <c r="C37" s="12" t="str">
        <f t="shared" si="5"/>
        <v>GPS Devices</v>
      </c>
      <c r="D37" s="182">
        <f t="shared" si="5"/>
        <v>387</v>
      </c>
      <c r="F37" s="191">
        <f>'202208 Bk Depr Form 2.8'!R37</f>
        <v>0</v>
      </c>
      <c r="H37" s="187">
        <f>+'202208 Bk Depr Form 2.8'!H37</f>
        <v>2.6583333333333333E-3</v>
      </c>
      <c r="J37" s="188">
        <f t="shared" si="6"/>
        <v>0</v>
      </c>
      <c r="L37" s="195">
        <f>'Cap Ex 2021 Form 2.13'!L34</f>
        <v>0</v>
      </c>
      <c r="N37" s="188">
        <f t="shared" si="7"/>
        <v>0</v>
      </c>
      <c r="P37" s="188">
        <f t="shared" si="8"/>
        <v>0</v>
      </c>
      <c r="R37" s="188">
        <f t="shared" si="9"/>
        <v>0</v>
      </c>
    </row>
    <row r="38" spans="1:18">
      <c r="A38" s="182">
        <f>A37+1</f>
        <v>18</v>
      </c>
      <c r="B38" s="12"/>
      <c r="C38" s="12" t="s">
        <v>22</v>
      </c>
      <c r="F38" s="192">
        <f>SUM(F30:F37)</f>
        <v>-21900559.912769236</v>
      </c>
      <c r="J38" s="192">
        <f>SUM(J30:J37)</f>
        <v>-49899.745957058985</v>
      </c>
      <c r="L38" s="192">
        <f>SUM(L30:L37)</f>
        <v>-544929</v>
      </c>
      <c r="N38" s="192">
        <f>SUM(N30:N37)</f>
        <v>-485.28880416666664</v>
      </c>
      <c r="P38" s="192">
        <f>SUM(P30:P37)</f>
        <v>-50385.034761225652</v>
      </c>
      <c r="R38" s="192">
        <f>SUM(R30:R37)</f>
        <v>-22445488.912769236</v>
      </c>
    </row>
    <row r="39" spans="1:18">
      <c r="B39" s="12"/>
    </row>
    <row r="40" spans="1:18" s="199" customFormat="1" ht="13.5" thickBot="1">
      <c r="A40" s="196">
        <f>A38+1</f>
        <v>19</v>
      </c>
      <c r="B40" s="197" t="s">
        <v>18</v>
      </c>
      <c r="C40" s="197"/>
      <c r="D40" s="196"/>
      <c r="E40" s="196"/>
      <c r="F40" s="198">
        <f>F27+F38</f>
        <v>152899940.41555724</v>
      </c>
      <c r="G40" s="196"/>
      <c r="I40" s="196"/>
      <c r="J40" s="198">
        <f>J27+J38</f>
        <v>295632.70636233868</v>
      </c>
      <c r="K40" s="196"/>
      <c r="L40" s="198">
        <f>L27+L38</f>
        <v>2109842.6018010094</v>
      </c>
      <c r="M40" s="196"/>
      <c r="N40" s="198">
        <f>N27+N38</f>
        <v>1982.414932442261</v>
      </c>
      <c r="O40" s="196"/>
      <c r="P40" s="198">
        <f>P27+P38</f>
        <v>297615.12129478098</v>
      </c>
      <c r="Q40" s="196"/>
      <c r="R40" s="198">
        <f>R27+R38</f>
        <v>155009783.01735821</v>
      </c>
    </row>
    <row r="41" spans="1:18" ht="13.15" thickTop="1">
      <c r="B41" s="12"/>
    </row>
    <row r="42" spans="1:18" ht="13.15">
      <c r="B42" s="200" t="s">
        <v>19</v>
      </c>
      <c r="C42" s="200"/>
    </row>
    <row r="43" spans="1:18">
      <c r="A43" s="182">
        <f>A40+1</f>
        <v>20</v>
      </c>
      <c r="B43" s="12"/>
      <c r="C43" s="12" t="str">
        <f>C30</f>
        <v>Mains</v>
      </c>
      <c r="D43" s="182">
        <f>D30</f>
        <v>376</v>
      </c>
      <c r="F43" s="186">
        <f>'202208 Bk Depr Form 2.8'!R43</f>
        <v>1534391.9105502327</v>
      </c>
      <c r="J43" s="188"/>
      <c r="L43" s="189">
        <f>'Cap Ex 2021 Form 2.13'!L39</f>
        <v>40564.179708486437</v>
      </c>
      <c r="N43" s="188"/>
      <c r="P43" s="188"/>
      <c r="R43" s="188">
        <f>L43+F43</f>
        <v>1574956.0902587192</v>
      </c>
    </row>
    <row r="44" spans="1:18">
      <c r="A44" s="182">
        <f>A43+1</f>
        <v>21</v>
      </c>
      <c r="B44" s="12"/>
      <c r="C44" s="12" t="str">
        <f t="shared" ref="C44:D50" si="11">C31</f>
        <v>Mains - In-Line Inspections</v>
      </c>
      <c r="D44" s="182">
        <f t="shared" si="11"/>
        <v>376</v>
      </c>
      <c r="F44" s="186">
        <f>'202208 Bk Depr Form 2.8'!R44</f>
        <v>0</v>
      </c>
      <c r="J44" s="188"/>
      <c r="L44" s="189">
        <f>'Cap Ex 2021 Form 2.13'!L40</f>
        <v>0</v>
      </c>
      <c r="N44" s="188"/>
      <c r="P44" s="188"/>
      <c r="R44" s="188">
        <f>L44+F44</f>
        <v>0</v>
      </c>
    </row>
    <row r="45" spans="1:18">
      <c r="A45" s="182">
        <f>A44+1</f>
        <v>22</v>
      </c>
      <c r="B45" s="12"/>
      <c r="C45" s="12" t="str">
        <f t="shared" si="11"/>
        <v>Plant Regulators</v>
      </c>
      <c r="D45" s="182">
        <f t="shared" si="11"/>
        <v>378</v>
      </c>
      <c r="F45" s="186">
        <f>'202208 Bk Depr Form 2.8'!R45</f>
        <v>14254.335963520001</v>
      </c>
      <c r="J45" s="188"/>
      <c r="L45" s="189">
        <f>'Cap Ex 2021 Form 2.13'!L41</f>
        <v>571.55474772000002</v>
      </c>
      <c r="N45" s="188"/>
      <c r="P45" s="188"/>
      <c r="R45" s="188">
        <f>L45+F45</f>
        <v>14825.890711240001</v>
      </c>
    </row>
    <row r="46" spans="1:18">
      <c r="A46" s="182">
        <f t="shared" ref="A46:A50" si="12">A45+1</f>
        <v>23</v>
      </c>
      <c r="B46" s="12"/>
      <c r="C46" s="12" t="str">
        <f t="shared" si="11"/>
        <v>Plant Regulators - LP Program</v>
      </c>
      <c r="D46" s="182">
        <f t="shared" si="11"/>
        <v>378</v>
      </c>
      <c r="F46" s="186">
        <f>'202208 Bk Depr Form 2.8'!R46</f>
        <v>10279.780000000001</v>
      </c>
      <c r="J46" s="188"/>
      <c r="L46" s="189">
        <f>'Cap Ex 2021 Form 2.13'!L42</f>
        <v>0</v>
      </c>
      <c r="N46" s="188"/>
      <c r="P46" s="188"/>
      <c r="R46" s="188">
        <f t="shared" ref="R46:R49" si="13">L46+F46</f>
        <v>10279.780000000001</v>
      </c>
    </row>
    <row r="47" spans="1:18">
      <c r="A47" s="182">
        <f t="shared" si="12"/>
        <v>24</v>
      </c>
      <c r="B47" s="12"/>
      <c r="C47" s="12" t="str">
        <f t="shared" si="11"/>
        <v>Service Lines</v>
      </c>
      <c r="D47" s="182">
        <f t="shared" si="11"/>
        <v>380</v>
      </c>
      <c r="F47" s="186">
        <f>'202208 Bk Depr Form 2.8'!R47</f>
        <v>6709454.1233273661</v>
      </c>
      <c r="J47" s="188"/>
      <c r="L47" s="189">
        <f>'Cap Ex 2021 Form 2.13'!L43</f>
        <v>101981.98215554438</v>
      </c>
      <c r="N47" s="188"/>
      <c r="P47" s="188"/>
      <c r="R47" s="188">
        <f t="shared" si="13"/>
        <v>6811436.1054829108</v>
      </c>
    </row>
    <row r="48" spans="1:18">
      <c r="A48" s="182">
        <f t="shared" si="12"/>
        <v>25</v>
      </c>
      <c r="B48" s="12"/>
      <c r="C48" s="12" t="str">
        <f t="shared" si="11"/>
        <v>Meter Installations</v>
      </c>
      <c r="D48" s="182">
        <f t="shared" si="11"/>
        <v>382</v>
      </c>
      <c r="F48" s="186">
        <f>'202208 Bk Depr Form 2.8'!R48</f>
        <v>1017.2571344872915</v>
      </c>
      <c r="J48" s="188"/>
      <c r="L48" s="189">
        <f>'Cap Ex 2021 Form 2.13'!L44</f>
        <v>63.579232435938195</v>
      </c>
      <c r="N48" s="188"/>
      <c r="P48" s="188"/>
      <c r="R48" s="188">
        <f t="shared" si="13"/>
        <v>1080.8363669232297</v>
      </c>
    </row>
    <row r="49" spans="1:18" s="193" customFormat="1">
      <c r="A49" s="182">
        <f t="shared" si="12"/>
        <v>26</v>
      </c>
      <c r="C49" s="12" t="str">
        <f t="shared" si="11"/>
        <v>House Regulators</v>
      </c>
      <c r="D49" s="182">
        <f t="shared" si="11"/>
        <v>383</v>
      </c>
      <c r="E49" s="194"/>
      <c r="F49" s="186">
        <f>'202208 Bk Depr Form 2.8'!R49</f>
        <v>104.58011043624238</v>
      </c>
      <c r="G49" s="194"/>
      <c r="I49" s="194"/>
      <c r="J49" s="186"/>
      <c r="K49" s="194"/>
      <c r="L49" s="189">
        <f>'Cap Ex 2021 Form 2.13'!L45</f>
        <v>6.4402374801475606</v>
      </c>
      <c r="M49" s="194"/>
      <c r="N49" s="186"/>
      <c r="O49" s="194"/>
      <c r="P49" s="186"/>
      <c r="Q49" s="194"/>
      <c r="R49" s="188">
        <f t="shared" si="13"/>
        <v>111.02034791638994</v>
      </c>
    </row>
    <row r="50" spans="1:18">
      <c r="A50" s="182">
        <f t="shared" si="12"/>
        <v>27</v>
      </c>
      <c r="B50" s="12"/>
      <c r="C50" s="12" t="str">
        <f t="shared" si="11"/>
        <v>GPS Devices</v>
      </c>
      <c r="D50" s="182">
        <f t="shared" si="11"/>
        <v>387</v>
      </c>
      <c r="F50" s="191">
        <f>'202208 Bk Depr Form 2.8'!R50</f>
        <v>0</v>
      </c>
      <c r="J50" s="188"/>
      <c r="L50" s="189">
        <f>'Cap Ex 2021 Form 2.13'!L46</f>
        <v>0</v>
      </c>
      <c r="N50" s="188"/>
      <c r="P50" s="188"/>
      <c r="R50" s="188">
        <f>L50+F50</f>
        <v>0</v>
      </c>
    </row>
    <row r="51" spans="1:18">
      <c r="A51" s="182">
        <f>A50+1</f>
        <v>28</v>
      </c>
      <c r="B51" s="12"/>
      <c r="C51" s="12" t="s">
        <v>23</v>
      </c>
      <c r="F51" s="192">
        <f>SUM(F43:F50)</f>
        <v>8269501.9870860418</v>
      </c>
      <c r="J51" s="192">
        <f>SUM(J43:J50)</f>
        <v>0</v>
      </c>
      <c r="L51" s="192">
        <f>SUM(L43:L50)</f>
        <v>143187.73608166692</v>
      </c>
      <c r="N51" s="192">
        <f>SUM(N43:N50)</f>
        <v>0</v>
      </c>
      <c r="P51" s="192">
        <f>SUM(P43:P50)</f>
        <v>0</v>
      </c>
      <c r="R51" s="192">
        <f>SUM(R43:R50)</f>
        <v>8412689.7231677081</v>
      </c>
    </row>
    <row r="53" spans="1:18">
      <c r="A53" s="182">
        <v>29</v>
      </c>
      <c r="C53" s="12" t="s">
        <v>276</v>
      </c>
      <c r="J53" s="219">
        <f>+J19+J20+J23+J31+J34+J30</f>
        <v>284635.21400084574</v>
      </c>
      <c r="N53" s="219">
        <f>+N19+N20+N23+N31+N34+N30</f>
        <v>1927.4433397496728</v>
      </c>
      <c r="P53" s="219">
        <f>+J53+N53</f>
        <v>286562.65734059538</v>
      </c>
    </row>
    <row r="54" spans="1:18">
      <c r="A54" s="182">
        <v>30</v>
      </c>
      <c r="C54" s="12" t="s">
        <v>277</v>
      </c>
      <c r="J54" s="219">
        <f>+J40-J53</f>
        <v>10997.492361492943</v>
      </c>
      <c r="N54" s="219">
        <f>+N40-N53</f>
        <v>54.971592692588274</v>
      </c>
      <c r="P54" s="219">
        <f>+P40-P53</f>
        <v>11052.463954185601</v>
      </c>
    </row>
  </sheetData>
  <pageMargins left="0.7" right="0.7" top="0.75" bottom="0.75" header="0.3" footer="0.3"/>
  <pageSetup scale="7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4">
    <tabColor rgb="FF00B050"/>
    <pageSetUpPr fitToPage="1"/>
  </sheetPr>
  <dimension ref="A1:R54"/>
  <sheetViews>
    <sheetView zoomScaleNormal="100" workbookViewId="0">
      <selection activeCell="F36" sqref="F36"/>
    </sheetView>
  </sheetViews>
  <sheetFormatPr defaultColWidth="9.3984375" defaultRowHeight="12.75"/>
  <cols>
    <col min="1" max="1" width="5.3984375" style="182" customWidth="1"/>
    <col min="2" max="2" width="2.59765625" style="182" customWidth="1"/>
    <col min="3" max="3" width="28.1328125" style="12" bestFit="1" customWidth="1"/>
    <col min="4" max="4" width="9.3984375" style="182"/>
    <col min="5" max="5" width="1.3984375" style="182" customWidth="1"/>
    <col min="6" max="6" width="15.59765625" style="12" customWidth="1"/>
    <col min="7" max="7" width="1.3984375" style="182" customWidth="1"/>
    <col min="8" max="8" width="9.59765625" style="12" customWidth="1"/>
    <col min="9" max="9" width="1.3984375" style="182" customWidth="1"/>
    <col min="10" max="10" width="12.59765625" style="12" bestFit="1" customWidth="1"/>
    <col min="11" max="11" width="1.3984375" style="182" customWidth="1"/>
    <col min="12" max="12" width="14.59765625" style="12" bestFit="1" customWidth="1"/>
    <col min="13" max="13" width="1.3984375" style="182" customWidth="1"/>
    <col min="14" max="14" width="16.59765625" style="12" customWidth="1"/>
    <col min="15" max="15" width="1.3984375" style="182" customWidth="1"/>
    <col min="16" max="16" width="16" style="12" bestFit="1" customWidth="1"/>
    <col min="17" max="17" width="1.3984375" style="182" customWidth="1"/>
    <col min="18" max="18" width="15.59765625" style="12" customWidth="1"/>
    <col min="19" max="16384" width="9.3984375" style="12"/>
  </cols>
  <sheetData>
    <row r="1" spans="1:18" ht="13.15">
      <c r="R1" s="220" t="s">
        <v>278</v>
      </c>
    </row>
    <row r="2" spans="1:18" ht="13.15">
      <c r="R2" s="220" t="s">
        <v>279</v>
      </c>
    </row>
    <row r="3" spans="1:18" ht="13.15">
      <c r="R3" s="220" t="s">
        <v>280</v>
      </c>
    </row>
    <row r="4" spans="1:18" ht="13.15">
      <c r="R4" s="220" t="s">
        <v>287</v>
      </c>
    </row>
    <row r="6" spans="1:18" ht="13.15">
      <c r="R6" s="65" t="s">
        <v>247</v>
      </c>
    </row>
    <row r="7" spans="1:18" ht="13.15">
      <c r="A7" s="176" t="str">
        <f>'202209 Bk Depr Form 2.9'!A7</f>
        <v>COLUMBIA GAS OF KENTUCKY, INC.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</row>
    <row r="8" spans="1:18" s="13" customFormat="1" ht="13.15">
      <c r="A8" s="177" t="str">
        <f>'202209 Bk Depr Form 2.9'!A8</f>
        <v>ANNUAL ADJUSTMENT TO THE SAFETY MODIFICATION AND REPLACEMENT PROGRAM ("SMRP")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</row>
    <row r="9" spans="1:18" ht="13.15">
      <c r="A9" s="176" t="s">
        <v>262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</row>
    <row r="10" spans="1:18" ht="13.15">
      <c r="A10" s="179"/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</row>
    <row r="11" spans="1:18" ht="13.15">
      <c r="A11" s="180"/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</row>
    <row r="12" spans="1:18" ht="13.15">
      <c r="C12" s="181"/>
      <c r="D12" s="181"/>
      <c r="E12" s="181"/>
      <c r="F12" s="181" t="s">
        <v>69</v>
      </c>
      <c r="G12" s="181"/>
      <c r="H12" s="181"/>
      <c r="I12" s="181"/>
      <c r="J12" s="181" t="s">
        <v>69</v>
      </c>
      <c r="K12" s="181"/>
      <c r="L12" s="181" t="s">
        <v>69</v>
      </c>
      <c r="M12" s="181"/>
      <c r="N12" s="181"/>
      <c r="O12" s="181"/>
      <c r="P12" s="181"/>
      <c r="Q12" s="181"/>
      <c r="R12" s="181" t="s">
        <v>69</v>
      </c>
    </row>
    <row r="13" spans="1:18" ht="13.15">
      <c r="C13" s="181"/>
      <c r="D13" s="181"/>
      <c r="E13" s="181"/>
      <c r="F13" s="181" t="s">
        <v>8</v>
      </c>
      <c r="G13" s="181"/>
      <c r="H13" s="181" t="s">
        <v>73</v>
      </c>
      <c r="I13" s="181"/>
      <c r="J13" s="181" t="s">
        <v>11</v>
      </c>
      <c r="K13" s="181"/>
      <c r="L13" s="181" t="s">
        <v>20</v>
      </c>
      <c r="M13" s="181"/>
      <c r="N13" s="181" t="s">
        <v>60</v>
      </c>
      <c r="O13" s="181"/>
      <c r="P13" s="181" t="s">
        <v>60</v>
      </c>
      <c r="Q13" s="181"/>
      <c r="R13" s="181" t="s">
        <v>14</v>
      </c>
    </row>
    <row r="14" spans="1:18" ht="13.15">
      <c r="A14" s="181" t="s">
        <v>4</v>
      </c>
      <c r="B14" s="181"/>
      <c r="C14" s="181"/>
      <c r="D14" s="181" t="s">
        <v>7</v>
      </c>
      <c r="E14" s="181"/>
      <c r="F14" s="181" t="s">
        <v>1</v>
      </c>
      <c r="G14" s="181"/>
      <c r="H14" s="181" t="s">
        <v>10</v>
      </c>
      <c r="I14" s="181"/>
      <c r="J14" s="181" t="s">
        <v>8</v>
      </c>
      <c r="K14" s="181"/>
      <c r="L14" s="181" t="s">
        <v>42</v>
      </c>
      <c r="M14" s="181"/>
      <c r="N14" s="181" t="s">
        <v>11</v>
      </c>
      <c r="O14" s="181"/>
      <c r="P14" s="181" t="s">
        <v>28</v>
      </c>
      <c r="Q14" s="181"/>
      <c r="R14" s="181" t="s">
        <v>1</v>
      </c>
    </row>
    <row r="15" spans="1:18" ht="13.15">
      <c r="A15" s="183" t="s">
        <v>5</v>
      </c>
      <c r="B15" s="183"/>
      <c r="C15" s="183" t="s">
        <v>6</v>
      </c>
      <c r="D15" s="183" t="s">
        <v>5</v>
      </c>
      <c r="E15" s="183"/>
      <c r="F15" s="183" t="s">
        <v>9</v>
      </c>
      <c r="G15" s="183"/>
      <c r="H15" s="183" t="s">
        <v>2</v>
      </c>
      <c r="I15" s="183"/>
      <c r="J15" s="183" t="s">
        <v>9</v>
      </c>
      <c r="K15" s="183"/>
      <c r="L15" s="183" t="s">
        <v>12</v>
      </c>
      <c r="M15" s="183"/>
      <c r="N15" s="183" t="s">
        <v>13</v>
      </c>
      <c r="O15" s="183"/>
      <c r="P15" s="183" t="s">
        <v>0</v>
      </c>
      <c r="Q15" s="183"/>
      <c r="R15" s="183" t="s">
        <v>9</v>
      </c>
    </row>
    <row r="16" spans="1:18" s="1" customFormat="1" ht="13.15">
      <c r="A16" s="181"/>
      <c r="B16" s="181"/>
      <c r="C16" s="184">
        <v>-1</v>
      </c>
      <c r="D16" s="184">
        <v>-2</v>
      </c>
      <c r="E16" s="184"/>
      <c r="F16" s="184">
        <v>-3</v>
      </c>
      <c r="G16" s="184"/>
      <c r="H16" s="184">
        <v>-4</v>
      </c>
      <c r="I16" s="184"/>
      <c r="J16" s="184" t="s">
        <v>15</v>
      </c>
      <c r="K16" s="184"/>
      <c r="L16" s="184">
        <v>-6</v>
      </c>
      <c r="M16" s="184"/>
      <c r="N16" s="184" t="s">
        <v>16</v>
      </c>
      <c r="O16" s="184"/>
      <c r="P16" s="184" t="s">
        <v>61</v>
      </c>
      <c r="Q16" s="184"/>
      <c r="R16" s="184" t="s">
        <v>17</v>
      </c>
    </row>
    <row r="18" spans="1:18" ht="13.15">
      <c r="B18" s="185" t="s">
        <v>20</v>
      </c>
      <c r="C18" s="185"/>
    </row>
    <row r="19" spans="1:18">
      <c r="A19" s="182">
        <v>1</v>
      </c>
      <c r="B19" s="12"/>
      <c r="C19" s="12" t="s">
        <v>90</v>
      </c>
      <c r="D19" s="182">
        <v>376</v>
      </c>
      <c r="F19" s="186">
        <f>'202209 Bk Depr Form 2.9'!R19</f>
        <v>125802042.23162432</v>
      </c>
      <c r="H19" s="187">
        <f>+'202209 Bk Depr Form 2.9'!H19</f>
        <v>1.4833333333333332E-3</v>
      </c>
      <c r="J19" s="188">
        <f>F19*H19</f>
        <v>186606.36264357605</v>
      </c>
      <c r="L19" s="189">
        <f>'Cap Ex 2021 Form 2.13'!M17</f>
        <v>3305344.6638302966</v>
      </c>
      <c r="N19" s="188">
        <f>H19*L19*0.5</f>
        <v>2451.4639590074698</v>
      </c>
      <c r="P19" s="188">
        <f>J19+N19</f>
        <v>189057.82660258352</v>
      </c>
      <c r="R19" s="188">
        <f>L19+F19</f>
        <v>129107386.89545462</v>
      </c>
    </row>
    <row r="20" spans="1:18">
      <c r="A20" s="182">
        <f t="shared" ref="A20:A26" si="0">A19+1</f>
        <v>2</v>
      </c>
      <c r="B20" s="12"/>
      <c r="C20" s="12" t="s">
        <v>91</v>
      </c>
      <c r="D20" s="182">
        <v>376</v>
      </c>
      <c r="F20" s="186">
        <f>'202209 Bk Depr Form 2.9'!R20</f>
        <v>0</v>
      </c>
      <c r="H20" s="187">
        <f>+'202209 Bk Depr Form 2.9'!H20</f>
        <v>1.4833333333333332E-3</v>
      </c>
      <c r="J20" s="188">
        <f t="shared" ref="J20:J23" si="1">F20*H20</f>
        <v>0</v>
      </c>
      <c r="L20" s="189">
        <f>'Cap Ex 2021 Form 2.13'!M18</f>
        <v>0</v>
      </c>
      <c r="N20" s="188">
        <f t="shared" ref="N20:N24" si="2">H20*L20*0.5</f>
        <v>0</v>
      </c>
      <c r="P20" s="188">
        <f t="shared" ref="P20:P23" si="3">J20+N20</f>
        <v>0</v>
      </c>
      <c r="R20" s="188">
        <f t="shared" ref="R20:R23" si="4">L20+F20</f>
        <v>0</v>
      </c>
    </row>
    <row r="21" spans="1:18">
      <c r="A21" s="182">
        <f t="shared" si="0"/>
        <v>3</v>
      </c>
      <c r="B21" s="12"/>
      <c r="C21" s="12" t="s">
        <v>92</v>
      </c>
      <c r="D21" s="182">
        <v>378</v>
      </c>
      <c r="F21" s="186">
        <f>'202209 Bk Depr Form 2.9'!R21</f>
        <v>1679403.765139879</v>
      </c>
      <c r="H21" s="187">
        <f>+'202209 Bk Depr Form 2.9'!H21</f>
        <v>2.0916666666666666E-3</v>
      </c>
      <c r="J21" s="188">
        <f t="shared" si="1"/>
        <v>3512.7528754175801</v>
      </c>
      <c r="L21" s="189">
        <f>'Cap Ex 2021 Form 2.13'!M19</f>
        <v>95671.355832324523</v>
      </c>
      <c r="N21" s="188">
        <f t="shared" si="2"/>
        <v>100.05629297463939</v>
      </c>
      <c r="P21" s="188">
        <f t="shared" si="3"/>
        <v>3612.8091683922194</v>
      </c>
      <c r="R21" s="188">
        <f t="shared" si="4"/>
        <v>1775075.1209722036</v>
      </c>
    </row>
    <row r="22" spans="1:18">
      <c r="A22" s="182">
        <f t="shared" si="0"/>
        <v>4</v>
      </c>
      <c r="B22" s="12"/>
      <c r="C22" s="12" t="s">
        <v>93</v>
      </c>
      <c r="D22" s="182">
        <v>378</v>
      </c>
      <c r="F22" s="186">
        <f>'202209 Bk Depr Form 2.9'!R22</f>
        <v>3348545.4100000006</v>
      </c>
      <c r="H22" s="187">
        <f>+'202209 Bk Depr Form 2.9'!H22</f>
        <v>2.0916666666666666E-3</v>
      </c>
      <c r="J22" s="188">
        <f t="shared" si="1"/>
        <v>7004.0408159166673</v>
      </c>
      <c r="L22" s="189">
        <f>'Cap Ex 2021 Form 2.13'!M20</f>
        <v>0</v>
      </c>
      <c r="N22" s="188">
        <f t="shared" si="2"/>
        <v>0</v>
      </c>
      <c r="P22" s="188">
        <f t="shared" si="3"/>
        <v>7004.0408159166673</v>
      </c>
      <c r="R22" s="188">
        <f t="shared" si="4"/>
        <v>3348545.4100000006</v>
      </c>
    </row>
    <row r="23" spans="1:18">
      <c r="A23" s="182">
        <f t="shared" si="0"/>
        <v>5</v>
      </c>
      <c r="B23" s="12"/>
      <c r="C23" s="12" t="s">
        <v>94</v>
      </c>
      <c r="D23" s="182">
        <v>380</v>
      </c>
      <c r="F23" s="186">
        <f>'202209 Bk Depr Form 2.9'!R23</f>
        <v>45753544.578832559</v>
      </c>
      <c r="H23" s="187">
        <f>+'202209 Bk Depr Form 2.9'!H23</f>
        <v>3.316666666666667E-3</v>
      </c>
      <c r="J23" s="188">
        <f t="shared" si="1"/>
        <v>151749.25618646134</v>
      </c>
      <c r="L23" s="189">
        <f>'Cap Ex 2021 Form 2.13'!M21</f>
        <v>839423.34408746019</v>
      </c>
      <c r="N23" s="188">
        <f t="shared" si="2"/>
        <v>1392.0437122783717</v>
      </c>
      <c r="P23" s="188">
        <f t="shared" si="3"/>
        <v>153141.2998987397</v>
      </c>
      <c r="R23" s="188">
        <f t="shared" si="4"/>
        <v>46592967.922920018</v>
      </c>
    </row>
    <row r="24" spans="1:18">
      <c r="A24" s="182">
        <f t="shared" si="0"/>
        <v>6</v>
      </c>
      <c r="B24" s="12"/>
      <c r="C24" s="12" t="s">
        <v>95</v>
      </c>
      <c r="D24" s="182">
        <v>382</v>
      </c>
      <c r="F24" s="186">
        <f>'202209 Bk Depr Form 2.9'!R24</f>
        <v>297496.6094078793</v>
      </c>
      <c r="H24" s="187">
        <f>+'202209 Bk Depr Form 2.9'!H24</f>
        <v>1.475E-3</v>
      </c>
      <c r="J24" s="188">
        <f>F24*H24</f>
        <v>438.80749887662193</v>
      </c>
      <c r="L24" s="189">
        <f>'Cap Ex 2021 Form 2.13'!M22</f>
        <v>5667.607262019108</v>
      </c>
      <c r="N24" s="188">
        <f t="shared" si="2"/>
        <v>4.1798603557390921</v>
      </c>
      <c r="P24" s="188">
        <f>J24+N24</f>
        <v>442.98735923236103</v>
      </c>
      <c r="R24" s="188">
        <f>L24+F24</f>
        <v>303164.21666989842</v>
      </c>
    </row>
    <row r="25" spans="1:18">
      <c r="A25" s="182">
        <f t="shared" si="0"/>
        <v>7</v>
      </c>
      <c r="B25" s="12"/>
      <c r="C25" s="190" t="s">
        <v>96</v>
      </c>
      <c r="D25" s="182">
        <v>383</v>
      </c>
      <c r="F25" s="186">
        <f>'202209 Bk Depr Form 2.9'!R25</f>
        <v>360858.33512283699</v>
      </c>
      <c r="H25" s="187">
        <f>+'202209 Bk Depr Form 2.9'!H25</f>
        <v>1.6333333333333332E-3</v>
      </c>
      <c r="J25" s="188">
        <f>F25*H25</f>
        <v>589.40194736730041</v>
      </c>
      <c r="L25" s="189">
        <f>'Cap Ex 2021 Form 2.13'!M23</f>
        <v>7422.7620656669887</v>
      </c>
      <c r="N25" s="188">
        <f>H25*L25*0.5</f>
        <v>6.0619223536280407</v>
      </c>
      <c r="P25" s="188">
        <f>J25+N25</f>
        <v>595.46386972092841</v>
      </c>
      <c r="R25" s="188">
        <f>L25+F25</f>
        <v>368281.09718850395</v>
      </c>
    </row>
    <row r="26" spans="1:18">
      <c r="A26" s="182">
        <f t="shared" si="0"/>
        <v>8</v>
      </c>
      <c r="B26" s="12"/>
      <c r="C26" s="12" t="s">
        <v>97</v>
      </c>
      <c r="D26" s="182">
        <v>387</v>
      </c>
      <c r="F26" s="191">
        <f>'202209 Bk Depr Form 2.9'!R26</f>
        <v>213381</v>
      </c>
      <c r="H26" s="187">
        <f>+'202209 Bk Depr Form 2.9'!H26</f>
        <v>2.6583333333333333E-3</v>
      </c>
      <c r="J26" s="188">
        <f>F26*H26</f>
        <v>567.23782500000004</v>
      </c>
      <c r="L26" s="189">
        <f>'Cap Ex 2021 Form 2.13'!M24</f>
        <v>0</v>
      </c>
      <c r="N26" s="188">
        <f>H26*L26*0.5</f>
        <v>0</v>
      </c>
      <c r="P26" s="188">
        <f>J26+N26</f>
        <v>567.23782500000004</v>
      </c>
      <c r="R26" s="188">
        <f>L26+F26</f>
        <v>213381</v>
      </c>
    </row>
    <row r="27" spans="1:18">
      <c r="A27" s="182">
        <f>A26+1</f>
        <v>9</v>
      </c>
      <c r="B27" s="12"/>
      <c r="C27" s="12" t="s">
        <v>21</v>
      </c>
      <c r="F27" s="192">
        <f>SUM(F19:F26)</f>
        <v>177455271.93012744</v>
      </c>
      <c r="J27" s="192">
        <f>SUM(J19:J26)</f>
        <v>350467.85979261558</v>
      </c>
      <c r="L27" s="192">
        <f>SUM(L19:L26)</f>
        <v>4253529.7330777673</v>
      </c>
      <c r="N27" s="192">
        <f>SUM(N19:N26)</f>
        <v>3953.8057469698483</v>
      </c>
      <c r="P27" s="192">
        <f>SUM(P19:P26)</f>
        <v>354421.66553958546</v>
      </c>
      <c r="R27" s="192">
        <f>SUM(R19:R26)</f>
        <v>181708801.66320524</v>
      </c>
    </row>
    <row r="28" spans="1:18">
      <c r="B28" s="12"/>
    </row>
    <row r="29" spans="1:18" ht="13.15">
      <c r="B29" s="185" t="s">
        <v>12</v>
      </c>
      <c r="C29" s="185"/>
    </row>
    <row r="30" spans="1:18">
      <c r="A30" s="182">
        <f>A27+1</f>
        <v>10</v>
      </c>
      <c r="B30" s="12"/>
      <c r="C30" s="12" t="str">
        <f>C19</f>
        <v>Mains</v>
      </c>
      <c r="D30" s="182">
        <f>D19</f>
        <v>376</v>
      </c>
      <c r="F30" s="186">
        <f>'202209 Bk Depr Form 2.9'!R30</f>
        <v>-12484150.516923077</v>
      </c>
      <c r="H30" s="187">
        <f>+'202209 Bk Depr Form 2.9'!H30</f>
        <v>1.4833333333333332E-3</v>
      </c>
      <c r="J30" s="188">
        <f>F30*H30</f>
        <v>-18518.156600102564</v>
      </c>
      <c r="L30" s="189">
        <f>'Cap Ex 2021 Form 2.13'!M27</f>
        <v>-374072</v>
      </c>
      <c r="N30" s="188">
        <f>H30*L30*0.5</f>
        <v>-277.43673333333334</v>
      </c>
      <c r="P30" s="188">
        <f>J30+N30</f>
        <v>-18795.593333435896</v>
      </c>
      <c r="R30" s="188">
        <f>L30+F30</f>
        <v>-12858222.516923077</v>
      </c>
    </row>
    <row r="31" spans="1:18">
      <c r="A31" s="182">
        <f>A30+1</f>
        <v>11</v>
      </c>
      <c r="B31" s="12"/>
      <c r="C31" s="12" t="str">
        <f t="shared" ref="C31:D37" si="5">C20</f>
        <v>Mains - In-Line Inspections</v>
      </c>
      <c r="D31" s="182">
        <f t="shared" si="5"/>
        <v>376</v>
      </c>
      <c r="F31" s="186">
        <f>'202209 Bk Depr Form 2.9'!R31</f>
        <v>0</v>
      </c>
      <c r="H31" s="187">
        <f>+'202209 Bk Depr Form 2.9'!H31</f>
        <v>1.4833333333333332E-3</v>
      </c>
      <c r="J31" s="188">
        <f>F31*H31</f>
        <v>0</v>
      </c>
      <c r="L31" s="189">
        <f>'Cap Ex 2021 Form 2.13'!M28</f>
        <v>0</v>
      </c>
      <c r="N31" s="188">
        <f>H31*L31*0.5</f>
        <v>0</v>
      </c>
      <c r="P31" s="188">
        <f>J31+N31</f>
        <v>0</v>
      </c>
      <c r="R31" s="188">
        <f>L31+F31</f>
        <v>0</v>
      </c>
    </row>
    <row r="32" spans="1:18">
      <c r="A32" s="182">
        <f>A31+1</f>
        <v>12</v>
      </c>
      <c r="B32" s="12"/>
      <c r="C32" s="12" t="str">
        <f t="shared" si="5"/>
        <v>Plant Regulators</v>
      </c>
      <c r="D32" s="182">
        <f t="shared" si="5"/>
        <v>378</v>
      </c>
      <c r="F32" s="186">
        <f>'202209 Bk Depr Form 2.9'!R32</f>
        <v>-209187.3</v>
      </c>
      <c r="H32" s="187">
        <f>+'202209 Bk Depr Form 2.9'!H32</f>
        <v>2.0916666666666666E-3</v>
      </c>
      <c r="J32" s="188">
        <f t="shared" ref="J32:J37" si="6">F32*H32</f>
        <v>-437.55010249999998</v>
      </c>
      <c r="L32" s="189">
        <f>'Cap Ex 2021 Form 2.13'!M29</f>
        <v>-12030</v>
      </c>
      <c r="N32" s="188">
        <f t="shared" ref="N32:N37" si="7">H32*L32*0.5</f>
        <v>-12.581375</v>
      </c>
      <c r="P32" s="188">
        <f t="shared" ref="P32:P37" si="8">J32+N32</f>
        <v>-450.13147749999996</v>
      </c>
      <c r="R32" s="188">
        <f t="shared" ref="R32:R37" si="9">L32+F32</f>
        <v>-221217.3</v>
      </c>
    </row>
    <row r="33" spans="1:18">
      <c r="A33" s="182">
        <f t="shared" ref="A33:A36" si="10">A32+1</f>
        <v>13</v>
      </c>
      <c r="B33" s="12"/>
      <c r="C33" s="12" t="str">
        <f t="shared" si="5"/>
        <v>Plant Regulators - LP Program</v>
      </c>
      <c r="D33" s="182">
        <f t="shared" si="5"/>
        <v>378</v>
      </c>
      <c r="F33" s="186">
        <f>'202209 Bk Depr Form 2.9'!R33</f>
        <v>-194723.07</v>
      </c>
      <c r="H33" s="187">
        <f>+'202209 Bk Depr Form 2.9'!H33</f>
        <v>2.0916666666666666E-3</v>
      </c>
      <c r="J33" s="188">
        <f t="shared" si="6"/>
        <v>-407.29575475000001</v>
      </c>
      <c r="L33" s="189">
        <f>'Cap Ex 2021 Form 2.13'!M30</f>
        <v>0</v>
      </c>
      <c r="N33" s="188">
        <f t="shared" si="7"/>
        <v>0</v>
      </c>
      <c r="P33" s="188">
        <f t="shared" si="8"/>
        <v>-407.29575475000001</v>
      </c>
      <c r="R33" s="188">
        <f t="shared" si="9"/>
        <v>-194723.07</v>
      </c>
    </row>
    <row r="34" spans="1:18">
      <c r="A34" s="182">
        <f t="shared" si="10"/>
        <v>14</v>
      </c>
      <c r="B34" s="12"/>
      <c r="C34" s="12" t="str">
        <f t="shared" si="5"/>
        <v>Service Lines</v>
      </c>
      <c r="D34" s="182">
        <f t="shared" si="5"/>
        <v>380</v>
      </c>
      <c r="F34" s="186">
        <f>'202209 Bk Depr Form 2.9'!R34</f>
        <v>-9451465.7938461546</v>
      </c>
      <c r="H34" s="187">
        <f>+'202209 Bk Depr Form 2.9'!H34</f>
        <v>3.316666666666667E-3</v>
      </c>
      <c r="J34" s="188">
        <f t="shared" si="6"/>
        <v>-31347.36154958975</v>
      </c>
      <c r="L34" s="189">
        <f>'Cap Ex 2021 Form 2.13'!M31</f>
        <v>-105555</v>
      </c>
      <c r="N34" s="188">
        <f t="shared" si="7"/>
        <v>-175.04537500000001</v>
      </c>
      <c r="P34" s="188">
        <f t="shared" si="8"/>
        <v>-31522.406924589752</v>
      </c>
      <c r="R34" s="188">
        <f t="shared" si="9"/>
        <v>-9557020.7938461546</v>
      </c>
    </row>
    <row r="35" spans="1:18">
      <c r="A35" s="182">
        <f t="shared" si="10"/>
        <v>15</v>
      </c>
      <c r="B35" s="12"/>
      <c r="C35" s="12" t="str">
        <f t="shared" si="5"/>
        <v>Meter Installations</v>
      </c>
      <c r="D35" s="182">
        <f t="shared" si="5"/>
        <v>382</v>
      </c>
      <c r="F35" s="186">
        <f>'202209 Bk Depr Form 2.9'!R35</f>
        <v>-82813.182000000001</v>
      </c>
      <c r="H35" s="187">
        <f>+'202209 Bk Depr Form 2.9'!H35</f>
        <v>1.475E-3</v>
      </c>
      <c r="J35" s="188">
        <f t="shared" si="6"/>
        <v>-122.14944344999999</v>
      </c>
      <c r="L35" s="189">
        <f>'Cap Ex 2021 Form 2.13'!M32</f>
        <v>-713</v>
      </c>
      <c r="N35" s="188">
        <f t="shared" si="7"/>
        <v>-0.52583749999999996</v>
      </c>
      <c r="P35" s="188">
        <f t="shared" si="8"/>
        <v>-122.67528094999999</v>
      </c>
      <c r="R35" s="188">
        <f t="shared" si="9"/>
        <v>-83526.182000000001</v>
      </c>
    </row>
    <row r="36" spans="1:18" s="193" customFormat="1">
      <c r="A36" s="182">
        <f t="shared" si="10"/>
        <v>16</v>
      </c>
      <c r="C36" s="12" t="str">
        <f t="shared" si="5"/>
        <v>House Regulators</v>
      </c>
      <c r="D36" s="182">
        <f t="shared" si="5"/>
        <v>383</v>
      </c>
      <c r="E36" s="194"/>
      <c r="F36" s="186">
        <f>'202209 Bk Depr Form 2.9'!R36</f>
        <v>-23149.050000000003</v>
      </c>
      <c r="G36" s="194"/>
      <c r="H36" s="187">
        <f>+'202209 Bk Depr Form 2.9'!H36</f>
        <v>1.6333333333333332E-3</v>
      </c>
      <c r="I36" s="194"/>
      <c r="J36" s="186">
        <f t="shared" si="6"/>
        <v>-37.810115000000003</v>
      </c>
      <c r="K36" s="194"/>
      <c r="L36" s="189">
        <f>'Cap Ex 2021 Form 2.13'!M33</f>
        <v>-933</v>
      </c>
      <c r="M36" s="194"/>
      <c r="N36" s="186">
        <f t="shared" si="7"/>
        <v>-0.76194999999999991</v>
      </c>
      <c r="O36" s="194"/>
      <c r="P36" s="186">
        <f t="shared" si="8"/>
        <v>-38.572065000000002</v>
      </c>
      <c r="Q36" s="194"/>
      <c r="R36" s="186">
        <f t="shared" si="9"/>
        <v>-24082.050000000003</v>
      </c>
    </row>
    <row r="37" spans="1:18">
      <c r="A37" s="182">
        <f>A36+1</f>
        <v>17</v>
      </c>
      <c r="B37" s="12"/>
      <c r="C37" s="12" t="str">
        <f t="shared" si="5"/>
        <v>GPS Devices</v>
      </c>
      <c r="D37" s="182">
        <f t="shared" si="5"/>
        <v>387</v>
      </c>
      <c r="F37" s="191">
        <f>'202209 Bk Depr Form 2.9'!R37</f>
        <v>0</v>
      </c>
      <c r="H37" s="187">
        <f>+'202209 Bk Depr Form 2.9'!H37</f>
        <v>2.6583333333333333E-3</v>
      </c>
      <c r="J37" s="188">
        <f t="shared" si="6"/>
        <v>0</v>
      </c>
      <c r="L37" s="195">
        <f>'Cap Ex 2021 Form 2.13'!M34</f>
        <v>0</v>
      </c>
      <c r="N37" s="188">
        <f t="shared" si="7"/>
        <v>0</v>
      </c>
      <c r="P37" s="188">
        <f t="shared" si="8"/>
        <v>0</v>
      </c>
      <c r="R37" s="188">
        <f t="shared" si="9"/>
        <v>0</v>
      </c>
    </row>
    <row r="38" spans="1:18">
      <c r="A38" s="182">
        <f>A37+1</f>
        <v>18</v>
      </c>
      <c r="B38" s="12"/>
      <c r="C38" s="12" t="s">
        <v>22</v>
      </c>
      <c r="F38" s="192">
        <f>SUM(F30:F37)</f>
        <v>-22445488.912769236</v>
      </c>
      <c r="J38" s="192">
        <f>SUM(J30:J37)</f>
        <v>-50870.323565392311</v>
      </c>
      <c r="L38" s="192">
        <f>SUM(L30:L37)</f>
        <v>-493303</v>
      </c>
      <c r="N38" s="192">
        <f>SUM(N30:N37)</f>
        <v>-466.35127083333339</v>
      </c>
      <c r="P38" s="192">
        <f>SUM(P30:P37)</f>
        <v>-51336.674836225648</v>
      </c>
      <c r="R38" s="192">
        <f>SUM(R30:R37)</f>
        <v>-22938791.912769236</v>
      </c>
    </row>
    <row r="39" spans="1:18">
      <c r="B39" s="12"/>
    </row>
    <row r="40" spans="1:18" s="199" customFormat="1" ht="13.5" thickBot="1">
      <c r="A40" s="196">
        <f>A38+1</f>
        <v>19</v>
      </c>
      <c r="B40" s="197" t="s">
        <v>18</v>
      </c>
      <c r="C40" s="197"/>
      <c r="D40" s="196"/>
      <c r="E40" s="196"/>
      <c r="F40" s="198">
        <f>F27+F38</f>
        <v>155009783.01735821</v>
      </c>
      <c r="G40" s="196"/>
      <c r="I40" s="196"/>
      <c r="J40" s="198">
        <f>J27+J38</f>
        <v>299597.53622722329</v>
      </c>
      <c r="K40" s="196"/>
      <c r="L40" s="198">
        <f>L27+L38</f>
        <v>3760226.7330777673</v>
      </c>
      <c r="M40" s="196"/>
      <c r="N40" s="198">
        <f>N27+N38</f>
        <v>3487.454476136515</v>
      </c>
      <c r="O40" s="196"/>
      <c r="P40" s="198">
        <f>P27+P38</f>
        <v>303084.99070335983</v>
      </c>
      <c r="Q40" s="196"/>
      <c r="R40" s="198">
        <f>R27+R38</f>
        <v>158770009.75043601</v>
      </c>
    </row>
    <row r="41" spans="1:18" ht="13.15" thickTop="1">
      <c r="B41" s="12"/>
    </row>
    <row r="42" spans="1:18" ht="13.15">
      <c r="B42" s="200" t="s">
        <v>19</v>
      </c>
      <c r="C42" s="200"/>
    </row>
    <row r="43" spans="1:18">
      <c r="A43" s="182">
        <f>A40+1</f>
        <v>20</v>
      </c>
      <c r="B43" s="12"/>
      <c r="C43" s="12" t="str">
        <f>C30</f>
        <v>Mains</v>
      </c>
      <c r="D43" s="182">
        <f>D30</f>
        <v>376</v>
      </c>
      <c r="F43" s="186">
        <f>'202209 Bk Depr Form 2.9'!R43</f>
        <v>1574956.0902587192</v>
      </c>
      <c r="J43" s="188"/>
      <c r="L43" s="189">
        <f>'Cap Ex 2021 Form 2.13'!M39</f>
        <v>44764.811794261128</v>
      </c>
      <c r="N43" s="188"/>
      <c r="P43" s="188"/>
      <c r="R43" s="188">
        <f>L43+F43</f>
        <v>1619720.9020529804</v>
      </c>
    </row>
    <row r="44" spans="1:18">
      <c r="A44" s="182">
        <f>A43+1</f>
        <v>21</v>
      </c>
      <c r="B44" s="12"/>
      <c r="C44" s="12" t="str">
        <f t="shared" ref="C44:D50" si="11">C31</f>
        <v>Mains - In-Line Inspections</v>
      </c>
      <c r="D44" s="182">
        <f t="shared" si="11"/>
        <v>376</v>
      </c>
      <c r="F44" s="186">
        <f>'202209 Bk Depr Form 2.9'!R44</f>
        <v>0</v>
      </c>
      <c r="J44" s="188"/>
      <c r="L44" s="189">
        <f>'Cap Ex 2021 Form 2.13'!M40</f>
        <v>0</v>
      </c>
      <c r="N44" s="188"/>
      <c r="P44" s="188"/>
      <c r="R44" s="188">
        <f>L44+F44</f>
        <v>0</v>
      </c>
    </row>
    <row r="45" spans="1:18">
      <c r="A45" s="182">
        <f>A44+1</f>
        <v>22</v>
      </c>
      <c r="B45" s="12"/>
      <c r="C45" s="12" t="str">
        <f t="shared" si="11"/>
        <v>Plant Regulators</v>
      </c>
      <c r="D45" s="182">
        <f t="shared" si="11"/>
        <v>378</v>
      </c>
      <c r="F45" s="186">
        <f>'202209 Bk Depr Form 2.9'!R45</f>
        <v>14825.890711240001</v>
      </c>
      <c r="J45" s="188"/>
      <c r="L45" s="189">
        <f>'Cap Ex 2021 Form 2.13'!M41</f>
        <v>571.55474772000002</v>
      </c>
      <c r="N45" s="188"/>
      <c r="P45" s="188"/>
      <c r="R45" s="188">
        <f>L45+F45</f>
        <v>15397.445458960001</v>
      </c>
    </row>
    <row r="46" spans="1:18">
      <c r="A46" s="182">
        <f t="shared" ref="A46:A50" si="12">A45+1</f>
        <v>23</v>
      </c>
      <c r="B46" s="12"/>
      <c r="C46" s="12" t="str">
        <f t="shared" si="11"/>
        <v>Plant Regulators - LP Program</v>
      </c>
      <c r="D46" s="182">
        <f t="shared" si="11"/>
        <v>378</v>
      </c>
      <c r="F46" s="186">
        <f>'202209 Bk Depr Form 2.9'!R46</f>
        <v>10279.780000000001</v>
      </c>
      <c r="J46" s="188"/>
      <c r="L46" s="189">
        <f>'Cap Ex 2021 Form 2.13'!M42</f>
        <v>0</v>
      </c>
      <c r="N46" s="188"/>
      <c r="P46" s="188"/>
      <c r="R46" s="188">
        <f t="shared" ref="R46:R49" si="13">L46+F46</f>
        <v>10279.780000000001</v>
      </c>
    </row>
    <row r="47" spans="1:18">
      <c r="A47" s="182">
        <f t="shared" si="12"/>
        <v>24</v>
      </c>
      <c r="B47" s="12"/>
      <c r="C47" s="12" t="str">
        <f t="shared" si="11"/>
        <v>Service Lines</v>
      </c>
      <c r="D47" s="182">
        <f t="shared" si="11"/>
        <v>380</v>
      </c>
      <c r="F47" s="186">
        <f>'202209 Bk Depr Form 2.9'!R47</f>
        <v>6811436.1054829108</v>
      </c>
      <c r="J47" s="188"/>
      <c r="L47" s="189">
        <f>'Cap Ex 2021 Form 2.13'!M43</f>
        <v>112910.26309725427</v>
      </c>
      <c r="N47" s="188"/>
      <c r="P47" s="188"/>
      <c r="R47" s="188">
        <f t="shared" si="13"/>
        <v>6924346.3685801653</v>
      </c>
    </row>
    <row r="48" spans="1:18">
      <c r="A48" s="182">
        <f t="shared" si="12"/>
        <v>25</v>
      </c>
      <c r="B48" s="12"/>
      <c r="C48" s="12" t="str">
        <f t="shared" si="11"/>
        <v>Meter Installations</v>
      </c>
      <c r="D48" s="182">
        <f t="shared" si="11"/>
        <v>382</v>
      </c>
      <c r="F48" s="186">
        <f>'202209 Bk Depr Form 2.9'!R48</f>
        <v>1080.8363669232297</v>
      </c>
      <c r="J48" s="188"/>
      <c r="L48" s="189">
        <f>'Cap Ex 2021 Form 2.13'!M44</f>
        <v>63.579232435938195</v>
      </c>
      <c r="N48" s="188"/>
      <c r="P48" s="188"/>
      <c r="R48" s="188">
        <f t="shared" si="13"/>
        <v>1144.4155993591678</v>
      </c>
    </row>
    <row r="49" spans="1:18" s="193" customFormat="1">
      <c r="A49" s="182">
        <f t="shared" si="12"/>
        <v>26</v>
      </c>
      <c r="C49" s="12" t="str">
        <f t="shared" si="11"/>
        <v>House Regulators</v>
      </c>
      <c r="D49" s="182">
        <f t="shared" si="11"/>
        <v>383</v>
      </c>
      <c r="E49" s="194"/>
      <c r="F49" s="186">
        <f>'202209 Bk Depr Form 2.9'!R49</f>
        <v>111.02034791638994</v>
      </c>
      <c r="G49" s="194"/>
      <c r="I49" s="194"/>
      <c r="J49" s="186"/>
      <c r="K49" s="194"/>
      <c r="L49" s="189">
        <f>'Cap Ex 2021 Form 2.13'!M45</f>
        <v>6.3873549213069305</v>
      </c>
      <c r="M49" s="194"/>
      <c r="N49" s="186"/>
      <c r="O49" s="194"/>
      <c r="P49" s="186"/>
      <c r="Q49" s="194"/>
      <c r="R49" s="188">
        <f t="shared" si="13"/>
        <v>117.40770283769687</v>
      </c>
    </row>
    <row r="50" spans="1:18">
      <c r="A50" s="182">
        <f t="shared" si="12"/>
        <v>27</v>
      </c>
      <c r="B50" s="12"/>
      <c r="C50" s="12" t="str">
        <f t="shared" si="11"/>
        <v>GPS Devices</v>
      </c>
      <c r="D50" s="182">
        <f t="shared" si="11"/>
        <v>387</v>
      </c>
      <c r="F50" s="191">
        <f>'202209 Bk Depr Form 2.9'!R50</f>
        <v>0</v>
      </c>
      <c r="J50" s="188"/>
      <c r="L50" s="189">
        <f>'Cap Ex 2021 Form 2.13'!M46</f>
        <v>0</v>
      </c>
      <c r="N50" s="188"/>
      <c r="P50" s="188"/>
      <c r="R50" s="188">
        <f>L50+F50</f>
        <v>0</v>
      </c>
    </row>
    <row r="51" spans="1:18">
      <c r="A51" s="182">
        <f>A50+1</f>
        <v>28</v>
      </c>
      <c r="B51" s="12"/>
      <c r="C51" s="12" t="s">
        <v>23</v>
      </c>
      <c r="F51" s="192">
        <f>SUM(F43:F50)</f>
        <v>8412689.7231677081</v>
      </c>
      <c r="J51" s="192">
        <f>SUM(J43:J50)</f>
        <v>0</v>
      </c>
      <c r="L51" s="192">
        <f>SUM(L43:L50)</f>
        <v>158316.59622659264</v>
      </c>
      <c r="N51" s="192">
        <f>SUM(N43:N50)</f>
        <v>0</v>
      </c>
      <c r="P51" s="192">
        <f>SUM(P43:P50)</f>
        <v>0</v>
      </c>
      <c r="R51" s="192">
        <f>SUM(R43:R50)</f>
        <v>8571006.3193943016</v>
      </c>
    </row>
    <row r="53" spans="1:18">
      <c r="A53" s="182">
        <v>29</v>
      </c>
      <c r="C53" s="12" t="s">
        <v>276</v>
      </c>
      <c r="J53" s="219">
        <f>+J19+J20+J23+J31+J34+J30</f>
        <v>288490.10068034515</v>
      </c>
      <c r="N53" s="219">
        <f>+N19+N20+N23+N31+N34+N30</f>
        <v>3391.0255629525082</v>
      </c>
      <c r="P53" s="219">
        <f>+J53+N53</f>
        <v>291881.12624329765</v>
      </c>
    </row>
    <row r="54" spans="1:18">
      <c r="A54" s="182">
        <v>30</v>
      </c>
      <c r="C54" s="12" t="s">
        <v>277</v>
      </c>
      <c r="J54" s="219">
        <f>+J40-J53</f>
        <v>11107.435546878143</v>
      </c>
      <c r="N54" s="219">
        <f>+N40-N53</f>
        <v>96.428913184006888</v>
      </c>
      <c r="P54" s="219">
        <f>+P40-P53</f>
        <v>11203.864460062177</v>
      </c>
    </row>
  </sheetData>
  <pageMargins left="0.7" right="0.7" top="0.75" bottom="0.75" header="0.3" footer="0.3"/>
  <pageSetup scale="7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5">
    <tabColor rgb="FF00B050"/>
    <pageSetUpPr fitToPage="1"/>
  </sheetPr>
  <dimension ref="A1:R54"/>
  <sheetViews>
    <sheetView zoomScaleNormal="100" workbookViewId="0">
      <selection activeCell="F36" sqref="F36"/>
    </sheetView>
  </sheetViews>
  <sheetFormatPr defaultColWidth="9.3984375" defaultRowHeight="12.75"/>
  <cols>
    <col min="1" max="1" width="5.3984375" style="182" customWidth="1"/>
    <col min="2" max="2" width="2.59765625" style="182" customWidth="1"/>
    <col min="3" max="3" width="28.1328125" style="12" bestFit="1" customWidth="1"/>
    <col min="4" max="4" width="9.3984375" style="182"/>
    <col min="5" max="5" width="1.3984375" style="182" customWidth="1"/>
    <col min="6" max="6" width="15.59765625" style="12" customWidth="1"/>
    <col min="7" max="7" width="1.3984375" style="182" customWidth="1"/>
    <col min="8" max="8" width="9.59765625" style="12" customWidth="1"/>
    <col min="9" max="9" width="1.3984375" style="182" customWidth="1"/>
    <col min="10" max="10" width="12.59765625" style="12" bestFit="1" customWidth="1"/>
    <col min="11" max="11" width="1.3984375" style="182" customWidth="1"/>
    <col min="12" max="12" width="14.59765625" style="12" bestFit="1" customWidth="1"/>
    <col min="13" max="13" width="1.3984375" style="182" customWidth="1"/>
    <col min="14" max="14" width="16.59765625" style="12" customWidth="1"/>
    <col min="15" max="15" width="1.3984375" style="182" customWidth="1"/>
    <col min="16" max="16" width="16" style="12" bestFit="1" customWidth="1"/>
    <col min="17" max="17" width="1.3984375" style="182" customWidth="1"/>
    <col min="18" max="18" width="15.59765625" style="12" customWidth="1"/>
    <col min="19" max="16384" width="9.3984375" style="12"/>
  </cols>
  <sheetData>
    <row r="1" spans="1:18" ht="13.15">
      <c r="R1" s="220" t="s">
        <v>278</v>
      </c>
    </row>
    <row r="2" spans="1:18" ht="13.15">
      <c r="R2" s="220" t="s">
        <v>279</v>
      </c>
    </row>
    <row r="3" spans="1:18" ht="13.15">
      <c r="R3" s="220" t="s">
        <v>280</v>
      </c>
    </row>
    <row r="4" spans="1:18" ht="13.15">
      <c r="R4" s="220" t="s">
        <v>286</v>
      </c>
    </row>
    <row r="6" spans="1:18" ht="13.15">
      <c r="R6" s="65" t="s">
        <v>248</v>
      </c>
    </row>
    <row r="7" spans="1:18" ht="13.15">
      <c r="A7" s="176" t="str">
        <f>'202210 Bk Depr Form 2.10'!A7</f>
        <v>COLUMBIA GAS OF KENTUCKY, INC.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</row>
    <row r="8" spans="1:18" s="13" customFormat="1" ht="13.15">
      <c r="A8" s="177" t="str">
        <f>'202210 Bk Depr Form 2.10'!A8</f>
        <v>ANNUAL ADJUSTMENT TO THE SAFETY MODIFICATION AND REPLACEMENT PROGRAM ("SMRP")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</row>
    <row r="9" spans="1:18" ht="13.15">
      <c r="A9" s="176" t="s">
        <v>263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</row>
    <row r="10" spans="1:18" ht="13.15">
      <c r="A10" s="179"/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</row>
    <row r="11" spans="1:18" ht="13.15">
      <c r="A11" s="180"/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</row>
    <row r="12" spans="1:18" ht="13.15">
      <c r="C12" s="181"/>
      <c r="D12" s="181"/>
      <c r="E12" s="181"/>
      <c r="F12" s="181" t="s">
        <v>70</v>
      </c>
      <c r="G12" s="181"/>
      <c r="H12" s="181"/>
      <c r="I12" s="181"/>
      <c r="J12" s="181" t="s">
        <v>70</v>
      </c>
      <c r="K12" s="181"/>
      <c r="L12" s="181" t="s">
        <v>70</v>
      </c>
      <c r="M12" s="181"/>
      <c r="N12" s="181"/>
      <c r="O12" s="181"/>
      <c r="P12" s="181"/>
      <c r="Q12" s="181"/>
      <c r="R12" s="181" t="s">
        <v>70</v>
      </c>
    </row>
    <row r="13" spans="1:18" ht="13.15">
      <c r="C13" s="181"/>
      <c r="D13" s="181"/>
      <c r="E13" s="181"/>
      <c r="F13" s="181" t="s">
        <v>8</v>
      </c>
      <c r="G13" s="181"/>
      <c r="H13" s="181" t="s">
        <v>73</v>
      </c>
      <c r="I13" s="181"/>
      <c r="J13" s="181" t="s">
        <v>11</v>
      </c>
      <c r="K13" s="181"/>
      <c r="L13" s="181" t="s">
        <v>20</v>
      </c>
      <c r="M13" s="181"/>
      <c r="N13" s="181" t="s">
        <v>60</v>
      </c>
      <c r="O13" s="181"/>
      <c r="P13" s="181" t="s">
        <v>60</v>
      </c>
      <c r="Q13" s="181"/>
      <c r="R13" s="181" t="s">
        <v>14</v>
      </c>
    </row>
    <row r="14" spans="1:18" ht="13.15">
      <c r="A14" s="181" t="s">
        <v>4</v>
      </c>
      <c r="B14" s="181"/>
      <c r="C14" s="181"/>
      <c r="D14" s="181" t="s">
        <v>7</v>
      </c>
      <c r="E14" s="181"/>
      <c r="F14" s="181" t="s">
        <v>1</v>
      </c>
      <c r="G14" s="181"/>
      <c r="H14" s="181" t="s">
        <v>10</v>
      </c>
      <c r="I14" s="181"/>
      <c r="J14" s="181" t="s">
        <v>8</v>
      </c>
      <c r="K14" s="181"/>
      <c r="L14" s="181" t="s">
        <v>42</v>
      </c>
      <c r="M14" s="181"/>
      <c r="N14" s="181" t="s">
        <v>11</v>
      </c>
      <c r="O14" s="181"/>
      <c r="P14" s="181" t="s">
        <v>28</v>
      </c>
      <c r="Q14" s="181"/>
      <c r="R14" s="181" t="s">
        <v>1</v>
      </c>
    </row>
    <row r="15" spans="1:18" ht="13.15">
      <c r="A15" s="183" t="s">
        <v>5</v>
      </c>
      <c r="B15" s="183"/>
      <c r="C15" s="183" t="s">
        <v>6</v>
      </c>
      <c r="D15" s="183" t="s">
        <v>5</v>
      </c>
      <c r="E15" s="183"/>
      <c r="F15" s="183" t="s">
        <v>9</v>
      </c>
      <c r="G15" s="183"/>
      <c r="H15" s="183" t="s">
        <v>2</v>
      </c>
      <c r="I15" s="183"/>
      <c r="J15" s="183" t="s">
        <v>9</v>
      </c>
      <c r="K15" s="183"/>
      <c r="L15" s="183" t="s">
        <v>12</v>
      </c>
      <c r="M15" s="183"/>
      <c r="N15" s="183" t="s">
        <v>13</v>
      </c>
      <c r="O15" s="183"/>
      <c r="P15" s="183" t="s">
        <v>0</v>
      </c>
      <c r="Q15" s="183"/>
      <c r="R15" s="183" t="s">
        <v>9</v>
      </c>
    </row>
    <row r="16" spans="1:18" s="1" customFormat="1" ht="13.15">
      <c r="A16" s="181"/>
      <c r="B16" s="181"/>
      <c r="C16" s="184">
        <v>-1</v>
      </c>
      <c r="D16" s="184">
        <v>-2</v>
      </c>
      <c r="E16" s="184"/>
      <c r="F16" s="184">
        <v>-3</v>
      </c>
      <c r="G16" s="184"/>
      <c r="H16" s="184">
        <v>-4</v>
      </c>
      <c r="I16" s="184"/>
      <c r="J16" s="184" t="s">
        <v>15</v>
      </c>
      <c r="K16" s="184"/>
      <c r="L16" s="184">
        <v>-6</v>
      </c>
      <c r="M16" s="184"/>
      <c r="N16" s="184" t="s">
        <v>16</v>
      </c>
      <c r="O16" s="184"/>
      <c r="P16" s="184" t="s">
        <v>61</v>
      </c>
      <c r="Q16" s="184"/>
      <c r="R16" s="184" t="s">
        <v>17</v>
      </c>
    </row>
    <row r="18" spans="1:18" ht="13.15">
      <c r="B18" s="185" t="s">
        <v>20</v>
      </c>
      <c r="C18" s="185"/>
    </row>
    <row r="19" spans="1:18">
      <c r="A19" s="182">
        <v>1</v>
      </c>
      <c r="B19" s="12"/>
      <c r="C19" s="12" t="s">
        <v>90</v>
      </c>
      <c r="D19" s="182">
        <v>376</v>
      </c>
      <c r="F19" s="186">
        <f>'202210 Bk Depr Form 2.10'!R19</f>
        <v>129107386.89545462</v>
      </c>
      <c r="H19" s="187">
        <f>+'202210 Bk Depr Form 2.10'!H19</f>
        <v>1.4833333333333332E-3</v>
      </c>
      <c r="J19" s="188">
        <f>F19*H19</f>
        <v>191509.29056159101</v>
      </c>
      <c r="L19" s="189">
        <f>'Cap Ex 2021 Form 2.13'!N17</f>
        <v>5118235.0712168003</v>
      </c>
      <c r="N19" s="188">
        <f>H19*L19*0.5</f>
        <v>3796.0243444857933</v>
      </c>
      <c r="P19" s="188">
        <f>J19+N19</f>
        <v>195305.31490607682</v>
      </c>
      <c r="R19" s="188">
        <f>L19+F19</f>
        <v>134225621.96667141</v>
      </c>
    </row>
    <row r="20" spans="1:18">
      <c r="A20" s="182">
        <f t="shared" ref="A20:A26" si="0">A19+1</f>
        <v>2</v>
      </c>
      <c r="B20" s="12"/>
      <c r="C20" s="12" t="s">
        <v>91</v>
      </c>
      <c r="D20" s="182">
        <v>376</v>
      </c>
      <c r="F20" s="186">
        <f>'202210 Bk Depr Form 2.10'!R20</f>
        <v>0</v>
      </c>
      <c r="H20" s="187">
        <f>+'202210 Bk Depr Form 2.10'!H20</f>
        <v>1.4833333333333332E-3</v>
      </c>
      <c r="J20" s="188">
        <f t="shared" ref="J20:J23" si="1">F20*H20</f>
        <v>0</v>
      </c>
      <c r="L20" s="189">
        <f>'Cap Ex 2021 Form 2.13'!N18</f>
        <v>0</v>
      </c>
      <c r="N20" s="188">
        <f t="shared" ref="N20:N24" si="2">H20*L20*0.5</f>
        <v>0</v>
      </c>
      <c r="P20" s="188">
        <f t="shared" ref="P20:P23" si="3">J20+N20</f>
        <v>0</v>
      </c>
      <c r="R20" s="188">
        <f t="shared" ref="R20:R23" si="4">L20+F20</f>
        <v>0</v>
      </c>
    </row>
    <row r="21" spans="1:18">
      <c r="A21" s="182">
        <f t="shared" si="0"/>
        <v>3</v>
      </c>
      <c r="B21" s="12"/>
      <c r="C21" s="12" t="s">
        <v>92</v>
      </c>
      <c r="D21" s="182">
        <v>378</v>
      </c>
      <c r="F21" s="186">
        <f>'202210 Bk Depr Form 2.10'!R21</f>
        <v>1775075.1209722036</v>
      </c>
      <c r="H21" s="187">
        <f>+'202210 Bk Depr Form 2.10'!H21</f>
        <v>2.0916666666666666E-3</v>
      </c>
      <c r="J21" s="188">
        <f t="shared" si="1"/>
        <v>3712.8654613668591</v>
      </c>
      <c r="L21" s="189">
        <f>'Cap Ex 2021 Form 2.13'!N19</f>
        <v>148144.45648897268</v>
      </c>
      <c r="N21" s="188">
        <f t="shared" si="2"/>
        <v>154.93441074471724</v>
      </c>
      <c r="P21" s="188">
        <f t="shared" si="3"/>
        <v>3867.7998721115764</v>
      </c>
      <c r="R21" s="188">
        <f t="shared" si="4"/>
        <v>1923219.5774611763</v>
      </c>
    </row>
    <row r="22" spans="1:18">
      <c r="A22" s="182">
        <f t="shared" si="0"/>
        <v>4</v>
      </c>
      <c r="B22" s="12"/>
      <c r="C22" s="12" t="s">
        <v>93</v>
      </c>
      <c r="D22" s="182">
        <v>378</v>
      </c>
      <c r="F22" s="186">
        <f>'202210 Bk Depr Form 2.10'!R22</f>
        <v>3348545.4100000006</v>
      </c>
      <c r="H22" s="187">
        <f>+'202210 Bk Depr Form 2.10'!H22</f>
        <v>2.0916666666666666E-3</v>
      </c>
      <c r="J22" s="188">
        <f t="shared" si="1"/>
        <v>7004.0408159166673</v>
      </c>
      <c r="L22" s="189">
        <f>'Cap Ex 2021 Form 2.13'!N20</f>
        <v>0</v>
      </c>
      <c r="N22" s="188">
        <f t="shared" si="2"/>
        <v>0</v>
      </c>
      <c r="P22" s="188">
        <f t="shared" si="3"/>
        <v>7004.0408159166673</v>
      </c>
      <c r="R22" s="188">
        <f t="shared" si="4"/>
        <v>3348545.4100000006</v>
      </c>
    </row>
    <row r="23" spans="1:18">
      <c r="A23" s="182">
        <f t="shared" si="0"/>
        <v>5</v>
      </c>
      <c r="B23" s="12"/>
      <c r="C23" s="12" t="s">
        <v>94</v>
      </c>
      <c r="D23" s="182">
        <v>380</v>
      </c>
      <c r="F23" s="186">
        <f>'202210 Bk Depr Form 2.10'!R23</f>
        <v>46592967.922920018</v>
      </c>
      <c r="H23" s="187">
        <f>+'202210 Bk Depr Form 2.10'!H23</f>
        <v>3.316666666666667E-3</v>
      </c>
      <c r="J23" s="188">
        <f t="shared" si="1"/>
        <v>154533.34361101806</v>
      </c>
      <c r="L23" s="189">
        <f>'Cap Ex 2021 Form 2.13'!N21</f>
        <v>1299823.9022758417</v>
      </c>
      <c r="N23" s="188">
        <f t="shared" si="2"/>
        <v>2155.5413046074377</v>
      </c>
      <c r="P23" s="188">
        <f t="shared" si="3"/>
        <v>156688.8849156255</v>
      </c>
      <c r="R23" s="188">
        <f t="shared" si="4"/>
        <v>47892791.825195864</v>
      </c>
    </row>
    <row r="24" spans="1:18">
      <c r="A24" s="182">
        <f t="shared" si="0"/>
        <v>6</v>
      </c>
      <c r="B24" s="12"/>
      <c r="C24" s="12" t="s">
        <v>95</v>
      </c>
      <c r="D24" s="182">
        <v>382</v>
      </c>
      <c r="F24" s="186">
        <f>'202210 Bk Depr Form 2.10'!R24</f>
        <v>303164.21666989842</v>
      </c>
      <c r="H24" s="187">
        <f>+'202210 Bk Depr Form 2.10'!H24</f>
        <v>1.475E-3</v>
      </c>
      <c r="J24" s="188">
        <f>F24*H24</f>
        <v>447.16721958810018</v>
      </c>
      <c r="L24" s="189">
        <f>'Cap Ex 2021 Form 2.13'!N22</f>
        <v>8776.133568090303</v>
      </c>
      <c r="N24" s="188">
        <f t="shared" si="2"/>
        <v>6.4723985064665985</v>
      </c>
      <c r="P24" s="188">
        <f>J24+N24</f>
        <v>453.6396180945668</v>
      </c>
      <c r="R24" s="188">
        <f>L24+F24</f>
        <v>311940.35023798875</v>
      </c>
    </row>
    <row r="25" spans="1:18">
      <c r="A25" s="182">
        <f t="shared" si="0"/>
        <v>7</v>
      </c>
      <c r="B25" s="12"/>
      <c r="C25" s="190" t="s">
        <v>96</v>
      </c>
      <c r="D25" s="182">
        <v>383</v>
      </c>
      <c r="F25" s="186">
        <f>'202210 Bk Depr Form 2.10'!R25</f>
        <v>368281.09718850395</v>
      </c>
      <c r="H25" s="187">
        <f>+'202210 Bk Depr Form 2.10'!H25</f>
        <v>1.6333333333333332E-3</v>
      </c>
      <c r="J25" s="188">
        <f>F25*H25</f>
        <v>601.52579207455642</v>
      </c>
      <c r="L25" s="189">
        <f>'Cap Ex 2021 Form 2.13'!N23</f>
        <v>11493.942385351498</v>
      </c>
      <c r="N25" s="188">
        <f>H25*L25*0.5</f>
        <v>9.386719614703722</v>
      </c>
      <c r="P25" s="188">
        <f>J25+N25</f>
        <v>610.9125116892601</v>
      </c>
      <c r="R25" s="188">
        <f>L25+F25</f>
        <v>379775.03957385547</v>
      </c>
    </row>
    <row r="26" spans="1:18">
      <c r="A26" s="182">
        <f t="shared" si="0"/>
        <v>8</v>
      </c>
      <c r="B26" s="12"/>
      <c r="C26" s="12" t="s">
        <v>97</v>
      </c>
      <c r="D26" s="182">
        <v>387</v>
      </c>
      <c r="F26" s="191">
        <f>'202210 Bk Depr Form 2.10'!R26</f>
        <v>213381</v>
      </c>
      <c r="H26" s="187">
        <f>+'202210 Bk Depr Form 2.10'!H26</f>
        <v>2.6583333333333333E-3</v>
      </c>
      <c r="J26" s="188">
        <f>F26*H26</f>
        <v>567.23782500000004</v>
      </c>
      <c r="L26" s="189">
        <f>'Cap Ex 2021 Form 2.13'!N24</f>
        <v>0</v>
      </c>
      <c r="N26" s="188">
        <f>H26*L26*0.5</f>
        <v>0</v>
      </c>
      <c r="P26" s="188">
        <f>J26+N26</f>
        <v>567.23782500000004</v>
      </c>
      <c r="R26" s="188">
        <f>L26+F26</f>
        <v>213381</v>
      </c>
    </row>
    <row r="27" spans="1:18">
      <c r="A27" s="182">
        <f>A26+1</f>
        <v>9</v>
      </c>
      <c r="B27" s="12"/>
      <c r="C27" s="12" t="s">
        <v>21</v>
      </c>
      <c r="F27" s="192">
        <f>SUM(F19:F26)</f>
        <v>181708801.66320524</v>
      </c>
      <c r="J27" s="192">
        <f>SUM(J19:J26)</f>
        <v>358375.47128655534</v>
      </c>
      <c r="L27" s="192">
        <f>SUM(L19:L26)</f>
        <v>6586473.5059350561</v>
      </c>
      <c r="N27" s="192">
        <f>SUM(N19:N26)</f>
        <v>6122.3591779591188</v>
      </c>
      <c r="P27" s="192">
        <f>SUM(P19:P26)</f>
        <v>364497.83046451438</v>
      </c>
      <c r="R27" s="192">
        <f>SUM(R19:R26)</f>
        <v>188295275.16914031</v>
      </c>
    </row>
    <row r="28" spans="1:18">
      <c r="B28" s="12"/>
    </row>
    <row r="29" spans="1:18" ht="13.15">
      <c r="B29" s="185" t="s">
        <v>12</v>
      </c>
      <c r="C29" s="185"/>
    </row>
    <row r="30" spans="1:18">
      <c r="A30" s="182">
        <f>A27+1</f>
        <v>10</v>
      </c>
      <c r="B30" s="12"/>
      <c r="C30" s="12" t="str">
        <f>C19</f>
        <v>Mains</v>
      </c>
      <c r="D30" s="182">
        <f>D19</f>
        <v>376</v>
      </c>
      <c r="F30" s="186">
        <f>'202210 Bk Depr Form 2.10'!R30</f>
        <v>-12858222.516923077</v>
      </c>
      <c r="H30" s="187">
        <f>+'202210 Bk Depr Form 2.10'!H30</f>
        <v>1.4833333333333332E-3</v>
      </c>
      <c r="J30" s="188">
        <f>F30*H30</f>
        <v>-19073.030066769232</v>
      </c>
      <c r="L30" s="189">
        <f>'Cap Ex 2021 Form 2.13'!N27</f>
        <v>-166254</v>
      </c>
      <c r="N30" s="188">
        <f>H30*L30*0.5</f>
        <v>-123.30504999999999</v>
      </c>
      <c r="P30" s="188">
        <f>J30+N30</f>
        <v>-19196.335116769231</v>
      </c>
      <c r="R30" s="188">
        <f>L30+F30</f>
        <v>-13024476.516923077</v>
      </c>
    </row>
    <row r="31" spans="1:18">
      <c r="A31" s="182">
        <f>A30+1</f>
        <v>11</v>
      </c>
      <c r="B31" s="12"/>
      <c r="C31" s="12" t="str">
        <f t="shared" ref="C31:D37" si="5">C20</f>
        <v>Mains - In-Line Inspections</v>
      </c>
      <c r="D31" s="182">
        <f t="shared" si="5"/>
        <v>376</v>
      </c>
      <c r="F31" s="186">
        <f>'202210 Bk Depr Form 2.10'!R31</f>
        <v>0</v>
      </c>
      <c r="H31" s="187">
        <f>+'202210 Bk Depr Form 2.10'!H31</f>
        <v>1.4833333333333332E-3</v>
      </c>
      <c r="J31" s="188">
        <f>F31*H31</f>
        <v>0</v>
      </c>
      <c r="L31" s="189">
        <f>'Cap Ex 2021 Form 2.13'!N28</f>
        <v>0</v>
      </c>
      <c r="N31" s="188">
        <f>H31*L31*0.5</f>
        <v>0</v>
      </c>
      <c r="P31" s="188">
        <f>J31+N31</f>
        <v>0</v>
      </c>
      <c r="R31" s="188">
        <f>L31+F31</f>
        <v>0</v>
      </c>
    </row>
    <row r="32" spans="1:18">
      <c r="A32" s="182">
        <f>A31+1</f>
        <v>12</v>
      </c>
      <c r="B32" s="12"/>
      <c r="C32" s="12" t="str">
        <f t="shared" si="5"/>
        <v>Plant Regulators</v>
      </c>
      <c r="D32" s="182">
        <f t="shared" si="5"/>
        <v>378</v>
      </c>
      <c r="F32" s="186">
        <f>'202210 Bk Depr Form 2.10'!R32</f>
        <v>-221217.3</v>
      </c>
      <c r="H32" s="187">
        <f>+'202210 Bk Depr Form 2.10'!H32</f>
        <v>2.0916666666666666E-3</v>
      </c>
      <c r="J32" s="188">
        <f t="shared" ref="J32:J37" si="6">F32*H32</f>
        <v>-462.71285249999994</v>
      </c>
      <c r="L32" s="189">
        <f>'Cap Ex 2021 Form 2.13'!N29</f>
        <v>-12030</v>
      </c>
      <c r="N32" s="188">
        <f t="shared" ref="N32:N37" si="7">H32*L32*0.5</f>
        <v>-12.581375</v>
      </c>
      <c r="P32" s="188">
        <f t="shared" ref="P32:P37" si="8">J32+N32</f>
        <v>-475.29422749999992</v>
      </c>
      <c r="R32" s="188">
        <f t="shared" ref="R32:R37" si="9">L32+F32</f>
        <v>-233247.3</v>
      </c>
    </row>
    <row r="33" spans="1:18">
      <c r="A33" s="182">
        <f t="shared" ref="A33:A36" si="10">A32+1</f>
        <v>13</v>
      </c>
      <c r="B33" s="12"/>
      <c r="C33" s="12" t="str">
        <f t="shared" si="5"/>
        <v>Plant Regulators - LP Program</v>
      </c>
      <c r="D33" s="182">
        <f t="shared" si="5"/>
        <v>378</v>
      </c>
      <c r="F33" s="186">
        <f>'202210 Bk Depr Form 2.10'!R33</f>
        <v>-194723.07</v>
      </c>
      <c r="H33" s="187">
        <f>+'202210 Bk Depr Form 2.10'!H33</f>
        <v>2.0916666666666666E-3</v>
      </c>
      <c r="J33" s="188">
        <f t="shared" si="6"/>
        <v>-407.29575475000001</v>
      </c>
      <c r="L33" s="189">
        <f>'Cap Ex 2021 Form 2.13'!N30</f>
        <v>0</v>
      </c>
      <c r="N33" s="188">
        <f t="shared" si="7"/>
        <v>0</v>
      </c>
      <c r="P33" s="188">
        <f t="shared" si="8"/>
        <v>-407.29575475000001</v>
      </c>
      <c r="R33" s="188">
        <f t="shared" si="9"/>
        <v>-194723.07</v>
      </c>
    </row>
    <row r="34" spans="1:18">
      <c r="A34" s="182">
        <f t="shared" si="10"/>
        <v>14</v>
      </c>
      <c r="B34" s="12"/>
      <c r="C34" s="12" t="str">
        <f t="shared" si="5"/>
        <v>Service Lines</v>
      </c>
      <c r="D34" s="182">
        <f t="shared" si="5"/>
        <v>380</v>
      </c>
      <c r="F34" s="186">
        <f>'202210 Bk Depr Form 2.10'!R34</f>
        <v>-9557020.7938461546</v>
      </c>
      <c r="H34" s="187">
        <f>+'202210 Bk Depr Form 2.10'!H34</f>
        <v>3.316666666666667E-3</v>
      </c>
      <c r="J34" s="188">
        <f t="shared" si="6"/>
        <v>-31697.45229958975</v>
      </c>
      <c r="L34" s="189">
        <f>'Cap Ex 2021 Form 2.13'!N31</f>
        <v>-105555</v>
      </c>
      <c r="N34" s="188">
        <f t="shared" si="7"/>
        <v>-175.04537500000001</v>
      </c>
      <c r="P34" s="188">
        <f t="shared" si="8"/>
        <v>-31872.497674589751</v>
      </c>
      <c r="R34" s="188">
        <f t="shared" si="9"/>
        <v>-9662575.7938461546</v>
      </c>
    </row>
    <row r="35" spans="1:18">
      <c r="A35" s="182">
        <f t="shared" si="10"/>
        <v>15</v>
      </c>
      <c r="B35" s="12"/>
      <c r="C35" s="12" t="str">
        <f t="shared" si="5"/>
        <v>Meter Installations</v>
      </c>
      <c r="D35" s="182">
        <f t="shared" si="5"/>
        <v>382</v>
      </c>
      <c r="F35" s="186">
        <f>'202210 Bk Depr Form 2.10'!R35</f>
        <v>-83526.182000000001</v>
      </c>
      <c r="H35" s="187">
        <f>+'202210 Bk Depr Form 2.10'!H35</f>
        <v>1.475E-3</v>
      </c>
      <c r="J35" s="188">
        <f t="shared" si="6"/>
        <v>-123.20111845</v>
      </c>
      <c r="L35" s="189">
        <f>'Cap Ex 2021 Form 2.13'!N32</f>
        <v>-713</v>
      </c>
      <c r="N35" s="188">
        <f t="shared" si="7"/>
        <v>-0.52583749999999996</v>
      </c>
      <c r="P35" s="188">
        <f t="shared" si="8"/>
        <v>-123.72695594999999</v>
      </c>
      <c r="R35" s="188">
        <f t="shared" si="9"/>
        <v>-84239.182000000001</v>
      </c>
    </row>
    <row r="36" spans="1:18" s="193" customFormat="1">
      <c r="A36" s="182">
        <f t="shared" si="10"/>
        <v>16</v>
      </c>
      <c r="C36" s="12" t="str">
        <f t="shared" si="5"/>
        <v>House Regulators</v>
      </c>
      <c r="D36" s="182">
        <f t="shared" si="5"/>
        <v>383</v>
      </c>
      <c r="E36" s="194"/>
      <c r="F36" s="186">
        <f>'202210 Bk Depr Form 2.10'!R36</f>
        <v>-24082.050000000003</v>
      </c>
      <c r="G36" s="194"/>
      <c r="H36" s="187">
        <f>+'202210 Bk Depr Form 2.10'!H36</f>
        <v>1.6333333333333332E-3</v>
      </c>
      <c r="I36" s="194"/>
      <c r="J36" s="186">
        <f t="shared" si="6"/>
        <v>-39.334015000000001</v>
      </c>
      <c r="K36" s="194"/>
      <c r="L36" s="189">
        <f>'Cap Ex 2021 Form 2.13'!N33</f>
        <v>-933</v>
      </c>
      <c r="M36" s="194"/>
      <c r="N36" s="186">
        <f t="shared" si="7"/>
        <v>-0.76194999999999991</v>
      </c>
      <c r="O36" s="194"/>
      <c r="P36" s="186">
        <f t="shared" si="8"/>
        <v>-40.095965</v>
      </c>
      <c r="Q36" s="194"/>
      <c r="R36" s="186">
        <f t="shared" si="9"/>
        <v>-25015.050000000003</v>
      </c>
    </row>
    <row r="37" spans="1:18">
      <c r="A37" s="182">
        <f>A36+1</f>
        <v>17</v>
      </c>
      <c r="B37" s="12"/>
      <c r="C37" s="12" t="str">
        <f t="shared" si="5"/>
        <v>GPS Devices</v>
      </c>
      <c r="D37" s="182">
        <f t="shared" si="5"/>
        <v>387</v>
      </c>
      <c r="F37" s="191">
        <f>'202210 Bk Depr Form 2.10'!R37</f>
        <v>0</v>
      </c>
      <c r="H37" s="187">
        <f>+'202210 Bk Depr Form 2.10'!H37</f>
        <v>2.6583333333333333E-3</v>
      </c>
      <c r="J37" s="188">
        <f t="shared" si="6"/>
        <v>0</v>
      </c>
      <c r="L37" s="195">
        <f>'Cap Ex 2021 Form 2.13'!N34</f>
        <v>0</v>
      </c>
      <c r="N37" s="188">
        <f t="shared" si="7"/>
        <v>0</v>
      </c>
      <c r="P37" s="188">
        <f t="shared" si="8"/>
        <v>0</v>
      </c>
      <c r="R37" s="188">
        <f t="shared" si="9"/>
        <v>0</v>
      </c>
    </row>
    <row r="38" spans="1:18">
      <c r="A38" s="182">
        <f>A37+1</f>
        <v>18</v>
      </c>
      <c r="B38" s="12"/>
      <c r="C38" s="12" t="s">
        <v>22</v>
      </c>
      <c r="F38" s="192">
        <f>SUM(F30:F37)</f>
        <v>-22938791.912769236</v>
      </c>
      <c r="J38" s="192">
        <f>SUM(J30:J37)</f>
        <v>-51803.026107058984</v>
      </c>
      <c r="L38" s="192">
        <f>SUM(L30:L37)</f>
        <v>-285485</v>
      </c>
      <c r="N38" s="192">
        <f>SUM(N30:N37)</f>
        <v>-312.21958750000005</v>
      </c>
      <c r="P38" s="192">
        <f>SUM(P30:P37)</f>
        <v>-52115.24569455898</v>
      </c>
      <c r="R38" s="192">
        <f>SUM(R30:R37)</f>
        <v>-23224276.912769236</v>
      </c>
    </row>
    <row r="39" spans="1:18">
      <c r="B39" s="12"/>
    </row>
    <row r="40" spans="1:18" s="199" customFormat="1" ht="13.5" thickBot="1">
      <c r="A40" s="196">
        <f>A38+1</f>
        <v>19</v>
      </c>
      <c r="B40" s="197" t="s">
        <v>18</v>
      </c>
      <c r="C40" s="197"/>
      <c r="D40" s="196"/>
      <c r="E40" s="196"/>
      <c r="F40" s="198">
        <f>F27+F38</f>
        <v>158770009.75043601</v>
      </c>
      <c r="G40" s="196"/>
      <c r="I40" s="196"/>
      <c r="J40" s="198">
        <f>J27+J38</f>
        <v>306572.44517949637</v>
      </c>
      <c r="K40" s="196"/>
      <c r="L40" s="198">
        <f>L27+L38</f>
        <v>6300988.5059350561</v>
      </c>
      <c r="M40" s="196"/>
      <c r="N40" s="198">
        <f>N27+N38</f>
        <v>5810.1395904591191</v>
      </c>
      <c r="O40" s="196"/>
      <c r="P40" s="198">
        <f>P27+P38</f>
        <v>312382.58476995537</v>
      </c>
      <c r="Q40" s="196"/>
      <c r="R40" s="198">
        <f>R27+R38</f>
        <v>165070998.25637108</v>
      </c>
    </row>
    <row r="41" spans="1:18" ht="13.15" thickTop="1">
      <c r="B41" s="12"/>
    </row>
    <row r="42" spans="1:18" ht="13.15">
      <c r="B42" s="200" t="s">
        <v>19</v>
      </c>
      <c r="C42" s="200"/>
    </row>
    <row r="43" spans="1:18">
      <c r="A43" s="182">
        <f>A40+1</f>
        <v>20</v>
      </c>
      <c r="B43" s="12"/>
      <c r="C43" s="12" t="str">
        <f>C30</f>
        <v>Mains</v>
      </c>
      <c r="D43" s="182">
        <f>D30</f>
        <v>376</v>
      </c>
      <c r="F43" s="186">
        <f>'202210 Bk Depr Form 2.10'!R43</f>
        <v>1619720.9020529804</v>
      </c>
      <c r="J43" s="188"/>
      <c r="L43" s="189">
        <f>'Cap Ex 2021 Form 2.13'!N39</f>
        <v>40641.269329294562</v>
      </c>
      <c r="N43" s="188"/>
      <c r="P43" s="188"/>
      <c r="R43" s="188">
        <f>L43+F43</f>
        <v>1660362.1713822749</v>
      </c>
    </row>
    <row r="44" spans="1:18">
      <c r="A44" s="182">
        <f>A43+1</f>
        <v>21</v>
      </c>
      <c r="B44" s="12"/>
      <c r="C44" s="12" t="str">
        <f t="shared" ref="C44:D50" si="11">C31</f>
        <v>Mains - In-Line Inspections</v>
      </c>
      <c r="D44" s="182">
        <f t="shared" si="11"/>
        <v>376</v>
      </c>
      <c r="F44" s="186">
        <f>'202210 Bk Depr Form 2.10'!R44</f>
        <v>0</v>
      </c>
      <c r="J44" s="188"/>
      <c r="L44" s="189">
        <f>'Cap Ex 2021 Form 2.13'!N40</f>
        <v>0</v>
      </c>
      <c r="N44" s="188"/>
      <c r="P44" s="188"/>
      <c r="R44" s="188">
        <f>L44+F44</f>
        <v>0</v>
      </c>
    </row>
    <row r="45" spans="1:18">
      <c r="A45" s="182">
        <f>A44+1</f>
        <v>22</v>
      </c>
      <c r="B45" s="12"/>
      <c r="C45" s="12" t="str">
        <f t="shared" si="11"/>
        <v>Plant Regulators</v>
      </c>
      <c r="D45" s="182">
        <f t="shared" si="11"/>
        <v>378</v>
      </c>
      <c r="F45" s="186">
        <f>'202210 Bk Depr Form 2.10'!R45</f>
        <v>15397.445458960001</v>
      </c>
      <c r="J45" s="188"/>
      <c r="L45" s="189">
        <f>'Cap Ex 2021 Form 2.13'!N41</f>
        <v>571.55474772000002</v>
      </c>
      <c r="N45" s="188"/>
      <c r="P45" s="188"/>
      <c r="R45" s="188">
        <f>L45+F45</f>
        <v>15969.000206680001</v>
      </c>
    </row>
    <row r="46" spans="1:18">
      <c r="A46" s="182">
        <f t="shared" ref="A46:A50" si="12">A45+1</f>
        <v>23</v>
      </c>
      <c r="B46" s="12"/>
      <c r="C46" s="12" t="str">
        <f t="shared" si="11"/>
        <v>Plant Regulators - LP Program</v>
      </c>
      <c r="D46" s="182">
        <f t="shared" si="11"/>
        <v>378</v>
      </c>
      <c r="F46" s="186">
        <f>'202210 Bk Depr Form 2.10'!R46</f>
        <v>10279.780000000001</v>
      </c>
      <c r="J46" s="188"/>
      <c r="L46" s="189">
        <f>'Cap Ex 2021 Form 2.13'!N42</f>
        <v>0</v>
      </c>
      <c r="N46" s="188"/>
      <c r="P46" s="188"/>
      <c r="R46" s="188">
        <f t="shared" ref="R46:R49" si="13">L46+F46</f>
        <v>10279.780000000001</v>
      </c>
    </row>
    <row r="47" spans="1:18">
      <c r="A47" s="182">
        <f t="shared" si="12"/>
        <v>24</v>
      </c>
      <c r="B47" s="12"/>
      <c r="C47" s="12" t="str">
        <f t="shared" si="11"/>
        <v>Service Lines</v>
      </c>
      <c r="D47" s="182">
        <f t="shared" si="11"/>
        <v>380</v>
      </c>
      <c r="F47" s="186">
        <f>'202210 Bk Depr Form 2.10'!R47</f>
        <v>6924346.3685801653</v>
      </c>
      <c r="J47" s="188"/>
      <c r="L47" s="189">
        <f>'Cap Ex 2021 Form 2.13'!N43</f>
        <v>100402.05473132787</v>
      </c>
      <c r="N47" s="188"/>
      <c r="P47" s="188"/>
      <c r="R47" s="188">
        <f t="shared" si="13"/>
        <v>7024748.4233114934</v>
      </c>
    </row>
    <row r="48" spans="1:18">
      <c r="A48" s="182">
        <f t="shared" si="12"/>
        <v>25</v>
      </c>
      <c r="B48" s="12"/>
      <c r="C48" s="12" t="str">
        <f t="shared" si="11"/>
        <v>Meter Installations</v>
      </c>
      <c r="D48" s="182">
        <f t="shared" si="11"/>
        <v>382</v>
      </c>
      <c r="F48" s="186">
        <f>'202210 Bk Depr Form 2.10'!R48</f>
        <v>1144.4155993591678</v>
      </c>
      <c r="J48" s="188"/>
      <c r="L48" s="189">
        <f>'Cap Ex 2021 Form 2.13'!N44</f>
        <v>63.579232435938195</v>
      </c>
      <c r="N48" s="188"/>
      <c r="P48" s="188"/>
      <c r="R48" s="188">
        <f t="shared" si="13"/>
        <v>1207.9948317951059</v>
      </c>
    </row>
    <row r="49" spans="1:18" s="193" customFormat="1">
      <c r="A49" s="182">
        <f t="shared" si="12"/>
        <v>26</v>
      </c>
      <c r="C49" s="12" t="str">
        <f t="shared" si="11"/>
        <v>House Regulators</v>
      </c>
      <c r="D49" s="182">
        <f t="shared" si="11"/>
        <v>383</v>
      </c>
      <c r="E49" s="194"/>
      <c r="F49" s="186">
        <f>'202210 Bk Depr Form 2.10'!R49</f>
        <v>117.40770283769687</v>
      </c>
      <c r="G49" s="194"/>
      <c r="I49" s="194"/>
      <c r="J49" s="186"/>
      <c r="K49" s="194"/>
      <c r="L49" s="189">
        <f>'Cap Ex 2021 Form 2.13'!N45</f>
        <v>6.4478828367613508</v>
      </c>
      <c r="M49" s="194"/>
      <c r="N49" s="186"/>
      <c r="O49" s="194"/>
      <c r="P49" s="186"/>
      <c r="Q49" s="194"/>
      <c r="R49" s="188">
        <f t="shared" si="13"/>
        <v>123.85558567445823</v>
      </c>
    </row>
    <row r="50" spans="1:18">
      <c r="A50" s="182">
        <f t="shared" si="12"/>
        <v>27</v>
      </c>
      <c r="B50" s="12"/>
      <c r="C50" s="12" t="str">
        <f t="shared" si="11"/>
        <v>GPS Devices</v>
      </c>
      <c r="D50" s="182">
        <f t="shared" si="11"/>
        <v>387</v>
      </c>
      <c r="F50" s="191">
        <f>'202210 Bk Depr Form 2.10'!R50</f>
        <v>0</v>
      </c>
      <c r="J50" s="188"/>
      <c r="L50" s="189">
        <f>'Cap Ex 2021 Form 2.13'!N46</f>
        <v>0</v>
      </c>
      <c r="N50" s="188"/>
      <c r="P50" s="188"/>
      <c r="R50" s="188">
        <f>L50+F50</f>
        <v>0</v>
      </c>
    </row>
    <row r="51" spans="1:18">
      <c r="A51" s="182">
        <f>A50+1</f>
        <v>28</v>
      </c>
      <c r="B51" s="12"/>
      <c r="C51" s="12" t="s">
        <v>23</v>
      </c>
      <c r="F51" s="192">
        <f>SUM(F43:F50)</f>
        <v>8571006.3193943016</v>
      </c>
      <c r="J51" s="192">
        <f>SUM(J43:J50)</f>
        <v>0</v>
      </c>
      <c r="L51" s="192">
        <f>SUM(L43:L50)</f>
        <v>141684.90592361515</v>
      </c>
      <c r="N51" s="192">
        <f>SUM(N43:N50)</f>
        <v>0</v>
      </c>
      <c r="P51" s="192">
        <f>SUM(P43:P50)</f>
        <v>0</v>
      </c>
      <c r="R51" s="192">
        <f>SUM(R43:R50)</f>
        <v>8712691.2253179178</v>
      </c>
    </row>
    <row r="53" spans="1:18">
      <c r="A53" s="182">
        <v>29</v>
      </c>
      <c r="C53" s="12" t="s">
        <v>276</v>
      </c>
      <c r="J53" s="219">
        <f>+J19+J20+J23+J31+J34+J30</f>
        <v>295272.1518062501</v>
      </c>
      <c r="N53" s="219">
        <f>+N19+N20+N23+N31+N34+N30</f>
        <v>5653.215224093231</v>
      </c>
      <c r="P53" s="219">
        <f>+J53+N53</f>
        <v>300925.36703034333</v>
      </c>
    </row>
    <row r="54" spans="1:18">
      <c r="A54" s="182">
        <v>30</v>
      </c>
      <c r="C54" s="12" t="s">
        <v>277</v>
      </c>
      <c r="J54" s="219">
        <f>+J40-J53</f>
        <v>11300.29337324627</v>
      </c>
      <c r="N54" s="219">
        <f>+N40-N53</f>
        <v>156.92436636588809</v>
      </c>
      <c r="P54" s="219">
        <f>+P40-P53</f>
        <v>11457.217739612039</v>
      </c>
    </row>
  </sheetData>
  <pageMargins left="0.7" right="0.7" top="0.75" bottom="0.75" header="0.3" footer="0.3"/>
  <pageSetup scale="73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26">
    <tabColor rgb="FF00B050"/>
    <pageSetUpPr fitToPage="1"/>
  </sheetPr>
  <dimension ref="A1:R54"/>
  <sheetViews>
    <sheetView zoomScaleNormal="100" workbookViewId="0">
      <selection activeCell="F36" sqref="F36"/>
    </sheetView>
  </sheetViews>
  <sheetFormatPr defaultColWidth="9.3984375" defaultRowHeight="12.75"/>
  <cols>
    <col min="1" max="1" width="5.3984375" style="182" customWidth="1"/>
    <col min="2" max="2" width="2.59765625" style="182" customWidth="1"/>
    <col min="3" max="3" width="28.1328125" style="12" bestFit="1" customWidth="1"/>
    <col min="4" max="4" width="9.3984375" style="182"/>
    <col min="5" max="5" width="1.3984375" style="182" customWidth="1"/>
    <col min="6" max="6" width="15.59765625" style="12" customWidth="1"/>
    <col min="7" max="7" width="1.3984375" style="182" customWidth="1"/>
    <col min="8" max="8" width="9.59765625" style="12" customWidth="1"/>
    <col min="9" max="9" width="1.3984375" style="182" customWidth="1"/>
    <col min="10" max="10" width="12.59765625" style="12" bestFit="1" customWidth="1"/>
    <col min="11" max="11" width="1.3984375" style="182" customWidth="1"/>
    <col min="12" max="12" width="14.59765625" style="12" bestFit="1" customWidth="1"/>
    <col min="13" max="13" width="1.3984375" style="182" customWidth="1"/>
    <col min="14" max="14" width="16.59765625" style="12" customWidth="1"/>
    <col min="15" max="15" width="1.3984375" style="182" customWidth="1"/>
    <col min="16" max="16" width="16" style="12" bestFit="1" customWidth="1"/>
    <col min="17" max="17" width="1.3984375" style="182" customWidth="1"/>
    <col min="18" max="18" width="15.59765625" style="12" customWidth="1"/>
    <col min="19" max="16384" width="9.3984375" style="12"/>
  </cols>
  <sheetData>
    <row r="1" spans="1:18" ht="13.15">
      <c r="R1" s="220" t="s">
        <v>278</v>
      </c>
    </row>
    <row r="2" spans="1:18" ht="13.15">
      <c r="R2" s="220" t="s">
        <v>279</v>
      </c>
    </row>
    <row r="3" spans="1:18" ht="13.15">
      <c r="R3" s="220" t="s">
        <v>280</v>
      </c>
    </row>
    <row r="4" spans="1:18" ht="13.15">
      <c r="R4" s="220" t="s">
        <v>285</v>
      </c>
    </row>
    <row r="6" spans="1:18" ht="13.15">
      <c r="R6" s="65" t="s">
        <v>249</v>
      </c>
    </row>
    <row r="7" spans="1:18" ht="13.15">
      <c r="A7" s="176" t="str">
        <f>'202211 Bk Depr Form 2.11'!A7</f>
        <v>COLUMBIA GAS OF KENTUCKY, INC.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</row>
    <row r="8" spans="1:18" s="13" customFormat="1" ht="13.15">
      <c r="A8" s="177" t="str">
        <f>'202211 Bk Depr Form 2.11'!A8</f>
        <v>ANNUAL ADJUSTMENT TO THE SAFETY MODIFICATION AND REPLACEMENT PROGRAM ("SMRP")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</row>
    <row r="9" spans="1:18" ht="13.15">
      <c r="A9" s="176" t="s">
        <v>264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</row>
    <row r="10" spans="1:18" ht="13.15">
      <c r="A10" s="179"/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</row>
    <row r="11" spans="1:18" ht="13.15">
      <c r="A11" s="180"/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</row>
    <row r="12" spans="1:18" ht="13.15">
      <c r="C12" s="181"/>
      <c r="D12" s="181"/>
      <c r="E12" s="181"/>
      <c r="F12" s="181" t="s">
        <v>71</v>
      </c>
      <c r="G12" s="181"/>
      <c r="H12" s="181"/>
      <c r="I12" s="181"/>
      <c r="J12" s="181" t="s">
        <v>71</v>
      </c>
      <c r="K12" s="181"/>
      <c r="L12" s="181" t="s">
        <v>71</v>
      </c>
      <c r="M12" s="181"/>
      <c r="N12" s="181"/>
      <c r="O12" s="181"/>
      <c r="P12" s="181"/>
      <c r="Q12" s="181"/>
      <c r="R12" s="181" t="s">
        <v>71</v>
      </c>
    </row>
    <row r="13" spans="1:18" ht="13.15">
      <c r="C13" s="181"/>
      <c r="D13" s="181"/>
      <c r="E13" s="181"/>
      <c r="F13" s="181" t="s">
        <v>8</v>
      </c>
      <c r="G13" s="181"/>
      <c r="H13" s="181" t="s">
        <v>73</v>
      </c>
      <c r="I13" s="181"/>
      <c r="J13" s="181" t="s">
        <v>11</v>
      </c>
      <c r="K13" s="181"/>
      <c r="L13" s="181" t="s">
        <v>20</v>
      </c>
      <c r="M13" s="181"/>
      <c r="N13" s="181" t="s">
        <v>60</v>
      </c>
      <c r="O13" s="181"/>
      <c r="P13" s="181" t="s">
        <v>60</v>
      </c>
      <c r="Q13" s="181"/>
      <c r="R13" s="181" t="s">
        <v>14</v>
      </c>
    </row>
    <row r="14" spans="1:18" ht="13.15">
      <c r="A14" s="181" t="s">
        <v>4</v>
      </c>
      <c r="B14" s="181"/>
      <c r="C14" s="181"/>
      <c r="D14" s="181" t="s">
        <v>7</v>
      </c>
      <c r="E14" s="181"/>
      <c r="F14" s="181" t="s">
        <v>1</v>
      </c>
      <c r="G14" s="181"/>
      <c r="H14" s="181" t="s">
        <v>10</v>
      </c>
      <c r="I14" s="181"/>
      <c r="J14" s="181" t="s">
        <v>8</v>
      </c>
      <c r="K14" s="181"/>
      <c r="L14" s="181" t="s">
        <v>42</v>
      </c>
      <c r="M14" s="181"/>
      <c r="N14" s="181" t="s">
        <v>11</v>
      </c>
      <c r="O14" s="181"/>
      <c r="P14" s="181" t="s">
        <v>28</v>
      </c>
      <c r="Q14" s="181"/>
      <c r="R14" s="181" t="s">
        <v>1</v>
      </c>
    </row>
    <row r="15" spans="1:18" ht="13.15">
      <c r="A15" s="183" t="s">
        <v>5</v>
      </c>
      <c r="B15" s="183"/>
      <c r="C15" s="183" t="s">
        <v>6</v>
      </c>
      <c r="D15" s="183" t="s">
        <v>5</v>
      </c>
      <c r="E15" s="183"/>
      <c r="F15" s="183" t="s">
        <v>9</v>
      </c>
      <c r="G15" s="183"/>
      <c r="H15" s="183" t="s">
        <v>2</v>
      </c>
      <c r="I15" s="183"/>
      <c r="J15" s="183" t="s">
        <v>9</v>
      </c>
      <c r="K15" s="183"/>
      <c r="L15" s="183" t="s">
        <v>12</v>
      </c>
      <c r="M15" s="183"/>
      <c r="N15" s="183" t="s">
        <v>13</v>
      </c>
      <c r="O15" s="183"/>
      <c r="P15" s="183" t="s">
        <v>0</v>
      </c>
      <c r="Q15" s="183"/>
      <c r="R15" s="183" t="s">
        <v>9</v>
      </c>
    </row>
    <row r="16" spans="1:18" s="1" customFormat="1" ht="13.15">
      <c r="A16" s="181"/>
      <c r="B16" s="181"/>
      <c r="C16" s="184">
        <v>-1</v>
      </c>
      <c r="D16" s="184">
        <v>-2</v>
      </c>
      <c r="E16" s="184"/>
      <c r="F16" s="184">
        <v>-3</v>
      </c>
      <c r="G16" s="184"/>
      <c r="H16" s="184">
        <v>-4</v>
      </c>
      <c r="I16" s="184"/>
      <c r="J16" s="184" t="s">
        <v>15</v>
      </c>
      <c r="K16" s="184"/>
      <c r="L16" s="184">
        <v>-6</v>
      </c>
      <c r="M16" s="184"/>
      <c r="N16" s="184" t="s">
        <v>16</v>
      </c>
      <c r="O16" s="184"/>
      <c r="P16" s="184" t="s">
        <v>61</v>
      </c>
      <c r="Q16" s="184"/>
      <c r="R16" s="184" t="s">
        <v>17</v>
      </c>
    </row>
    <row r="18" spans="1:18" ht="13.15">
      <c r="B18" s="185" t="s">
        <v>20</v>
      </c>
      <c r="C18" s="185"/>
    </row>
    <row r="19" spans="1:18">
      <c r="A19" s="182">
        <v>1</v>
      </c>
      <c r="B19" s="12"/>
      <c r="C19" s="12" t="s">
        <v>90</v>
      </c>
      <c r="D19" s="182">
        <v>376</v>
      </c>
      <c r="F19" s="186">
        <f>'202211 Bk Depr Form 2.11'!R19</f>
        <v>134225621.96667141</v>
      </c>
      <c r="H19" s="187">
        <f>+'202211 Bk Depr Form 2.11'!H19</f>
        <v>1.4833333333333332E-3</v>
      </c>
      <c r="J19" s="188">
        <f>F19*H19</f>
        <v>199101.33925056257</v>
      </c>
      <c r="L19" s="189">
        <f>'Cap Ex 2021 Form 2.13'!O17</f>
        <v>6019736.5181747284</v>
      </c>
      <c r="N19" s="188">
        <f>H19*L19*0.5</f>
        <v>4464.6379176462569</v>
      </c>
      <c r="P19" s="188">
        <f>J19+N19</f>
        <v>203565.97716820883</v>
      </c>
      <c r="R19" s="188">
        <f>L19+F19</f>
        <v>140245358.48484614</v>
      </c>
    </row>
    <row r="20" spans="1:18">
      <c r="A20" s="182">
        <f t="shared" ref="A20:A26" si="0">A19+1</f>
        <v>2</v>
      </c>
      <c r="B20" s="12"/>
      <c r="C20" s="12" t="s">
        <v>91</v>
      </c>
      <c r="D20" s="182">
        <v>376</v>
      </c>
      <c r="F20" s="186">
        <f>'202211 Bk Depr Form 2.11'!R20</f>
        <v>0</v>
      </c>
      <c r="H20" s="187">
        <f>+'202211 Bk Depr Form 2.11'!H20</f>
        <v>1.4833333333333332E-3</v>
      </c>
      <c r="J20" s="188">
        <f t="shared" ref="J20:J23" si="1">F20*H20</f>
        <v>0</v>
      </c>
      <c r="L20" s="189">
        <f>'Cap Ex 2021 Form 2.13'!O18</f>
        <v>0</v>
      </c>
      <c r="N20" s="188">
        <f t="shared" ref="N20:N24" si="2">H20*L20*0.5</f>
        <v>0</v>
      </c>
      <c r="P20" s="188">
        <f t="shared" ref="P20:P23" si="3">J20+N20</f>
        <v>0</v>
      </c>
      <c r="R20" s="188">
        <f t="shared" ref="R20:R23" si="4">L20+F20</f>
        <v>0</v>
      </c>
    </row>
    <row r="21" spans="1:18">
      <c r="A21" s="182">
        <f t="shared" si="0"/>
        <v>3</v>
      </c>
      <c r="B21" s="12"/>
      <c r="C21" s="12" t="s">
        <v>92</v>
      </c>
      <c r="D21" s="182">
        <v>378</v>
      </c>
      <c r="F21" s="186">
        <f>'202211 Bk Depr Form 2.11'!R21</f>
        <v>1923219.5774611763</v>
      </c>
      <c r="H21" s="187">
        <f>+'202211 Bk Depr Form 2.11'!H21</f>
        <v>2.0916666666666666E-3</v>
      </c>
      <c r="J21" s="188">
        <f t="shared" si="1"/>
        <v>4022.7342828562937</v>
      </c>
      <c r="L21" s="189">
        <f>'Cap Ex 2021 Form 2.13'!O19</f>
        <v>174237.91253882428</v>
      </c>
      <c r="N21" s="188">
        <f t="shared" si="2"/>
        <v>182.2238168635204</v>
      </c>
      <c r="P21" s="188">
        <f t="shared" si="3"/>
        <v>4204.9580997198145</v>
      </c>
      <c r="R21" s="188">
        <f t="shared" si="4"/>
        <v>2097457.4900000007</v>
      </c>
    </row>
    <row r="22" spans="1:18">
      <c r="A22" s="182">
        <f t="shared" si="0"/>
        <v>4</v>
      </c>
      <c r="B22" s="12"/>
      <c r="C22" s="12" t="s">
        <v>93</v>
      </c>
      <c r="D22" s="182">
        <v>378</v>
      </c>
      <c r="F22" s="186">
        <f>'202211 Bk Depr Form 2.11'!R22</f>
        <v>3348545.4100000006</v>
      </c>
      <c r="H22" s="187">
        <f>+'202211 Bk Depr Form 2.11'!H22</f>
        <v>2.0916666666666666E-3</v>
      </c>
      <c r="J22" s="188">
        <f t="shared" si="1"/>
        <v>7004.0408159166673</v>
      </c>
      <c r="L22" s="189">
        <f>'Cap Ex 2021 Form 2.13'!O20</f>
        <v>0</v>
      </c>
      <c r="N22" s="188">
        <f t="shared" si="2"/>
        <v>0</v>
      </c>
      <c r="P22" s="188">
        <f t="shared" si="3"/>
        <v>7004.0408159166673</v>
      </c>
      <c r="R22" s="188">
        <f t="shared" si="4"/>
        <v>3348545.4100000006</v>
      </c>
    </row>
    <row r="23" spans="1:18">
      <c r="A23" s="182">
        <f t="shared" si="0"/>
        <v>5</v>
      </c>
      <c r="B23" s="12"/>
      <c r="C23" s="12" t="s">
        <v>94</v>
      </c>
      <c r="D23" s="182">
        <v>380</v>
      </c>
      <c r="F23" s="186">
        <f>'202211 Bk Depr Form 2.11'!R23</f>
        <v>47892791.825195864</v>
      </c>
      <c r="H23" s="187">
        <f>+'202211 Bk Depr Form 2.11'!H23</f>
        <v>3.316666666666667E-3</v>
      </c>
      <c r="J23" s="188">
        <f t="shared" si="1"/>
        <v>158844.42622023297</v>
      </c>
      <c r="L23" s="189">
        <f>'Cap Ex 2021 Form 2.13'!O21</f>
        <v>1528768.6678810667</v>
      </c>
      <c r="N23" s="188">
        <f t="shared" si="2"/>
        <v>2535.208040902769</v>
      </c>
      <c r="P23" s="188">
        <f t="shared" si="3"/>
        <v>161379.63426113574</v>
      </c>
      <c r="R23" s="188">
        <f t="shared" si="4"/>
        <v>49421560.493076928</v>
      </c>
    </row>
    <row r="24" spans="1:18">
      <c r="A24" s="182">
        <f t="shared" si="0"/>
        <v>6</v>
      </c>
      <c r="B24" s="12"/>
      <c r="C24" s="12" t="s">
        <v>95</v>
      </c>
      <c r="D24" s="182">
        <v>382</v>
      </c>
      <c r="F24" s="186">
        <f>'202211 Bk Depr Form 2.11'!R24</f>
        <v>311940.35023798875</v>
      </c>
      <c r="H24" s="187">
        <f>+'202211 Bk Depr Form 2.11'!H24</f>
        <v>1.475E-3</v>
      </c>
      <c r="J24" s="188">
        <f>F24*H24</f>
        <v>460.11201660103342</v>
      </c>
      <c r="L24" s="189">
        <f>'Cap Ex 2021 Form 2.13'!O22</f>
        <v>10321.919762011354</v>
      </c>
      <c r="N24" s="188">
        <f t="shared" si="2"/>
        <v>7.6124158244833735</v>
      </c>
      <c r="P24" s="188">
        <f>J24+N24</f>
        <v>467.7244324255168</v>
      </c>
      <c r="R24" s="188">
        <f>L24+F24</f>
        <v>322262.27000000008</v>
      </c>
    </row>
    <row r="25" spans="1:18">
      <c r="A25" s="182">
        <f t="shared" si="0"/>
        <v>7</v>
      </c>
      <c r="B25" s="12"/>
      <c r="C25" s="190" t="s">
        <v>96</v>
      </c>
      <c r="D25" s="182">
        <v>383</v>
      </c>
      <c r="F25" s="186">
        <f>'202211 Bk Depr Form 2.11'!R25</f>
        <v>379775.03957385547</v>
      </c>
      <c r="H25" s="187">
        <f>+'202211 Bk Depr Form 2.11'!H25</f>
        <v>1.6333333333333332E-3</v>
      </c>
      <c r="J25" s="188">
        <f>F25*H25</f>
        <v>620.29923130396389</v>
      </c>
      <c r="L25" s="189">
        <f>'Cap Ex 2021 Form 2.13'!O23</f>
        <v>13518.430426144441</v>
      </c>
      <c r="N25" s="188">
        <f>H25*L25*0.5</f>
        <v>11.040051514684626</v>
      </c>
      <c r="P25" s="188">
        <f>J25+N25</f>
        <v>631.33928281864848</v>
      </c>
      <c r="R25" s="188">
        <f>L25+F25</f>
        <v>393293.46999999991</v>
      </c>
    </row>
    <row r="26" spans="1:18">
      <c r="A26" s="182">
        <f t="shared" si="0"/>
        <v>8</v>
      </c>
      <c r="B26" s="12"/>
      <c r="C26" s="12" t="s">
        <v>97</v>
      </c>
      <c r="D26" s="182">
        <v>387</v>
      </c>
      <c r="F26" s="191">
        <f>'202211 Bk Depr Form 2.11'!R26</f>
        <v>213381</v>
      </c>
      <c r="H26" s="187">
        <f>+'202211 Bk Depr Form 2.11'!H26</f>
        <v>2.6583333333333333E-3</v>
      </c>
      <c r="J26" s="188">
        <f>F26*H26</f>
        <v>567.23782500000004</v>
      </c>
      <c r="L26" s="189">
        <f>'Cap Ex 2021 Form 2.13'!O24</f>
        <v>0</v>
      </c>
      <c r="N26" s="188">
        <f>H26*L26*0.5</f>
        <v>0</v>
      </c>
      <c r="P26" s="188">
        <f>J26+N26</f>
        <v>567.23782500000004</v>
      </c>
      <c r="R26" s="188">
        <f>L26+F26</f>
        <v>213381</v>
      </c>
    </row>
    <row r="27" spans="1:18">
      <c r="A27" s="182">
        <f>A26+1</f>
        <v>9</v>
      </c>
      <c r="B27" s="12"/>
      <c r="C27" s="12" t="s">
        <v>21</v>
      </c>
      <c r="F27" s="192">
        <f>SUM(F19:F26)</f>
        <v>188295275.16914031</v>
      </c>
      <c r="J27" s="192">
        <f>SUM(J19:J26)</f>
        <v>370620.18964247353</v>
      </c>
      <c r="L27" s="192">
        <f>SUM(L19:L26)</f>
        <v>7746583.4487827756</v>
      </c>
      <c r="N27" s="192">
        <f>SUM(N19:N26)</f>
        <v>7200.7222427517145</v>
      </c>
      <c r="P27" s="192">
        <f>SUM(P19:P26)</f>
        <v>377820.91188522527</v>
      </c>
      <c r="R27" s="192">
        <f>SUM(R19:R26)</f>
        <v>196041858.61792308</v>
      </c>
    </row>
    <row r="28" spans="1:18">
      <c r="B28" s="12"/>
    </row>
    <row r="29" spans="1:18" ht="13.15">
      <c r="B29" s="185" t="s">
        <v>12</v>
      </c>
      <c r="C29" s="185"/>
    </row>
    <row r="30" spans="1:18">
      <c r="A30" s="182">
        <f>A27+1</f>
        <v>10</v>
      </c>
      <c r="B30" s="12"/>
      <c r="C30" s="12" t="str">
        <f>C19</f>
        <v>Mains</v>
      </c>
      <c r="D30" s="182">
        <f>D19</f>
        <v>376</v>
      </c>
      <c r="F30" s="186">
        <f>'202211 Bk Depr Form 2.11'!R30</f>
        <v>-13024476.516923077</v>
      </c>
      <c r="H30" s="187">
        <f>+'202211 Bk Depr Form 2.11'!H30</f>
        <v>1.4833333333333332E-3</v>
      </c>
      <c r="J30" s="188">
        <f>F30*H30</f>
        <v>-19319.64016676923</v>
      </c>
      <c r="L30" s="189">
        <f>'Cap Ex 2021 Form 2.13'!O27</f>
        <v>-83127</v>
      </c>
      <c r="N30" s="188">
        <f>H30*L30*0.5</f>
        <v>-61.652524999999997</v>
      </c>
      <c r="P30" s="188">
        <f>J30+N30</f>
        <v>-19381.292691769231</v>
      </c>
      <c r="R30" s="188">
        <f>L30+F30</f>
        <v>-13107603.516923077</v>
      </c>
    </row>
    <row r="31" spans="1:18">
      <c r="A31" s="182">
        <f>A30+1</f>
        <v>11</v>
      </c>
      <c r="B31" s="12"/>
      <c r="C31" s="12" t="str">
        <f t="shared" ref="C31:D37" si="5">C20</f>
        <v>Mains - In-Line Inspections</v>
      </c>
      <c r="D31" s="182">
        <f t="shared" si="5"/>
        <v>376</v>
      </c>
      <c r="F31" s="186">
        <f>'202211 Bk Depr Form 2.11'!R31</f>
        <v>0</v>
      </c>
      <c r="H31" s="187">
        <f>+'202211 Bk Depr Form 2.11'!H31</f>
        <v>1.4833333333333332E-3</v>
      </c>
      <c r="J31" s="188">
        <f>F31*H31</f>
        <v>0</v>
      </c>
      <c r="L31" s="189">
        <f>'Cap Ex 2021 Form 2.13'!O28</f>
        <v>0</v>
      </c>
      <c r="N31" s="188">
        <f>H31*L31*0.5</f>
        <v>0</v>
      </c>
      <c r="P31" s="188">
        <f>J31+N31</f>
        <v>0</v>
      </c>
      <c r="R31" s="188">
        <f>L31+F31</f>
        <v>0</v>
      </c>
    </row>
    <row r="32" spans="1:18">
      <c r="A32" s="182">
        <f>A31+1</f>
        <v>12</v>
      </c>
      <c r="B32" s="12"/>
      <c r="C32" s="12" t="str">
        <f t="shared" si="5"/>
        <v>Plant Regulators</v>
      </c>
      <c r="D32" s="182">
        <f t="shared" si="5"/>
        <v>378</v>
      </c>
      <c r="F32" s="186">
        <f>'202211 Bk Depr Form 2.11'!R32</f>
        <v>-233247.3</v>
      </c>
      <c r="H32" s="187">
        <f>+'202211 Bk Depr Form 2.11'!H32</f>
        <v>2.0916666666666666E-3</v>
      </c>
      <c r="J32" s="188">
        <f t="shared" ref="J32:J37" si="6">F32*H32</f>
        <v>-487.87560249999996</v>
      </c>
      <c r="L32" s="189">
        <f>'Cap Ex 2021 Form 2.13'!O29</f>
        <v>-12030</v>
      </c>
      <c r="N32" s="188">
        <f t="shared" ref="N32:N37" si="7">H32*L32*0.5</f>
        <v>-12.581375</v>
      </c>
      <c r="P32" s="188">
        <f t="shared" ref="P32:P37" si="8">J32+N32</f>
        <v>-500.45697749999994</v>
      </c>
      <c r="R32" s="188">
        <f t="shared" ref="R32:R37" si="9">L32+F32</f>
        <v>-245277.3</v>
      </c>
    </row>
    <row r="33" spans="1:18">
      <c r="A33" s="182">
        <f t="shared" ref="A33:A36" si="10">A32+1</f>
        <v>13</v>
      </c>
      <c r="B33" s="12"/>
      <c r="C33" s="12" t="str">
        <f t="shared" si="5"/>
        <v>Plant Regulators - LP Program</v>
      </c>
      <c r="D33" s="182">
        <f t="shared" si="5"/>
        <v>378</v>
      </c>
      <c r="F33" s="186">
        <f>'202211 Bk Depr Form 2.11'!R33</f>
        <v>-194723.07</v>
      </c>
      <c r="H33" s="187">
        <f>+'202211 Bk Depr Form 2.11'!H33</f>
        <v>2.0916666666666666E-3</v>
      </c>
      <c r="J33" s="188">
        <f t="shared" si="6"/>
        <v>-407.29575475000001</v>
      </c>
      <c r="L33" s="189">
        <f>'Cap Ex 2021 Form 2.13'!O30</f>
        <v>0</v>
      </c>
      <c r="N33" s="188">
        <f t="shared" si="7"/>
        <v>0</v>
      </c>
      <c r="P33" s="188">
        <f t="shared" si="8"/>
        <v>-407.29575475000001</v>
      </c>
      <c r="R33" s="188">
        <f t="shared" si="9"/>
        <v>-194723.07</v>
      </c>
    </row>
    <row r="34" spans="1:18">
      <c r="A34" s="182">
        <f t="shared" si="10"/>
        <v>14</v>
      </c>
      <c r="B34" s="12"/>
      <c r="C34" s="12" t="str">
        <f t="shared" si="5"/>
        <v>Service Lines</v>
      </c>
      <c r="D34" s="182">
        <f t="shared" si="5"/>
        <v>380</v>
      </c>
      <c r="F34" s="186">
        <f>'202211 Bk Depr Form 2.11'!R34</f>
        <v>-9662575.7938461546</v>
      </c>
      <c r="H34" s="187">
        <f>+'202211 Bk Depr Form 2.11'!H34</f>
        <v>3.316666666666667E-3</v>
      </c>
      <c r="J34" s="188">
        <f t="shared" si="6"/>
        <v>-32047.543049589749</v>
      </c>
      <c r="L34" s="189">
        <f>'Cap Ex 2021 Form 2.13'!O31</f>
        <v>-63333</v>
      </c>
      <c r="N34" s="188">
        <f t="shared" si="7"/>
        <v>-105.02722500000002</v>
      </c>
      <c r="P34" s="188">
        <f t="shared" si="8"/>
        <v>-32152.570274589751</v>
      </c>
      <c r="R34" s="188">
        <f t="shared" si="9"/>
        <v>-9725908.7938461546</v>
      </c>
    </row>
    <row r="35" spans="1:18">
      <c r="A35" s="182">
        <f t="shared" si="10"/>
        <v>15</v>
      </c>
      <c r="B35" s="12"/>
      <c r="C35" s="12" t="str">
        <f t="shared" si="5"/>
        <v>Meter Installations</v>
      </c>
      <c r="D35" s="182">
        <f t="shared" si="5"/>
        <v>382</v>
      </c>
      <c r="F35" s="186">
        <f>'202211 Bk Depr Form 2.11'!R35</f>
        <v>-84239.182000000001</v>
      </c>
      <c r="H35" s="187">
        <f>+'202211 Bk Depr Form 2.11'!H35</f>
        <v>1.475E-3</v>
      </c>
      <c r="J35" s="188">
        <f t="shared" si="6"/>
        <v>-124.25279345</v>
      </c>
      <c r="L35" s="189">
        <f>'Cap Ex 2021 Form 2.13'!O32</f>
        <v>-713</v>
      </c>
      <c r="N35" s="188">
        <f t="shared" si="7"/>
        <v>-0.52583749999999996</v>
      </c>
      <c r="P35" s="188">
        <f t="shared" si="8"/>
        <v>-124.77863094999999</v>
      </c>
      <c r="R35" s="188">
        <f t="shared" si="9"/>
        <v>-84952.182000000001</v>
      </c>
    </row>
    <row r="36" spans="1:18" s="193" customFormat="1">
      <c r="A36" s="182">
        <f t="shared" si="10"/>
        <v>16</v>
      </c>
      <c r="C36" s="12" t="str">
        <f t="shared" si="5"/>
        <v>House Regulators</v>
      </c>
      <c r="D36" s="182">
        <f t="shared" si="5"/>
        <v>383</v>
      </c>
      <c r="E36" s="194"/>
      <c r="F36" s="186">
        <f>'202211 Bk Depr Form 2.11'!R36</f>
        <v>-25015.050000000003</v>
      </c>
      <c r="G36" s="194"/>
      <c r="H36" s="187">
        <f>+'202211 Bk Depr Form 2.11'!H36</f>
        <v>1.6333333333333332E-3</v>
      </c>
      <c r="I36" s="194"/>
      <c r="J36" s="186">
        <f t="shared" si="6"/>
        <v>-40.857914999999998</v>
      </c>
      <c r="K36" s="194"/>
      <c r="L36" s="189">
        <f>'Cap Ex 2021 Form 2.13'!O33</f>
        <v>-933</v>
      </c>
      <c r="M36" s="194"/>
      <c r="N36" s="186">
        <f t="shared" si="7"/>
        <v>-0.76194999999999991</v>
      </c>
      <c r="O36" s="194"/>
      <c r="P36" s="186">
        <f t="shared" si="8"/>
        <v>-41.619864999999997</v>
      </c>
      <c r="Q36" s="194"/>
      <c r="R36" s="186">
        <f t="shared" si="9"/>
        <v>-25948.050000000003</v>
      </c>
    </row>
    <row r="37" spans="1:18">
      <c r="A37" s="182">
        <f>A36+1</f>
        <v>17</v>
      </c>
      <c r="B37" s="12"/>
      <c r="C37" s="12" t="str">
        <f t="shared" si="5"/>
        <v>GPS Devices</v>
      </c>
      <c r="D37" s="182">
        <f t="shared" si="5"/>
        <v>387</v>
      </c>
      <c r="F37" s="191">
        <f>'202211 Bk Depr Form 2.11'!R37</f>
        <v>0</v>
      </c>
      <c r="H37" s="187">
        <f>+'202211 Bk Depr Form 2.11'!H37</f>
        <v>2.6583333333333333E-3</v>
      </c>
      <c r="J37" s="188">
        <f t="shared" si="6"/>
        <v>0</v>
      </c>
      <c r="L37" s="195">
        <f>'Cap Ex 2021 Form 2.13'!O34</f>
        <v>0</v>
      </c>
      <c r="N37" s="188">
        <f t="shared" si="7"/>
        <v>0</v>
      </c>
      <c r="P37" s="188">
        <f t="shared" si="8"/>
        <v>0</v>
      </c>
      <c r="R37" s="188">
        <f t="shared" si="9"/>
        <v>0</v>
      </c>
    </row>
    <row r="38" spans="1:18">
      <c r="A38" s="182">
        <f>A37+1</f>
        <v>18</v>
      </c>
      <c r="B38" s="12"/>
      <c r="C38" s="12" t="s">
        <v>22</v>
      </c>
      <c r="F38" s="192">
        <f>SUM(F30:F37)</f>
        <v>-23224276.912769236</v>
      </c>
      <c r="J38" s="192">
        <f>SUM(J30:J37)</f>
        <v>-52427.465282058984</v>
      </c>
      <c r="L38" s="192">
        <f>SUM(L30:L37)</f>
        <v>-160136</v>
      </c>
      <c r="N38" s="192">
        <f>SUM(N30:N37)</f>
        <v>-180.5489125</v>
      </c>
      <c r="P38" s="192">
        <f>SUM(P30:P37)</f>
        <v>-52608.014194558978</v>
      </c>
      <c r="R38" s="192">
        <f>SUM(R30:R37)</f>
        <v>-23384412.912769236</v>
      </c>
    </row>
    <row r="39" spans="1:18">
      <c r="B39" s="12"/>
    </row>
    <row r="40" spans="1:18" s="199" customFormat="1" ht="13.5" thickBot="1">
      <c r="A40" s="196">
        <f>A38+1</f>
        <v>19</v>
      </c>
      <c r="B40" s="197" t="s">
        <v>18</v>
      </c>
      <c r="C40" s="197"/>
      <c r="D40" s="196"/>
      <c r="E40" s="196"/>
      <c r="F40" s="198">
        <f>F27+F38</f>
        <v>165070998.25637108</v>
      </c>
      <c r="G40" s="196"/>
      <c r="I40" s="196"/>
      <c r="J40" s="198">
        <f>J27+J38</f>
        <v>318192.72436041455</v>
      </c>
      <c r="K40" s="196"/>
      <c r="L40" s="198">
        <f>L27+L38</f>
        <v>7586447.4487827756</v>
      </c>
      <c r="M40" s="196"/>
      <c r="N40" s="198">
        <f>N27+N38</f>
        <v>7020.1733302517141</v>
      </c>
      <c r="O40" s="196"/>
      <c r="P40" s="198">
        <f>P27+P38</f>
        <v>325212.89769066632</v>
      </c>
      <c r="Q40" s="196"/>
      <c r="R40" s="198">
        <f>R27+R38</f>
        <v>172657445.70515385</v>
      </c>
    </row>
    <row r="41" spans="1:18" ht="13.15" thickTop="1">
      <c r="B41" s="12"/>
    </row>
    <row r="42" spans="1:18" ht="13.15">
      <c r="B42" s="200" t="s">
        <v>19</v>
      </c>
      <c r="C42" s="200"/>
    </row>
    <row r="43" spans="1:18">
      <c r="A43" s="182">
        <f>A40+1</f>
        <v>20</v>
      </c>
      <c r="B43" s="12"/>
      <c r="C43" s="12" t="str">
        <f>C30</f>
        <v>Mains</v>
      </c>
      <c r="D43" s="182">
        <f>D30</f>
        <v>376</v>
      </c>
      <c r="F43" s="186">
        <f>'202211 Bk Depr Form 2.11'!R43</f>
        <v>1660362.1713822749</v>
      </c>
      <c r="J43" s="188"/>
      <c r="L43" s="189">
        <f>'Cap Ex 2021 Form 2.13'!O39</f>
        <v>26717.195172974083</v>
      </c>
      <c r="N43" s="188"/>
      <c r="P43" s="188"/>
      <c r="R43" s="188">
        <f>L43+F43</f>
        <v>1687079.3665552491</v>
      </c>
    </row>
    <row r="44" spans="1:18">
      <c r="A44" s="182">
        <f>A43+1</f>
        <v>21</v>
      </c>
      <c r="B44" s="12"/>
      <c r="C44" s="12" t="str">
        <f t="shared" ref="C44:D50" si="11">C31</f>
        <v>Mains - In-Line Inspections</v>
      </c>
      <c r="D44" s="182">
        <f t="shared" si="11"/>
        <v>376</v>
      </c>
      <c r="F44" s="186">
        <f>'202211 Bk Depr Form 2.11'!R44</f>
        <v>0</v>
      </c>
      <c r="J44" s="188"/>
      <c r="L44" s="189">
        <f>'Cap Ex 2021 Form 2.13'!O40</f>
        <v>0</v>
      </c>
      <c r="N44" s="188"/>
      <c r="P44" s="188"/>
      <c r="R44" s="188">
        <f>L44+F44</f>
        <v>0</v>
      </c>
    </row>
    <row r="45" spans="1:18">
      <c r="A45" s="182">
        <f>A44+1</f>
        <v>22</v>
      </c>
      <c r="B45" s="12"/>
      <c r="C45" s="12" t="str">
        <f t="shared" si="11"/>
        <v>Plant Regulators</v>
      </c>
      <c r="D45" s="182">
        <f t="shared" si="11"/>
        <v>378</v>
      </c>
      <c r="F45" s="186">
        <f>'202211 Bk Depr Form 2.11'!R45</f>
        <v>15969.000206680001</v>
      </c>
      <c r="J45" s="188"/>
      <c r="L45" s="189">
        <f>'Cap Ex 2021 Form 2.13'!O41</f>
        <v>571.55474772000002</v>
      </c>
      <c r="N45" s="188"/>
      <c r="P45" s="188"/>
      <c r="R45" s="188">
        <f>L45+F45</f>
        <v>16540.554954400002</v>
      </c>
    </row>
    <row r="46" spans="1:18">
      <c r="A46" s="182">
        <f t="shared" ref="A46:A50" si="12">A45+1</f>
        <v>23</v>
      </c>
      <c r="B46" s="12"/>
      <c r="C46" s="12" t="str">
        <f t="shared" si="11"/>
        <v>Plant Regulators - LP Program</v>
      </c>
      <c r="D46" s="182">
        <f t="shared" si="11"/>
        <v>378</v>
      </c>
      <c r="F46" s="186">
        <f>'202211 Bk Depr Form 2.11'!R46</f>
        <v>10279.780000000001</v>
      </c>
      <c r="J46" s="188"/>
      <c r="L46" s="189">
        <f>'Cap Ex 2021 Form 2.13'!O42</f>
        <v>0</v>
      </c>
      <c r="N46" s="188"/>
      <c r="P46" s="188"/>
      <c r="R46" s="188">
        <f t="shared" ref="R46:R49" si="13">L46+F46</f>
        <v>10279.780000000001</v>
      </c>
    </row>
    <row r="47" spans="1:18">
      <c r="A47" s="182">
        <f t="shared" si="12"/>
        <v>24</v>
      </c>
      <c r="B47" s="12"/>
      <c r="C47" s="12" t="str">
        <f t="shared" si="11"/>
        <v>Service Lines</v>
      </c>
      <c r="D47" s="182">
        <f t="shared" si="11"/>
        <v>380</v>
      </c>
      <c r="F47" s="186">
        <f>'202211 Bk Depr Form 2.11'!R47</f>
        <v>7024748.4233114934</v>
      </c>
      <c r="J47" s="188"/>
      <c r="L47" s="189">
        <f>'Cap Ex 2021 Form 2.13'!O43</f>
        <v>67190.519734742877</v>
      </c>
      <c r="N47" s="188"/>
      <c r="P47" s="188"/>
      <c r="R47" s="188">
        <f t="shared" si="13"/>
        <v>7091938.9430462364</v>
      </c>
    </row>
    <row r="48" spans="1:18">
      <c r="A48" s="182">
        <f t="shared" si="12"/>
        <v>25</v>
      </c>
      <c r="B48" s="12"/>
      <c r="C48" s="12" t="str">
        <f t="shared" si="11"/>
        <v>Meter Installations</v>
      </c>
      <c r="D48" s="182">
        <f t="shared" si="11"/>
        <v>382</v>
      </c>
      <c r="F48" s="186">
        <f>'202211 Bk Depr Form 2.11'!R48</f>
        <v>1207.9948317951059</v>
      </c>
      <c r="J48" s="188"/>
      <c r="L48" s="189">
        <f>'Cap Ex 2021 Form 2.13'!O44</f>
        <v>63.579232435938195</v>
      </c>
      <c r="N48" s="188"/>
      <c r="P48" s="188"/>
      <c r="R48" s="188">
        <f t="shared" si="13"/>
        <v>1271.5740642310441</v>
      </c>
    </row>
    <row r="49" spans="1:18" s="193" customFormat="1">
      <c r="A49" s="182">
        <f t="shared" si="12"/>
        <v>26</v>
      </c>
      <c r="C49" s="12" t="str">
        <f t="shared" si="11"/>
        <v>House Regulators</v>
      </c>
      <c r="D49" s="182">
        <f t="shared" si="11"/>
        <v>383</v>
      </c>
      <c r="E49" s="194"/>
      <c r="F49" s="186">
        <f>'202211 Bk Depr Form 2.11'!R49</f>
        <v>123.85558567445823</v>
      </c>
      <c r="G49" s="194"/>
      <c r="I49" s="194"/>
      <c r="J49" s="186"/>
      <c r="K49" s="194"/>
      <c r="L49" s="189">
        <f>'Cap Ex 2021 Form 2.13'!O45</f>
        <v>6.60900530041528</v>
      </c>
      <c r="M49" s="194"/>
      <c r="N49" s="186"/>
      <c r="O49" s="194"/>
      <c r="P49" s="186"/>
      <c r="Q49" s="194"/>
      <c r="R49" s="188">
        <f t="shared" si="13"/>
        <v>130.46459097487352</v>
      </c>
    </row>
    <row r="50" spans="1:18">
      <c r="A50" s="182">
        <f t="shared" si="12"/>
        <v>27</v>
      </c>
      <c r="B50" s="12"/>
      <c r="C50" s="12" t="str">
        <f t="shared" si="11"/>
        <v>GPS Devices</v>
      </c>
      <c r="D50" s="182">
        <f t="shared" si="11"/>
        <v>387</v>
      </c>
      <c r="F50" s="191">
        <f>'202211 Bk Depr Form 2.11'!R50</f>
        <v>0</v>
      </c>
      <c r="J50" s="188"/>
      <c r="L50" s="189">
        <f>'Cap Ex 2021 Form 2.13'!O46</f>
        <v>0</v>
      </c>
      <c r="N50" s="188"/>
      <c r="P50" s="188"/>
      <c r="R50" s="188">
        <f>L50+F50</f>
        <v>0</v>
      </c>
    </row>
    <row r="51" spans="1:18">
      <c r="A51" s="182">
        <f>A50+1</f>
        <v>28</v>
      </c>
      <c r="B51" s="12"/>
      <c r="C51" s="12" t="s">
        <v>23</v>
      </c>
      <c r="F51" s="192">
        <f>SUM(F43:F50)</f>
        <v>8712691.2253179178</v>
      </c>
      <c r="J51" s="192">
        <f>SUM(J43:J50)</f>
        <v>0</v>
      </c>
      <c r="L51" s="192">
        <f>SUM(L43:L50)</f>
        <v>94549.457893173312</v>
      </c>
      <c r="N51" s="192">
        <f>SUM(N43:N50)</f>
        <v>0</v>
      </c>
      <c r="P51" s="192">
        <f>SUM(P43:P50)</f>
        <v>0</v>
      </c>
      <c r="R51" s="192">
        <f>SUM(R43:R50)</f>
        <v>8807240.68321109</v>
      </c>
    </row>
    <row r="53" spans="1:18">
      <c r="A53" s="182">
        <v>29</v>
      </c>
      <c r="C53" s="12" t="s">
        <v>276</v>
      </c>
      <c r="J53" s="219">
        <f>+J19+J20+J23+J31+J34+J30</f>
        <v>306578.58225443662</v>
      </c>
      <c r="N53" s="219">
        <f>+N19+N20+N23+N31+N34+N30</f>
        <v>6833.1662085490252</v>
      </c>
      <c r="P53" s="219">
        <f>+J53+N53</f>
        <v>313411.74846298568</v>
      </c>
    </row>
    <row r="54" spans="1:18">
      <c r="A54" s="182">
        <v>30</v>
      </c>
      <c r="C54" s="12" t="s">
        <v>277</v>
      </c>
      <c r="J54" s="219">
        <f>+J40-J53</f>
        <v>11614.142105977924</v>
      </c>
      <c r="N54" s="219">
        <f>+N40-N53</f>
        <v>187.00712170268889</v>
      </c>
      <c r="P54" s="219">
        <f>+P40-P53</f>
        <v>11801.149227680638</v>
      </c>
    </row>
  </sheetData>
  <pageMargins left="0.7" right="0.7" top="0.75" bottom="0.75" header="0.3" footer="0.3"/>
  <pageSetup scale="73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5">
    <tabColor rgb="FF00B050"/>
    <pageSetUpPr fitToPage="1"/>
  </sheetPr>
  <dimension ref="A1:AU77"/>
  <sheetViews>
    <sheetView zoomScale="90" zoomScaleNormal="90" workbookViewId="0">
      <selection activeCell="D35" sqref="D35"/>
    </sheetView>
  </sheetViews>
  <sheetFormatPr defaultRowHeight="11.65"/>
  <cols>
    <col min="1" max="1" width="3.86328125" style="107" customWidth="1"/>
    <col min="2" max="2" width="13.86328125" style="109" customWidth="1"/>
    <col min="3" max="3" width="4.59765625" style="109" bestFit="1" customWidth="1"/>
    <col min="4" max="4" width="13" style="109" bestFit="1" customWidth="1"/>
    <col min="5" max="5" width="12" style="109" bestFit="1" customWidth="1"/>
    <col min="6" max="6" width="11" style="109" customWidth="1"/>
    <col min="7" max="7" width="11.86328125" style="109" customWidth="1"/>
    <col min="8" max="8" width="12.1328125" style="109" customWidth="1"/>
    <col min="9" max="9" width="11.1328125" style="109" customWidth="1"/>
    <col min="10" max="10" width="11" style="109" customWidth="1"/>
    <col min="11" max="11" width="11.3984375" style="109" hidden="1" customWidth="1"/>
    <col min="12" max="30" width="12.86328125" style="109" hidden="1" customWidth="1"/>
    <col min="31" max="31" width="9.59765625" style="109" hidden="1" customWidth="1"/>
    <col min="32" max="32" width="12" style="109" bestFit="1" customWidth="1"/>
    <col min="33" max="33" width="10" style="109" bestFit="1" customWidth="1"/>
    <col min="34" max="34" width="11.3984375" style="109" bestFit="1" customWidth="1"/>
    <col min="35" max="35" width="11" style="109" bestFit="1" customWidth="1"/>
    <col min="36" max="36" width="11.59765625" style="109" bestFit="1" customWidth="1"/>
    <col min="37" max="37" width="16.59765625" style="109" bestFit="1" customWidth="1"/>
    <col min="38" max="38" width="16.59765625" style="109" customWidth="1"/>
    <col min="39" max="39" width="13.3984375" style="109" bestFit="1" customWidth="1"/>
    <col min="40" max="40" width="11.86328125" style="109" hidden="1" customWidth="1"/>
    <col min="41" max="41" width="0" style="109" hidden="1" customWidth="1"/>
    <col min="42" max="42" width="11" style="109" hidden="1" customWidth="1"/>
    <col min="43" max="46" width="0" style="109" hidden="1" customWidth="1"/>
    <col min="47" max="256" width="9.1328125" style="109"/>
    <col min="257" max="257" width="3.86328125" style="109" customWidth="1"/>
    <col min="258" max="258" width="13.86328125" style="109" customWidth="1"/>
    <col min="259" max="259" width="4.59765625" style="109" bestFit="1" customWidth="1"/>
    <col min="260" max="260" width="13" style="109" bestFit="1" customWidth="1"/>
    <col min="261" max="261" width="12" style="109" bestFit="1" customWidth="1"/>
    <col min="262" max="262" width="11" style="109" customWidth="1"/>
    <col min="263" max="263" width="11.86328125" style="109" customWidth="1"/>
    <col min="264" max="264" width="12.1328125" style="109" customWidth="1"/>
    <col min="265" max="265" width="11.1328125" style="109" customWidth="1"/>
    <col min="266" max="287" width="0" style="109" hidden="1" customWidth="1"/>
    <col min="288" max="288" width="12" style="109" bestFit="1" customWidth="1"/>
    <col min="289" max="289" width="10" style="109" bestFit="1" customWidth="1"/>
    <col min="290" max="290" width="11.3984375" style="109" bestFit="1" customWidth="1"/>
    <col min="291" max="291" width="11" style="109" bestFit="1" customWidth="1"/>
    <col min="292" max="292" width="11.59765625" style="109" bestFit="1" customWidth="1"/>
    <col min="293" max="293" width="16.59765625" style="109" bestFit="1" customWidth="1"/>
    <col min="294" max="294" width="16.59765625" style="109" customWidth="1"/>
    <col min="295" max="295" width="13.3984375" style="109" bestFit="1" customWidth="1"/>
    <col min="296" max="296" width="11.86328125" style="109" bestFit="1" customWidth="1"/>
    <col min="297" max="297" width="9.1328125" style="109"/>
    <col min="298" max="298" width="11" style="109" bestFit="1" customWidth="1"/>
    <col min="299" max="512" width="9.1328125" style="109"/>
    <col min="513" max="513" width="3.86328125" style="109" customWidth="1"/>
    <col min="514" max="514" width="13.86328125" style="109" customWidth="1"/>
    <col min="515" max="515" width="4.59765625" style="109" bestFit="1" customWidth="1"/>
    <col min="516" max="516" width="13" style="109" bestFit="1" customWidth="1"/>
    <col min="517" max="517" width="12" style="109" bestFit="1" customWidth="1"/>
    <col min="518" max="518" width="11" style="109" customWidth="1"/>
    <col min="519" max="519" width="11.86328125" style="109" customWidth="1"/>
    <col min="520" max="520" width="12.1328125" style="109" customWidth="1"/>
    <col min="521" max="521" width="11.1328125" style="109" customWidth="1"/>
    <col min="522" max="543" width="0" style="109" hidden="1" customWidth="1"/>
    <col min="544" max="544" width="12" style="109" bestFit="1" customWidth="1"/>
    <col min="545" max="545" width="10" style="109" bestFit="1" customWidth="1"/>
    <col min="546" max="546" width="11.3984375" style="109" bestFit="1" customWidth="1"/>
    <col min="547" max="547" width="11" style="109" bestFit="1" customWidth="1"/>
    <col min="548" max="548" width="11.59765625" style="109" bestFit="1" customWidth="1"/>
    <col min="549" max="549" width="16.59765625" style="109" bestFit="1" customWidth="1"/>
    <col min="550" max="550" width="16.59765625" style="109" customWidth="1"/>
    <col min="551" max="551" width="13.3984375" style="109" bestFit="1" customWidth="1"/>
    <col min="552" max="552" width="11.86328125" style="109" bestFit="1" customWidth="1"/>
    <col min="553" max="553" width="9.1328125" style="109"/>
    <col min="554" max="554" width="11" style="109" bestFit="1" customWidth="1"/>
    <col min="555" max="768" width="9.1328125" style="109"/>
    <col min="769" max="769" width="3.86328125" style="109" customWidth="1"/>
    <col min="770" max="770" width="13.86328125" style="109" customWidth="1"/>
    <col min="771" max="771" width="4.59765625" style="109" bestFit="1" customWidth="1"/>
    <col min="772" max="772" width="13" style="109" bestFit="1" customWidth="1"/>
    <col min="773" max="773" width="12" style="109" bestFit="1" customWidth="1"/>
    <col min="774" max="774" width="11" style="109" customWidth="1"/>
    <col min="775" max="775" width="11.86328125" style="109" customWidth="1"/>
    <col min="776" max="776" width="12.1328125" style="109" customWidth="1"/>
    <col min="777" max="777" width="11.1328125" style="109" customWidth="1"/>
    <col min="778" max="799" width="0" style="109" hidden="1" customWidth="1"/>
    <col min="800" max="800" width="12" style="109" bestFit="1" customWidth="1"/>
    <col min="801" max="801" width="10" style="109" bestFit="1" customWidth="1"/>
    <col min="802" max="802" width="11.3984375" style="109" bestFit="1" customWidth="1"/>
    <col min="803" max="803" width="11" style="109" bestFit="1" customWidth="1"/>
    <col min="804" max="804" width="11.59765625" style="109" bestFit="1" customWidth="1"/>
    <col min="805" max="805" width="16.59765625" style="109" bestFit="1" customWidth="1"/>
    <col min="806" max="806" width="16.59765625" style="109" customWidth="1"/>
    <col min="807" max="807" width="13.3984375" style="109" bestFit="1" customWidth="1"/>
    <col min="808" max="808" width="11.86328125" style="109" bestFit="1" customWidth="1"/>
    <col min="809" max="809" width="9.1328125" style="109"/>
    <col min="810" max="810" width="11" style="109" bestFit="1" customWidth="1"/>
    <col min="811" max="1024" width="9.1328125" style="109"/>
    <col min="1025" max="1025" width="3.86328125" style="109" customWidth="1"/>
    <col min="1026" max="1026" width="13.86328125" style="109" customWidth="1"/>
    <col min="1027" max="1027" width="4.59765625" style="109" bestFit="1" customWidth="1"/>
    <col min="1028" max="1028" width="13" style="109" bestFit="1" customWidth="1"/>
    <col min="1029" max="1029" width="12" style="109" bestFit="1" customWidth="1"/>
    <col min="1030" max="1030" width="11" style="109" customWidth="1"/>
    <col min="1031" max="1031" width="11.86328125" style="109" customWidth="1"/>
    <col min="1032" max="1032" width="12.1328125" style="109" customWidth="1"/>
    <col min="1033" max="1033" width="11.1328125" style="109" customWidth="1"/>
    <col min="1034" max="1055" width="0" style="109" hidden="1" customWidth="1"/>
    <col min="1056" max="1056" width="12" style="109" bestFit="1" customWidth="1"/>
    <col min="1057" max="1057" width="10" style="109" bestFit="1" customWidth="1"/>
    <col min="1058" max="1058" width="11.3984375" style="109" bestFit="1" customWidth="1"/>
    <col min="1059" max="1059" width="11" style="109" bestFit="1" customWidth="1"/>
    <col min="1060" max="1060" width="11.59765625" style="109" bestFit="1" customWidth="1"/>
    <col min="1061" max="1061" width="16.59765625" style="109" bestFit="1" customWidth="1"/>
    <col min="1062" max="1062" width="16.59765625" style="109" customWidth="1"/>
    <col min="1063" max="1063" width="13.3984375" style="109" bestFit="1" customWidth="1"/>
    <col min="1064" max="1064" width="11.86328125" style="109" bestFit="1" customWidth="1"/>
    <col min="1065" max="1065" width="9.1328125" style="109"/>
    <col min="1066" max="1066" width="11" style="109" bestFit="1" customWidth="1"/>
    <col min="1067" max="1280" width="9.1328125" style="109"/>
    <col min="1281" max="1281" width="3.86328125" style="109" customWidth="1"/>
    <col min="1282" max="1282" width="13.86328125" style="109" customWidth="1"/>
    <col min="1283" max="1283" width="4.59765625" style="109" bestFit="1" customWidth="1"/>
    <col min="1284" max="1284" width="13" style="109" bestFit="1" customWidth="1"/>
    <col min="1285" max="1285" width="12" style="109" bestFit="1" customWidth="1"/>
    <col min="1286" max="1286" width="11" style="109" customWidth="1"/>
    <col min="1287" max="1287" width="11.86328125" style="109" customWidth="1"/>
    <col min="1288" max="1288" width="12.1328125" style="109" customWidth="1"/>
    <col min="1289" max="1289" width="11.1328125" style="109" customWidth="1"/>
    <col min="1290" max="1311" width="0" style="109" hidden="1" customWidth="1"/>
    <col min="1312" max="1312" width="12" style="109" bestFit="1" customWidth="1"/>
    <col min="1313" max="1313" width="10" style="109" bestFit="1" customWidth="1"/>
    <col min="1314" max="1314" width="11.3984375" style="109" bestFit="1" customWidth="1"/>
    <col min="1315" max="1315" width="11" style="109" bestFit="1" customWidth="1"/>
    <col min="1316" max="1316" width="11.59765625" style="109" bestFit="1" customWidth="1"/>
    <col min="1317" max="1317" width="16.59765625" style="109" bestFit="1" customWidth="1"/>
    <col min="1318" max="1318" width="16.59765625" style="109" customWidth="1"/>
    <col min="1319" max="1319" width="13.3984375" style="109" bestFit="1" customWidth="1"/>
    <col min="1320" max="1320" width="11.86328125" style="109" bestFit="1" customWidth="1"/>
    <col min="1321" max="1321" width="9.1328125" style="109"/>
    <col min="1322" max="1322" width="11" style="109" bestFit="1" customWidth="1"/>
    <col min="1323" max="1536" width="9.1328125" style="109"/>
    <col min="1537" max="1537" width="3.86328125" style="109" customWidth="1"/>
    <col min="1538" max="1538" width="13.86328125" style="109" customWidth="1"/>
    <col min="1539" max="1539" width="4.59765625" style="109" bestFit="1" customWidth="1"/>
    <col min="1540" max="1540" width="13" style="109" bestFit="1" customWidth="1"/>
    <col min="1541" max="1541" width="12" style="109" bestFit="1" customWidth="1"/>
    <col min="1542" max="1542" width="11" style="109" customWidth="1"/>
    <col min="1543" max="1543" width="11.86328125" style="109" customWidth="1"/>
    <col min="1544" max="1544" width="12.1328125" style="109" customWidth="1"/>
    <col min="1545" max="1545" width="11.1328125" style="109" customWidth="1"/>
    <col min="1546" max="1567" width="0" style="109" hidden="1" customWidth="1"/>
    <col min="1568" max="1568" width="12" style="109" bestFit="1" customWidth="1"/>
    <col min="1569" max="1569" width="10" style="109" bestFit="1" customWidth="1"/>
    <col min="1570" max="1570" width="11.3984375" style="109" bestFit="1" customWidth="1"/>
    <col min="1571" max="1571" width="11" style="109" bestFit="1" customWidth="1"/>
    <col min="1572" max="1572" width="11.59765625" style="109" bestFit="1" customWidth="1"/>
    <col min="1573" max="1573" width="16.59765625" style="109" bestFit="1" customWidth="1"/>
    <col min="1574" max="1574" width="16.59765625" style="109" customWidth="1"/>
    <col min="1575" max="1575" width="13.3984375" style="109" bestFit="1" customWidth="1"/>
    <col min="1576" max="1576" width="11.86328125" style="109" bestFit="1" customWidth="1"/>
    <col min="1577" max="1577" width="9.1328125" style="109"/>
    <col min="1578" max="1578" width="11" style="109" bestFit="1" customWidth="1"/>
    <col min="1579" max="1792" width="9.1328125" style="109"/>
    <col min="1793" max="1793" width="3.86328125" style="109" customWidth="1"/>
    <col min="1794" max="1794" width="13.86328125" style="109" customWidth="1"/>
    <col min="1795" max="1795" width="4.59765625" style="109" bestFit="1" customWidth="1"/>
    <col min="1796" max="1796" width="13" style="109" bestFit="1" customWidth="1"/>
    <col min="1797" max="1797" width="12" style="109" bestFit="1" customWidth="1"/>
    <col min="1798" max="1798" width="11" style="109" customWidth="1"/>
    <col min="1799" max="1799" width="11.86328125" style="109" customWidth="1"/>
    <col min="1800" max="1800" width="12.1328125" style="109" customWidth="1"/>
    <col min="1801" max="1801" width="11.1328125" style="109" customWidth="1"/>
    <col min="1802" max="1823" width="0" style="109" hidden="1" customWidth="1"/>
    <col min="1824" max="1824" width="12" style="109" bestFit="1" customWidth="1"/>
    <col min="1825" max="1825" width="10" style="109" bestFit="1" customWidth="1"/>
    <col min="1826" max="1826" width="11.3984375" style="109" bestFit="1" customWidth="1"/>
    <col min="1827" max="1827" width="11" style="109" bestFit="1" customWidth="1"/>
    <col min="1828" max="1828" width="11.59765625" style="109" bestFit="1" customWidth="1"/>
    <col min="1829" max="1829" width="16.59765625" style="109" bestFit="1" customWidth="1"/>
    <col min="1830" max="1830" width="16.59765625" style="109" customWidth="1"/>
    <col min="1831" max="1831" width="13.3984375" style="109" bestFit="1" customWidth="1"/>
    <col min="1832" max="1832" width="11.86328125" style="109" bestFit="1" customWidth="1"/>
    <col min="1833" max="1833" width="9.1328125" style="109"/>
    <col min="1834" max="1834" width="11" style="109" bestFit="1" customWidth="1"/>
    <col min="1835" max="2048" width="9.1328125" style="109"/>
    <col min="2049" max="2049" width="3.86328125" style="109" customWidth="1"/>
    <col min="2050" max="2050" width="13.86328125" style="109" customWidth="1"/>
    <col min="2051" max="2051" width="4.59765625" style="109" bestFit="1" customWidth="1"/>
    <col min="2052" max="2052" width="13" style="109" bestFit="1" customWidth="1"/>
    <col min="2053" max="2053" width="12" style="109" bestFit="1" customWidth="1"/>
    <col min="2054" max="2054" width="11" style="109" customWidth="1"/>
    <col min="2055" max="2055" width="11.86328125" style="109" customWidth="1"/>
    <col min="2056" max="2056" width="12.1328125" style="109" customWidth="1"/>
    <col min="2057" max="2057" width="11.1328125" style="109" customWidth="1"/>
    <col min="2058" max="2079" width="0" style="109" hidden="1" customWidth="1"/>
    <col min="2080" max="2080" width="12" style="109" bestFit="1" customWidth="1"/>
    <col min="2081" max="2081" width="10" style="109" bestFit="1" customWidth="1"/>
    <col min="2082" max="2082" width="11.3984375" style="109" bestFit="1" customWidth="1"/>
    <col min="2083" max="2083" width="11" style="109" bestFit="1" customWidth="1"/>
    <col min="2084" max="2084" width="11.59765625" style="109" bestFit="1" customWidth="1"/>
    <col min="2085" max="2085" width="16.59765625" style="109" bestFit="1" customWidth="1"/>
    <col min="2086" max="2086" width="16.59765625" style="109" customWidth="1"/>
    <col min="2087" max="2087" width="13.3984375" style="109" bestFit="1" customWidth="1"/>
    <col min="2088" max="2088" width="11.86328125" style="109" bestFit="1" customWidth="1"/>
    <col min="2089" max="2089" width="9.1328125" style="109"/>
    <col min="2090" max="2090" width="11" style="109" bestFit="1" customWidth="1"/>
    <col min="2091" max="2304" width="9.1328125" style="109"/>
    <col min="2305" max="2305" width="3.86328125" style="109" customWidth="1"/>
    <col min="2306" max="2306" width="13.86328125" style="109" customWidth="1"/>
    <col min="2307" max="2307" width="4.59765625" style="109" bestFit="1" customWidth="1"/>
    <col min="2308" max="2308" width="13" style="109" bestFit="1" customWidth="1"/>
    <col min="2309" max="2309" width="12" style="109" bestFit="1" customWidth="1"/>
    <col min="2310" max="2310" width="11" style="109" customWidth="1"/>
    <col min="2311" max="2311" width="11.86328125" style="109" customWidth="1"/>
    <col min="2312" max="2312" width="12.1328125" style="109" customWidth="1"/>
    <col min="2313" max="2313" width="11.1328125" style="109" customWidth="1"/>
    <col min="2314" max="2335" width="0" style="109" hidden="1" customWidth="1"/>
    <col min="2336" max="2336" width="12" style="109" bestFit="1" customWidth="1"/>
    <col min="2337" max="2337" width="10" style="109" bestFit="1" customWidth="1"/>
    <col min="2338" max="2338" width="11.3984375" style="109" bestFit="1" customWidth="1"/>
    <col min="2339" max="2339" width="11" style="109" bestFit="1" customWidth="1"/>
    <col min="2340" max="2340" width="11.59765625" style="109" bestFit="1" customWidth="1"/>
    <col min="2341" max="2341" width="16.59765625" style="109" bestFit="1" customWidth="1"/>
    <col min="2342" max="2342" width="16.59765625" style="109" customWidth="1"/>
    <col min="2343" max="2343" width="13.3984375" style="109" bestFit="1" customWidth="1"/>
    <col min="2344" max="2344" width="11.86328125" style="109" bestFit="1" customWidth="1"/>
    <col min="2345" max="2345" width="9.1328125" style="109"/>
    <col min="2346" max="2346" width="11" style="109" bestFit="1" customWidth="1"/>
    <col min="2347" max="2560" width="9.1328125" style="109"/>
    <col min="2561" max="2561" width="3.86328125" style="109" customWidth="1"/>
    <col min="2562" max="2562" width="13.86328125" style="109" customWidth="1"/>
    <col min="2563" max="2563" width="4.59765625" style="109" bestFit="1" customWidth="1"/>
    <col min="2564" max="2564" width="13" style="109" bestFit="1" customWidth="1"/>
    <col min="2565" max="2565" width="12" style="109" bestFit="1" customWidth="1"/>
    <col min="2566" max="2566" width="11" style="109" customWidth="1"/>
    <col min="2567" max="2567" width="11.86328125" style="109" customWidth="1"/>
    <col min="2568" max="2568" width="12.1328125" style="109" customWidth="1"/>
    <col min="2569" max="2569" width="11.1328125" style="109" customWidth="1"/>
    <col min="2570" max="2591" width="0" style="109" hidden="1" customWidth="1"/>
    <col min="2592" max="2592" width="12" style="109" bestFit="1" customWidth="1"/>
    <col min="2593" max="2593" width="10" style="109" bestFit="1" customWidth="1"/>
    <col min="2594" max="2594" width="11.3984375" style="109" bestFit="1" customWidth="1"/>
    <col min="2595" max="2595" width="11" style="109" bestFit="1" customWidth="1"/>
    <col min="2596" max="2596" width="11.59765625" style="109" bestFit="1" customWidth="1"/>
    <col min="2597" max="2597" width="16.59765625" style="109" bestFit="1" customWidth="1"/>
    <col min="2598" max="2598" width="16.59765625" style="109" customWidth="1"/>
    <col min="2599" max="2599" width="13.3984375" style="109" bestFit="1" customWidth="1"/>
    <col min="2600" max="2600" width="11.86328125" style="109" bestFit="1" customWidth="1"/>
    <col min="2601" max="2601" width="9.1328125" style="109"/>
    <col min="2602" max="2602" width="11" style="109" bestFit="1" customWidth="1"/>
    <col min="2603" max="2816" width="9.1328125" style="109"/>
    <col min="2817" max="2817" width="3.86328125" style="109" customWidth="1"/>
    <col min="2818" max="2818" width="13.86328125" style="109" customWidth="1"/>
    <col min="2819" max="2819" width="4.59765625" style="109" bestFit="1" customWidth="1"/>
    <col min="2820" max="2820" width="13" style="109" bestFit="1" customWidth="1"/>
    <col min="2821" max="2821" width="12" style="109" bestFit="1" customWidth="1"/>
    <col min="2822" max="2822" width="11" style="109" customWidth="1"/>
    <col min="2823" max="2823" width="11.86328125" style="109" customWidth="1"/>
    <col min="2824" max="2824" width="12.1328125" style="109" customWidth="1"/>
    <col min="2825" max="2825" width="11.1328125" style="109" customWidth="1"/>
    <col min="2826" max="2847" width="0" style="109" hidden="1" customWidth="1"/>
    <col min="2848" max="2848" width="12" style="109" bestFit="1" customWidth="1"/>
    <col min="2849" max="2849" width="10" style="109" bestFit="1" customWidth="1"/>
    <col min="2850" max="2850" width="11.3984375" style="109" bestFit="1" customWidth="1"/>
    <col min="2851" max="2851" width="11" style="109" bestFit="1" customWidth="1"/>
    <col min="2852" max="2852" width="11.59765625" style="109" bestFit="1" customWidth="1"/>
    <col min="2853" max="2853" width="16.59765625" style="109" bestFit="1" customWidth="1"/>
    <col min="2854" max="2854" width="16.59765625" style="109" customWidth="1"/>
    <col min="2855" max="2855" width="13.3984375" style="109" bestFit="1" customWidth="1"/>
    <col min="2856" max="2856" width="11.86328125" style="109" bestFit="1" customWidth="1"/>
    <col min="2857" max="2857" width="9.1328125" style="109"/>
    <col min="2858" max="2858" width="11" style="109" bestFit="1" customWidth="1"/>
    <col min="2859" max="3072" width="9.1328125" style="109"/>
    <col min="3073" max="3073" width="3.86328125" style="109" customWidth="1"/>
    <col min="3074" max="3074" width="13.86328125" style="109" customWidth="1"/>
    <col min="3075" max="3075" width="4.59765625" style="109" bestFit="1" customWidth="1"/>
    <col min="3076" max="3076" width="13" style="109" bestFit="1" customWidth="1"/>
    <col min="3077" max="3077" width="12" style="109" bestFit="1" customWidth="1"/>
    <col min="3078" max="3078" width="11" style="109" customWidth="1"/>
    <col min="3079" max="3079" width="11.86328125" style="109" customWidth="1"/>
    <col min="3080" max="3080" width="12.1328125" style="109" customWidth="1"/>
    <col min="3081" max="3081" width="11.1328125" style="109" customWidth="1"/>
    <col min="3082" max="3103" width="0" style="109" hidden="1" customWidth="1"/>
    <col min="3104" max="3104" width="12" style="109" bestFit="1" customWidth="1"/>
    <col min="3105" max="3105" width="10" style="109" bestFit="1" customWidth="1"/>
    <col min="3106" max="3106" width="11.3984375" style="109" bestFit="1" customWidth="1"/>
    <col min="3107" max="3107" width="11" style="109" bestFit="1" customWidth="1"/>
    <col min="3108" max="3108" width="11.59765625" style="109" bestFit="1" customWidth="1"/>
    <col min="3109" max="3109" width="16.59765625" style="109" bestFit="1" customWidth="1"/>
    <col min="3110" max="3110" width="16.59765625" style="109" customWidth="1"/>
    <col min="3111" max="3111" width="13.3984375" style="109" bestFit="1" customWidth="1"/>
    <col min="3112" max="3112" width="11.86328125" style="109" bestFit="1" customWidth="1"/>
    <col min="3113" max="3113" width="9.1328125" style="109"/>
    <col min="3114" max="3114" width="11" style="109" bestFit="1" customWidth="1"/>
    <col min="3115" max="3328" width="9.1328125" style="109"/>
    <col min="3329" max="3329" width="3.86328125" style="109" customWidth="1"/>
    <col min="3330" max="3330" width="13.86328125" style="109" customWidth="1"/>
    <col min="3331" max="3331" width="4.59765625" style="109" bestFit="1" customWidth="1"/>
    <col min="3332" max="3332" width="13" style="109" bestFit="1" customWidth="1"/>
    <col min="3333" max="3333" width="12" style="109" bestFit="1" customWidth="1"/>
    <col min="3334" max="3334" width="11" style="109" customWidth="1"/>
    <col min="3335" max="3335" width="11.86328125" style="109" customWidth="1"/>
    <col min="3336" max="3336" width="12.1328125" style="109" customWidth="1"/>
    <col min="3337" max="3337" width="11.1328125" style="109" customWidth="1"/>
    <col min="3338" max="3359" width="0" style="109" hidden="1" customWidth="1"/>
    <col min="3360" max="3360" width="12" style="109" bestFit="1" customWidth="1"/>
    <col min="3361" max="3361" width="10" style="109" bestFit="1" customWidth="1"/>
    <col min="3362" max="3362" width="11.3984375" style="109" bestFit="1" customWidth="1"/>
    <col min="3363" max="3363" width="11" style="109" bestFit="1" customWidth="1"/>
    <col min="3364" max="3364" width="11.59765625" style="109" bestFit="1" customWidth="1"/>
    <col min="3365" max="3365" width="16.59765625" style="109" bestFit="1" customWidth="1"/>
    <col min="3366" max="3366" width="16.59765625" style="109" customWidth="1"/>
    <col min="3367" max="3367" width="13.3984375" style="109" bestFit="1" customWidth="1"/>
    <col min="3368" max="3368" width="11.86328125" style="109" bestFit="1" customWidth="1"/>
    <col min="3369" max="3369" width="9.1328125" style="109"/>
    <col min="3370" max="3370" width="11" style="109" bestFit="1" customWidth="1"/>
    <col min="3371" max="3584" width="9.1328125" style="109"/>
    <col min="3585" max="3585" width="3.86328125" style="109" customWidth="1"/>
    <col min="3586" max="3586" width="13.86328125" style="109" customWidth="1"/>
    <col min="3587" max="3587" width="4.59765625" style="109" bestFit="1" customWidth="1"/>
    <col min="3588" max="3588" width="13" style="109" bestFit="1" customWidth="1"/>
    <col min="3589" max="3589" width="12" style="109" bestFit="1" customWidth="1"/>
    <col min="3590" max="3590" width="11" style="109" customWidth="1"/>
    <col min="3591" max="3591" width="11.86328125" style="109" customWidth="1"/>
    <col min="3592" max="3592" width="12.1328125" style="109" customWidth="1"/>
    <col min="3593" max="3593" width="11.1328125" style="109" customWidth="1"/>
    <col min="3594" max="3615" width="0" style="109" hidden="1" customWidth="1"/>
    <col min="3616" max="3616" width="12" style="109" bestFit="1" customWidth="1"/>
    <col min="3617" max="3617" width="10" style="109" bestFit="1" customWidth="1"/>
    <col min="3618" max="3618" width="11.3984375" style="109" bestFit="1" customWidth="1"/>
    <col min="3619" max="3619" width="11" style="109" bestFit="1" customWidth="1"/>
    <col min="3620" max="3620" width="11.59765625" style="109" bestFit="1" customWidth="1"/>
    <col min="3621" max="3621" width="16.59765625" style="109" bestFit="1" customWidth="1"/>
    <col min="3622" max="3622" width="16.59765625" style="109" customWidth="1"/>
    <col min="3623" max="3623" width="13.3984375" style="109" bestFit="1" customWidth="1"/>
    <col min="3624" max="3624" width="11.86328125" style="109" bestFit="1" customWidth="1"/>
    <col min="3625" max="3625" width="9.1328125" style="109"/>
    <col min="3626" max="3626" width="11" style="109" bestFit="1" customWidth="1"/>
    <col min="3627" max="3840" width="9.1328125" style="109"/>
    <col min="3841" max="3841" width="3.86328125" style="109" customWidth="1"/>
    <col min="3842" max="3842" width="13.86328125" style="109" customWidth="1"/>
    <col min="3843" max="3843" width="4.59765625" style="109" bestFit="1" customWidth="1"/>
    <col min="3844" max="3844" width="13" style="109" bestFit="1" customWidth="1"/>
    <col min="3845" max="3845" width="12" style="109" bestFit="1" customWidth="1"/>
    <col min="3846" max="3846" width="11" style="109" customWidth="1"/>
    <col min="3847" max="3847" width="11.86328125" style="109" customWidth="1"/>
    <col min="3848" max="3848" width="12.1328125" style="109" customWidth="1"/>
    <col min="3849" max="3849" width="11.1328125" style="109" customWidth="1"/>
    <col min="3850" max="3871" width="0" style="109" hidden="1" customWidth="1"/>
    <col min="3872" max="3872" width="12" style="109" bestFit="1" customWidth="1"/>
    <col min="3873" max="3873" width="10" style="109" bestFit="1" customWidth="1"/>
    <col min="3874" max="3874" width="11.3984375" style="109" bestFit="1" customWidth="1"/>
    <col min="3875" max="3875" width="11" style="109" bestFit="1" customWidth="1"/>
    <col min="3876" max="3876" width="11.59765625" style="109" bestFit="1" customWidth="1"/>
    <col min="3877" max="3877" width="16.59765625" style="109" bestFit="1" customWidth="1"/>
    <col min="3878" max="3878" width="16.59765625" style="109" customWidth="1"/>
    <col min="3879" max="3879" width="13.3984375" style="109" bestFit="1" customWidth="1"/>
    <col min="3880" max="3880" width="11.86328125" style="109" bestFit="1" customWidth="1"/>
    <col min="3881" max="3881" width="9.1328125" style="109"/>
    <col min="3882" max="3882" width="11" style="109" bestFit="1" customWidth="1"/>
    <col min="3883" max="4096" width="9.1328125" style="109"/>
    <col min="4097" max="4097" width="3.86328125" style="109" customWidth="1"/>
    <col min="4098" max="4098" width="13.86328125" style="109" customWidth="1"/>
    <col min="4099" max="4099" width="4.59765625" style="109" bestFit="1" customWidth="1"/>
    <col min="4100" max="4100" width="13" style="109" bestFit="1" customWidth="1"/>
    <col min="4101" max="4101" width="12" style="109" bestFit="1" customWidth="1"/>
    <col min="4102" max="4102" width="11" style="109" customWidth="1"/>
    <col min="4103" max="4103" width="11.86328125" style="109" customWidth="1"/>
    <col min="4104" max="4104" width="12.1328125" style="109" customWidth="1"/>
    <col min="4105" max="4105" width="11.1328125" style="109" customWidth="1"/>
    <col min="4106" max="4127" width="0" style="109" hidden="1" customWidth="1"/>
    <col min="4128" max="4128" width="12" style="109" bestFit="1" customWidth="1"/>
    <col min="4129" max="4129" width="10" style="109" bestFit="1" customWidth="1"/>
    <col min="4130" max="4130" width="11.3984375" style="109" bestFit="1" customWidth="1"/>
    <col min="4131" max="4131" width="11" style="109" bestFit="1" customWidth="1"/>
    <col min="4132" max="4132" width="11.59765625" style="109" bestFit="1" customWidth="1"/>
    <col min="4133" max="4133" width="16.59765625" style="109" bestFit="1" customWidth="1"/>
    <col min="4134" max="4134" width="16.59765625" style="109" customWidth="1"/>
    <col min="4135" max="4135" width="13.3984375" style="109" bestFit="1" customWidth="1"/>
    <col min="4136" max="4136" width="11.86328125" style="109" bestFit="1" customWidth="1"/>
    <col min="4137" max="4137" width="9.1328125" style="109"/>
    <col min="4138" max="4138" width="11" style="109" bestFit="1" customWidth="1"/>
    <col min="4139" max="4352" width="9.1328125" style="109"/>
    <col min="4353" max="4353" width="3.86328125" style="109" customWidth="1"/>
    <col min="4354" max="4354" width="13.86328125" style="109" customWidth="1"/>
    <col min="4355" max="4355" width="4.59765625" style="109" bestFit="1" customWidth="1"/>
    <col min="4356" max="4356" width="13" style="109" bestFit="1" customWidth="1"/>
    <col min="4357" max="4357" width="12" style="109" bestFit="1" customWidth="1"/>
    <col min="4358" max="4358" width="11" style="109" customWidth="1"/>
    <col min="4359" max="4359" width="11.86328125" style="109" customWidth="1"/>
    <col min="4360" max="4360" width="12.1328125" style="109" customWidth="1"/>
    <col min="4361" max="4361" width="11.1328125" style="109" customWidth="1"/>
    <col min="4362" max="4383" width="0" style="109" hidden="1" customWidth="1"/>
    <col min="4384" max="4384" width="12" style="109" bestFit="1" customWidth="1"/>
    <col min="4385" max="4385" width="10" style="109" bestFit="1" customWidth="1"/>
    <col min="4386" max="4386" width="11.3984375" style="109" bestFit="1" customWidth="1"/>
    <col min="4387" max="4387" width="11" style="109" bestFit="1" customWidth="1"/>
    <col min="4388" max="4388" width="11.59765625" style="109" bestFit="1" customWidth="1"/>
    <col min="4389" max="4389" width="16.59765625" style="109" bestFit="1" customWidth="1"/>
    <col min="4390" max="4390" width="16.59765625" style="109" customWidth="1"/>
    <col min="4391" max="4391" width="13.3984375" style="109" bestFit="1" customWidth="1"/>
    <col min="4392" max="4392" width="11.86328125" style="109" bestFit="1" customWidth="1"/>
    <col min="4393" max="4393" width="9.1328125" style="109"/>
    <col min="4394" max="4394" width="11" style="109" bestFit="1" customWidth="1"/>
    <col min="4395" max="4608" width="9.1328125" style="109"/>
    <col min="4609" max="4609" width="3.86328125" style="109" customWidth="1"/>
    <col min="4610" max="4610" width="13.86328125" style="109" customWidth="1"/>
    <col min="4611" max="4611" width="4.59765625" style="109" bestFit="1" customWidth="1"/>
    <col min="4612" max="4612" width="13" style="109" bestFit="1" customWidth="1"/>
    <col min="4613" max="4613" width="12" style="109" bestFit="1" customWidth="1"/>
    <col min="4614" max="4614" width="11" style="109" customWidth="1"/>
    <col min="4615" max="4615" width="11.86328125" style="109" customWidth="1"/>
    <col min="4616" max="4616" width="12.1328125" style="109" customWidth="1"/>
    <col min="4617" max="4617" width="11.1328125" style="109" customWidth="1"/>
    <col min="4618" max="4639" width="0" style="109" hidden="1" customWidth="1"/>
    <col min="4640" max="4640" width="12" style="109" bestFit="1" customWidth="1"/>
    <col min="4641" max="4641" width="10" style="109" bestFit="1" customWidth="1"/>
    <col min="4642" max="4642" width="11.3984375" style="109" bestFit="1" customWidth="1"/>
    <col min="4643" max="4643" width="11" style="109" bestFit="1" customWidth="1"/>
    <col min="4644" max="4644" width="11.59765625" style="109" bestFit="1" customWidth="1"/>
    <col min="4645" max="4645" width="16.59765625" style="109" bestFit="1" customWidth="1"/>
    <col min="4646" max="4646" width="16.59765625" style="109" customWidth="1"/>
    <col min="4647" max="4647" width="13.3984375" style="109" bestFit="1" customWidth="1"/>
    <col min="4648" max="4648" width="11.86328125" style="109" bestFit="1" customWidth="1"/>
    <col min="4649" max="4649" width="9.1328125" style="109"/>
    <col min="4650" max="4650" width="11" style="109" bestFit="1" customWidth="1"/>
    <col min="4651" max="4864" width="9.1328125" style="109"/>
    <col min="4865" max="4865" width="3.86328125" style="109" customWidth="1"/>
    <col min="4866" max="4866" width="13.86328125" style="109" customWidth="1"/>
    <col min="4867" max="4867" width="4.59765625" style="109" bestFit="1" customWidth="1"/>
    <col min="4868" max="4868" width="13" style="109" bestFit="1" customWidth="1"/>
    <col min="4869" max="4869" width="12" style="109" bestFit="1" customWidth="1"/>
    <col min="4870" max="4870" width="11" style="109" customWidth="1"/>
    <col min="4871" max="4871" width="11.86328125" style="109" customWidth="1"/>
    <col min="4872" max="4872" width="12.1328125" style="109" customWidth="1"/>
    <col min="4873" max="4873" width="11.1328125" style="109" customWidth="1"/>
    <col min="4874" max="4895" width="0" style="109" hidden="1" customWidth="1"/>
    <col min="4896" max="4896" width="12" style="109" bestFit="1" customWidth="1"/>
    <col min="4897" max="4897" width="10" style="109" bestFit="1" customWidth="1"/>
    <col min="4898" max="4898" width="11.3984375" style="109" bestFit="1" customWidth="1"/>
    <col min="4899" max="4899" width="11" style="109" bestFit="1" customWidth="1"/>
    <col min="4900" max="4900" width="11.59765625" style="109" bestFit="1" customWidth="1"/>
    <col min="4901" max="4901" width="16.59765625" style="109" bestFit="1" customWidth="1"/>
    <col min="4902" max="4902" width="16.59765625" style="109" customWidth="1"/>
    <col min="4903" max="4903" width="13.3984375" style="109" bestFit="1" customWidth="1"/>
    <col min="4904" max="4904" width="11.86328125" style="109" bestFit="1" customWidth="1"/>
    <col min="4905" max="4905" width="9.1328125" style="109"/>
    <col min="4906" max="4906" width="11" style="109" bestFit="1" customWidth="1"/>
    <col min="4907" max="5120" width="9.1328125" style="109"/>
    <col min="5121" max="5121" width="3.86328125" style="109" customWidth="1"/>
    <col min="5122" max="5122" width="13.86328125" style="109" customWidth="1"/>
    <col min="5123" max="5123" width="4.59765625" style="109" bestFit="1" customWidth="1"/>
    <col min="5124" max="5124" width="13" style="109" bestFit="1" customWidth="1"/>
    <col min="5125" max="5125" width="12" style="109" bestFit="1" customWidth="1"/>
    <col min="5126" max="5126" width="11" style="109" customWidth="1"/>
    <col min="5127" max="5127" width="11.86328125" style="109" customWidth="1"/>
    <col min="5128" max="5128" width="12.1328125" style="109" customWidth="1"/>
    <col min="5129" max="5129" width="11.1328125" style="109" customWidth="1"/>
    <col min="5130" max="5151" width="0" style="109" hidden="1" customWidth="1"/>
    <col min="5152" max="5152" width="12" style="109" bestFit="1" customWidth="1"/>
    <col min="5153" max="5153" width="10" style="109" bestFit="1" customWidth="1"/>
    <col min="5154" max="5154" width="11.3984375" style="109" bestFit="1" customWidth="1"/>
    <col min="5155" max="5155" width="11" style="109" bestFit="1" customWidth="1"/>
    <col min="5156" max="5156" width="11.59765625" style="109" bestFit="1" customWidth="1"/>
    <col min="5157" max="5157" width="16.59765625" style="109" bestFit="1" customWidth="1"/>
    <col min="5158" max="5158" width="16.59765625" style="109" customWidth="1"/>
    <col min="5159" max="5159" width="13.3984375" style="109" bestFit="1" customWidth="1"/>
    <col min="5160" max="5160" width="11.86328125" style="109" bestFit="1" customWidth="1"/>
    <col min="5161" max="5161" width="9.1328125" style="109"/>
    <col min="5162" max="5162" width="11" style="109" bestFit="1" customWidth="1"/>
    <col min="5163" max="5376" width="9.1328125" style="109"/>
    <col min="5377" max="5377" width="3.86328125" style="109" customWidth="1"/>
    <col min="5378" max="5378" width="13.86328125" style="109" customWidth="1"/>
    <col min="5379" max="5379" width="4.59765625" style="109" bestFit="1" customWidth="1"/>
    <col min="5380" max="5380" width="13" style="109" bestFit="1" customWidth="1"/>
    <col min="5381" max="5381" width="12" style="109" bestFit="1" customWidth="1"/>
    <col min="5382" max="5382" width="11" style="109" customWidth="1"/>
    <col min="5383" max="5383" width="11.86328125" style="109" customWidth="1"/>
    <col min="5384" max="5384" width="12.1328125" style="109" customWidth="1"/>
    <col min="5385" max="5385" width="11.1328125" style="109" customWidth="1"/>
    <col min="5386" max="5407" width="0" style="109" hidden="1" customWidth="1"/>
    <col min="5408" max="5408" width="12" style="109" bestFit="1" customWidth="1"/>
    <col min="5409" max="5409" width="10" style="109" bestFit="1" customWidth="1"/>
    <col min="5410" max="5410" width="11.3984375" style="109" bestFit="1" customWidth="1"/>
    <col min="5411" max="5411" width="11" style="109" bestFit="1" customWidth="1"/>
    <col min="5412" max="5412" width="11.59765625" style="109" bestFit="1" customWidth="1"/>
    <col min="5413" max="5413" width="16.59765625" style="109" bestFit="1" customWidth="1"/>
    <col min="5414" max="5414" width="16.59765625" style="109" customWidth="1"/>
    <col min="5415" max="5415" width="13.3984375" style="109" bestFit="1" customWidth="1"/>
    <col min="5416" max="5416" width="11.86328125" style="109" bestFit="1" customWidth="1"/>
    <col min="5417" max="5417" width="9.1328125" style="109"/>
    <col min="5418" max="5418" width="11" style="109" bestFit="1" customWidth="1"/>
    <col min="5419" max="5632" width="9.1328125" style="109"/>
    <col min="5633" max="5633" width="3.86328125" style="109" customWidth="1"/>
    <col min="5634" max="5634" width="13.86328125" style="109" customWidth="1"/>
    <col min="5635" max="5635" width="4.59765625" style="109" bestFit="1" customWidth="1"/>
    <col min="5636" max="5636" width="13" style="109" bestFit="1" customWidth="1"/>
    <col min="5637" max="5637" width="12" style="109" bestFit="1" customWidth="1"/>
    <col min="5638" max="5638" width="11" style="109" customWidth="1"/>
    <col min="5639" max="5639" width="11.86328125" style="109" customWidth="1"/>
    <col min="5640" max="5640" width="12.1328125" style="109" customWidth="1"/>
    <col min="5641" max="5641" width="11.1328125" style="109" customWidth="1"/>
    <col min="5642" max="5663" width="0" style="109" hidden="1" customWidth="1"/>
    <col min="5664" max="5664" width="12" style="109" bestFit="1" customWidth="1"/>
    <col min="5665" max="5665" width="10" style="109" bestFit="1" customWidth="1"/>
    <col min="5666" max="5666" width="11.3984375" style="109" bestFit="1" customWidth="1"/>
    <col min="5667" max="5667" width="11" style="109" bestFit="1" customWidth="1"/>
    <col min="5668" max="5668" width="11.59765625" style="109" bestFit="1" customWidth="1"/>
    <col min="5669" max="5669" width="16.59765625" style="109" bestFit="1" customWidth="1"/>
    <col min="5670" max="5670" width="16.59765625" style="109" customWidth="1"/>
    <col min="5671" max="5671" width="13.3984375" style="109" bestFit="1" customWidth="1"/>
    <col min="5672" max="5672" width="11.86328125" style="109" bestFit="1" customWidth="1"/>
    <col min="5673" max="5673" width="9.1328125" style="109"/>
    <col min="5674" max="5674" width="11" style="109" bestFit="1" customWidth="1"/>
    <col min="5675" max="5888" width="9.1328125" style="109"/>
    <col min="5889" max="5889" width="3.86328125" style="109" customWidth="1"/>
    <col min="5890" max="5890" width="13.86328125" style="109" customWidth="1"/>
    <col min="5891" max="5891" width="4.59765625" style="109" bestFit="1" customWidth="1"/>
    <col min="5892" max="5892" width="13" style="109" bestFit="1" customWidth="1"/>
    <col min="5893" max="5893" width="12" style="109" bestFit="1" customWidth="1"/>
    <col min="5894" max="5894" width="11" style="109" customWidth="1"/>
    <col min="5895" max="5895" width="11.86328125" style="109" customWidth="1"/>
    <col min="5896" max="5896" width="12.1328125" style="109" customWidth="1"/>
    <col min="5897" max="5897" width="11.1328125" style="109" customWidth="1"/>
    <col min="5898" max="5919" width="0" style="109" hidden="1" customWidth="1"/>
    <col min="5920" max="5920" width="12" style="109" bestFit="1" customWidth="1"/>
    <col min="5921" max="5921" width="10" style="109" bestFit="1" customWidth="1"/>
    <col min="5922" max="5922" width="11.3984375" style="109" bestFit="1" customWidth="1"/>
    <col min="5923" max="5923" width="11" style="109" bestFit="1" customWidth="1"/>
    <col min="5924" max="5924" width="11.59765625" style="109" bestFit="1" customWidth="1"/>
    <col min="5925" max="5925" width="16.59765625" style="109" bestFit="1" customWidth="1"/>
    <col min="5926" max="5926" width="16.59765625" style="109" customWidth="1"/>
    <col min="5927" max="5927" width="13.3984375" style="109" bestFit="1" customWidth="1"/>
    <col min="5928" max="5928" width="11.86328125" style="109" bestFit="1" customWidth="1"/>
    <col min="5929" max="5929" width="9.1328125" style="109"/>
    <col min="5930" max="5930" width="11" style="109" bestFit="1" customWidth="1"/>
    <col min="5931" max="6144" width="9.1328125" style="109"/>
    <col min="6145" max="6145" width="3.86328125" style="109" customWidth="1"/>
    <col min="6146" max="6146" width="13.86328125" style="109" customWidth="1"/>
    <col min="6147" max="6147" width="4.59765625" style="109" bestFit="1" customWidth="1"/>
    <col min="6148" max="6148" width="13" style="109" bestFit="1" customWidth="1"/>
    <col min="6149" max="6149" width="12" style="109" bestFit="1" customWidth="1"/>
    <col min="6150" max="6150" width="11" style="109" customWidth="1"/>
    <col min="6151" max="6151" width="11.86328125" style="109" customWidth="1"/>
    <col min="6152" max="6152" width="12.1328125" style="109" customWidth="1"/>
    <col min="6153" max="6153" width="11.1328125" style="109" customWidth="1"/>
    <col min="6154" max="6175" width="0" style="109" hidden="1" customWidth="1"/>
    <col min="6176" max="6176" width="12" style="109" bestFit="1" customWidth="1"/>
    <col min="6177" max="6177" width="10" style="109" bestFit="1" customWidth="1"/>
    <col min="6178" max="6178" width="11.3984375" style="109" bestFit="1" customWidth="1"/>
    <col min="6179" max="6179" width="11" style="109" bestFit="1" customWidth="1"/>
    <col min="6180" max="6180" width="11.59765625" style="109" bestFit="1" customWidth="1"/>
    <col min="6181" max="6181" width="16.59765625" style="109" bestFit="1" customWidth="1"/>
    <col min="6182" max="6182" width="16.59765625" style="109" customWidth="1"/>
    <col min="6183" max="6183" width="13.3984375" style="109" bestFit="1" customWidth="1"/>
    <col min="6184" max="6184" width="11.86328125" style="109" bestFit="1" customWidth="1"/>
    <col min="6185" max="6185" width="9.1328125" style="109"/>
    <col min="6186" max="6186" width="11" style="109" bestFit="1" customWidth="1"/>
    <col min="6187" max="6400" width="9.1328125" style="109"/>
    <col min="6401" max="6401" width="3.86328125" style="109" customWidth="1"/>
    <col min="6402" max="6402" width="13.86328125" style="109" customWidth="1"/>
    <col min="6403" max="6403" width="4.59765625" style="109" bestFit="1" customWidth="1"/>
    <col min="6404" max="6404" width="13" style="109" bestFit="1" customWidth="1"/>
    <col min="6405" max="6405" width="12" style="109" bestFit="1" customWidth="1"/>
    <col min="6406" max="6406" width="11" style="109" customWidth="1"/>
    <col min="6407" max="6407" width="11.86328125" style="109" customWidth="1"/>
    <col min="6408" max="6408" width="12.1328125" style="109" customWidth="1"/>
    <col min="6409" max="6409" width="11.1328125" style="109" customWidth="1"/>
    <col min="6410" max="6431" width="0" style="109" hidden="1" customWidth="1"/>
    <col min="6432" max="6432" width="12" style="109" bestFit="1" customWidth="1"/>
    <col min="6433" max="6433" width="10" style="109" bestFit="1" customWidth="1"/>
    <col min="6434" max="6434" width="11.3984375" style="109" bestFit="1" customWidth="1"/>
    <col min="6435" max="6435" width="11" style="109" bestFit="1" customWidth="1"/>
    <col min="6436" max="6436" width="11.59765625" style="109" bestFit="1" customWidth="1"/>
    <col min="6437" max="6437" width="16.59765625" style="109" bestFit="1" customWidth="1"/>
    <col min="6438" max="6438" width="16.59765625" style="109" customWidth="1"/>
    <col min="6439" max="6439" width="13.3984375" style="109" bestFit="1" customWidth="1"/>
    <col min="6440" max="6440" width="11.86328125" style="109" bestFit="1" customWidth="1"/>
    <col min="6441" max="6441" width="9.1328125" style="109"/>
    <col min="6442" max="6442" width="11" style="109" bestFit="1" customWidth="1"/>
    <col min="6443" max="6656" width="9.1328125" style="109"/>
    <col min="6657" max="6657" width="3.86328125" style="109" customWidth="1"/>
    <col min="6658" max="6658" width="13.86328125" style="109" customWidth="1"/>
    <col min="6659" max="6659" width="4.59765625" style="109" bestFit="1" customWidth="1"/>
    <col min="6660" max="6660" width="13" style="109" bestFit="1" customWidth="1"/>
    <col min="6661" max="6661" width="12" style="109" bestFit="1" customWidth="1"/>
    <col min="6662" max="6662" width="11" style="109" customWidth="1"/>
    <col min="6663" max="6663" width="11.86328125" style="109" customWidth="1"/>
    <col min="6664" max="6664" width="12.1328125" style="109" customWidth="1"/>
    <col min="6665" max="6665" width="11.1328125" style="109" customWidth="1"/>
    <col min="6666" max="6687" width="0" style="109" hidden="1" customWidth="1"/>
    <col min="6688" max="6688" width="12" style="109" bestFit="1" customWidth="1"/>
    <col min="6689" max="6689" width="10" style="109" bestFit="1" customWidth="1"/>
    <col min="6690" max="6690" width="11.3984375" style="109" bestFit="1" customWidth="1"/>
    <col min="6691" max="6691" width="11" style="109" bestFit="1" customWidth="1"/>
    <col min="6692" max="6692" width="11.59765625" style="109" bestFit="1" customWidth="1"/>
    <col min="6693" max="6693" width="16.59765625" style="109" bestFit="1" customWidth="1"/>
    <col min="6694" max="6694" width="16.59765625" style="109" customWidth="1"/>
    <col min="6695" max="6695" width="13.3984375" style="109" bestFit="1" customWidth="1"/>
    <col min="6696" max="6696" width="11.86328125" style="109" bestFit="1" customWidth="1"/>
    <col min="6697" max="6697" width="9.1328125" style="109"/>
    <col min="6698" max="6698" width="11" style="109" bestFit="1" customWidth="1"/>
    <col min="6699" max="6912" width="9.1328125" style="109"/>
    <col min="6913" max="6913" width="3.86328125" style="109" customWidth="1"/>
    <col min="6914" max="6914" width="13.86328125" style="109" customWidth="1"/>
    <col min="6915" max="6915" width="4.59765625" style="109" bestFit="1" customWidth="1"/>
    <col min="6916" max="6916" width="13" style="109" bestFit="1" customWidth="1"/>
    <col min="6917" max="6917" width="12" style="109" bestFit="1" customWidth="1"/>
    <col min="6918" max="6918" width="11" style="109" customWidth="1"/>
    <col min="6919" max="6919" width="11.86328125" style="109" customWidth="1"/>
    <col min="6920" max="6920" width="12.1328125" style="109" customWidth="1"/>
    <col min="6921" max="6921" width="11.1328125" style="109" customWidth="1"/>
    <col min="6922" max="6943" width="0" style="109" hidden="1" customWidth="1"/>
    <col min="6944" max="6944" width="12" style="109" bestFit="1" customWidth="1"/>
    <col min="6945" max="6945" width="10" style="109" bestFit="1" customWidth="1"/>
    <col min="6946" max="6946" width="11.3984375" style="109" bestFit="1" customWidth="1"/>
    <col min="6947" max="6947" width="11" style="109" bestFit="1" customWidth="1"/>
    <col min="6948" max="6948" width="11.59765625" style="109" bestFit="1" customWidth="1"/>
    <col min="6949" max="6949" width="16.59765625" style="109" bestFit="1" customWidth="1"/>
    <col min="6950" max="6950" width="16.59765625" style="109" customWidth="1"/>
    <col min="6951" max="6951" width="13.3984375" style="109" bestFit="1" customWidth="1"/>
    <col min="6952" max="6952" width="11.86328125" style="109" bestFit="1" customWidth="1"/>
    <col min="6953" max="6953" width="9.1328125" style="109"/>
    <col min="6954" max="6954" width="11" style="109" bestFit="1" customWidth="1"/>
    <col min="6955" max="7168" width="9.1328125" style="109"/>
    <col min="7169" max="7169" width="3.86328125" style="109" customWidth="1"/>
    <col min="7170" max="7170" width="13.86328125" style="109" customWidth="1"/>
    <col min="7171" max="7171" width="4.59765625" style="109" bestFit="1" customWidth="1"/>
    <col min="7172" max="7172" width="13" style="109" bestFit="1" customWidth="1"/>
    <col min="7173" max="7173" width="12" style="109" bestFit="1" customWidth="1"/>
    <col min="7174" max="7174" width="11" style="109" customWidth="1"/>
    <col min="7175" max="7175" width="11.86328125" style="109" customWidth="1"/>
    <col min="7176" max="7176" width="12.1328125" style="109" customWidth="1"/>
    <col min="7177" max="7177" width="11.1328125" style="109" customWidth="1"/>
    <col min="7178" max="7199" width="0" style="109" hidden="1" customWidth="1"/>
    <col min="7200" max="7200" width="12" style="109" bestFit="1" customWidth="1"/>
    <col min="7201" max="7201" width="10" style="109" bestFit="1" customWidth="1"/>
    <col min="7202" max="7202" width="11.3984375" style="109" bestFit="1" customWidth="1"/>
    <col min="7203" max="7203" width="11" style="109" bestFit="1" customWidth="1"/>
    <col min="7204" max="7204" width="11.59765625" style="109" bestFit="1" customWidth="1"/>
    <col min="7205" max="7205" width="16.59765625" style="109" bestFit="1" customWidth="1"/>
    <col min="7206" max="7206" width="16.59765625" style="109" customWidth="1"/>
    <col min="7207" max="7207" width="13.3984375" style="109" bestFit="1" customWidth="1"/>
    <col min="7208" max="7208" width="11.86328125" style="109" bestFit="1" customWidth="1"/>
    <col min="7209" max="7209" width="9.1328125" style="109"/>
    <col min="7210" max="7210" width="11" style="109" bestFit="1" customWidth="1"/>
    <col min="7211" max="7424" width="9.1328125" style="109"/>
    <col min="7425" max="7425" width="3.86328125" style="109" customWidth="1"/>
    <col min="7426" max="7426" width="13.86328125" style="109" customWidth="1"/>
    <col min="7427" max="7427" width="4.59765625" style="109" bestFit="1" customWidth="1"/>
    <col min="7428" max="7428" width="13" style="109" bestFit="1" customWidth="1"/>
    <col min="7429" max="7429" width="12" style="109" bestFit="1" customWidth="1"/>
    <col min="7430" max="7430" width="11" style="109" customWidth="1"/>
    <col min="7431" max="7431" width="11.86328125" style="109" customWidth="1"/>
    <col min="7432" max="7432" width="12.1328125" style="109" customWidth="1"/>
    <col min="7433" max="7433" width="11.1328125" style="109" customWidth="1"/>
    <col min="7434" max="7455" width="0" style="109" hidden="1" customWidth="1"/>
    <col min="7456" max="7456" width="12" style="109" bestFit="1" customWidth="1"/>
    <col min="7457" max="7457" width="10" style="109" bestFit="1" customWidth="1"/>
    <col min="7458" max="7458" width="11.3984375" style="109" bestFit="1" customWidth="1"/>
    <col min="7459" max="7459" width="11" style="109" bestFit="1" customWidth="1"/>
    <col min="7460" max="7460" width="11.59765625" style="109" bestFit="1" customWidth="1"/>
    <col min="7461" max="7461" width="16.59765625" style="109" bestFit="1" customWidth="1"/>
    <col min="7462" max="7462" width="16.59765625" style="109" customWidth="1"/>
    <col min="7463" max="7463" width="13.3984375" style="109" bestFit="1" customWidth="1"/>
    <col min="7464" max="7464" width="11.86328125" style="109" bestFit="1" customWidth="1"/>
    <col min="7465" max="7465" width="9.1328125" style="109"/>
    <col min="7466" max="7466" width="11" style="109" bestFit="1" customWidth="1"/>
    <col min="7467" max="7680" width="9.1328125" style="109"/>
    <col min="7681" max="7681" width="3.86328125" style="109" customWidth="1"/>
    <col min="7682" max="7682" width="13.86328125" style="109" customWidth="1"/>
    <col min="7683" max="7683" width="4.59765625" style="109" bestFit="1" customWidth="1"/>
    <col min="7684" max="7684" width="13" style="109" bestFit="1" customWidth="1"/>
    <col min="7685" max="7685" width="12" style="109" bestFit="1" customWidth="1"/>
    <col min="7686" max="7686" width="11" style="109" customWidth="1"/>
    <col min="7687" max="7687" width="11.86328125" style="109" customWidth="1"/>
    <col min="7688" max="7688" width="12.1328125" style="109" customWidth="1"/>
    <col min="7689" max="7689" width="11.1328125" style="109" customWidth="1"/>
    <col min="7690" max="7711" width="0" style="109" hidden="1" customWidth="1"/>
    <col min="7712" max="7712" width="12" style="109" bestFit="1" customWidth="1"/>
    <col min="7713" max="7713" width="10" style="109" bestFit="1" customWidth="1"/>
    <col min="7714" max="7714" width="11.3984375" style="109" bestFit="1" customWidth="1"/>
    <col min="7715" max="7715" width="11" style="109" bestFit="1" customWidth="1"/>
    <col min="7716" max="7716" width="11.59765625" style="109" bestFit="1" customWidth="1"/>
    <col min="7717" max="7717" width="16.59765625" style="109" bestFit="1" customWidth="1"/>
    <col min="7718" max="7718" width="16.59765625" style="109" customWidth="1"/>
    <col min="7719" max="7719" width="13.3984375" style="109" bestFit="1" customWidth="1"/>
    <col min="7720" max="7720" width="11.86328125" style="109" bestFit="1" customWidth="1"/>
    <col min="7721" max="7721" width="9.1328125" style="109"/>
    <col min="7722" max="7722" width="11" style="109" bestFit="1" customWidth="1"/>
    <col min="7723" max="7936" width="9.1328125" style="109"/>
    <col min="7937" max="7937" width="3.86328125" style="109" customWidth="1"/>
    <col min="7938" max="7938" width="13.86328125" style="109" customWidth="1"/>
    <col min="7939" max="7939" width="4.59765625" style="109" bestFit="1" customWidth="1"/>
    <col min="7940" max="7940" width="13" style="109" bestFit="1" customWidth="1"/>
    <col min="7941" max="7941" width="12" style="109" bestFit="1" customWidth="1"/>
    <col min="7942" max="7942" width="11" style="109" customWidth="1"/>
    <col min="7943" max="7943" width="11.86328125" style="109" customWidth="1"/>
    <col min="7944" max="7944" width="12.1328125" style="109" customWidth="1"/>
    <col min="7945" max="7945" width="11.1328125" style="109" customWidth="1"/>
    <col min="7946" max="7967" width="0" style="109" hidden="1" customWidth="1"/>
    <col min="7968" max="7968" width="12" style="109" bestFit="1" customWidth="1"/>
    <col min="7969" max="7969" width="10" style="109" bestFit="1" customWidth="1"/>
    <col min="7970" max="7970" width="11.3984375" style="109" bestFit="1" customWidth="1"/>
    <col min="7971" max="7971" width="11" style="109" bestFit="1" customWidth="1"/>
    <col min="7972" max="7972" width="11.59765625" style="109" bestFit="1" customWidth="1"/>
    <col min="7973" max="7973" width="16.59765625" style="109" bestFit="1" customWidth="1"/>
    <col min="7974" max="7974" width="16.59765625" style="109" customWidth="1"/>
    <col min="7975" max="7975" width="13.3984375" style="109" bestFit="1" customWidth="1"/>
    <col min="7976" max="7976" width="11.86328125" style="109" bestFit="1" customWidth="1"/>
    <col min="7977" max="7977" width="9.1328125" style="109"/>
    <col min="7978" max="7978" width="11" style="109" bestFit="1" customWidth="1"/>
    <col min="7979" max="8192" width="9.1328125" style="109"/>
    <col min="8193" max="8193" width="3.86328125" style="109" customWidth="1"/>
    <col min="8194" max="8194" width="13.86328125" style="109" customWidth="1"/>
    <col min="8195" max="8195" width="4.59765625" style="109" bestFit="1" customWidth="1"/>
    <col min="8196" max="8196" width="13" style="109" bestFit="1" customWidth="1"/>
    <col min="8197" max="8197" width="12" style="109" bestFit="1" customWidth="1"/>
    <col min="8198" max="8198" width="11" style="109" customWidth="1"/>
    <col min="8199" max="8199" width="11.86328125" style="109" customWidth="1"/>
    <col min="8200" max="8200" width="12.1328125" style="109" customWidth="1"/>
    <col min="8201" max="8201" width="11.1328125" style="109" customWidth="1"/>
    <col min="8202" max="8223" width="0" style="109" hidden="1" customWidth="1"/>
    <col min="8224" max="8224" width="12" style="109" bestFit="1" customWidth="1"/>
    <col min="8225" max="8225" width="10" style="109" bestFit="1" customWidth="1"/>
    <col min="8226" max="8226" width="11.3984375" style="109" bestFit="1" customWidth="1"/>
    <col min="8227" max="8227" width="11" style="109" bestFit="1" customWidth="1"/>
    <col min="8228" max="8228" width="11.59765625" style="109" bestFit="1" customWidth="1"/>
    <col min="8229" max="8229" width="16.59765625" style="109" bestFit="1" customWidth="1"/>
    <col min="8230" max="8230" width="16.59765625" style="109" customWidth="1"/>
    <col min="8231" max="8231" width="13.3984375" style="109" bestFit="1" customWidth="1"/>
    <col min="8232" max="8232" width="11.86328125" style="109" bestFit="1" customWidth="1"/>
    <col min="8233" max="8233" width="9.1328125" style="109"/>
    <col min="8234" max="8234" width="11" style="109" bestFit="1" customWidth="1"/>
    <col min="8235" max="8448" width="9.1328125" style="109"/>
    <col min="8449" max="8449" width="3.86328125" style="109" customWidth="1"/>
    <col min="8450" max="8450" width="13.86328125" style="109" customWidth="1"/>
    <col min="8451" max="8451" width="4.59765625" style="109" bestFit="1" customWidth="1"/>
    <col min="8452" max="8452" width="13" style="109" bestFit="1" customWidth="1"/>
    <col min="8453" max="8453" width="12" style="109" bestFit="1" customWidth="1"/>
    <col min="8454" max="8454" width="11" style="109" customWidth="1"/>
    <col min="8455" max="8455" width="11.86328125" style="109" customWidth="1"/>
    <col min="8456" max="8456" width="12.1328125" style="109" customWidth="1"/>
    <col min="8457" max="8457" width="11.1328125" style="109" customWidth="1"/>
    <col min="8458" max="8479" width="0" style="109" hidden="1" customWidth="1"/>
    <col min="8480" max="8480" width="12" style="109" bestFit="1" customWidth="1"/>
    <col min="8481" max="8481" width="10" style="109" bestFit="1" customWidth="1"/>
    <col min="8482" max="8482" width="11.3984375" style="109" bestFit="1" customWidth="1"/>
    <col min="8483" max="8483" width="11" style="109" bestFit="1" customWidth="1"/>
    <col min="8484" max="8484" width="11.59765625" style="109" bestFit="1" customWidth="1"/>
    <col min="8485" max="8485" width="16.59765625" style="109" bestFit="1" customWidth="1"/>
    <col min="8486" max="8486" width="16.59765625" style="109" customWidth="1"/>
    <col min="8487" max="8487" width="13.3984375" style="109" bestFit="1" customWidth="1"/>
    <col min="8488" max="8488" width="11.86328125" style="109" bestFit="1" customWidth="1"/>
    <col min="8489" max="8489" width="9.1328125" style="109"/>
    <col min="8490" max="8490" width="11" style="109" bestFit="1" customWidth="1"/>
    <col min="8491" max="8704" width="9.1328125" style="109"/>
    <col min="8705" max="8705" width="3.86328125" style="109" customWidth="1"/>
    <col min="8706" max="8706" width="13.86328125" style="109" customWidth="1"/>
    <col min="8707" max="8707" width="4.59765625" style="109" bestFit="1" customWidth="1"/>
    <col min="8708" max="8708" width="13" style="109" bestFit="1" customWidth="1"/>
    <col min="8709" max="8709" width="12" style="109" bestFit="1" customWidth="1"/>
    <col min="8710" max="8710" width="11" style="109" customWidth="1"/>
    <col min="8711" max="8711" width="11.86328125" style="109" customWidth="1"/>
    <col min="8712" max="8712" width="12.1328125" style="109" customWidth="1"/>
    <col min="8713" max="8713" width="11.1328125" style="109" customWidth="1"/>
    <col min="8714" max="8735" width="0" style="109" hidden="1" customWidth="1"/>
    <col min="8736" max="8736" width="12" style="109" bestFit="1" customWidth="1"/>
    <col min="8737" max="8737" width="10" style="109" bestFit="1" customWidth="1"/>
    <col min="8738" max="8738" width="11.3984375" style="109" bestFit="1" customWidth="1"/>
    <col min="8739" max="8739" width="11" style="109" bestFit="1" customWidth="1"/>
    <col min="8740" max="8740" width="11.59765625" style="109" bestFit="1" customWidth="1"/>
    <col min="8741" max="8741" width="16.59765625" style="109" bestFit="1" customWidth="1"/>
    <col min="8742" max="8742" width="16.59765625" style="109" customWidth="1"/>
    <col min="8743" max="8743" width="13.3984375" style="109" bestFit="1" customWidth="1"/>
    <col min="8744" max="8744" width="11.86328125" style="109" bestFit="1" customWidth="1"/>
    <col min="8745" max="8745" width="9.1328125" style="109"/>
    <col min="8746" max="8746" width="11" style="109" bestFit="1" customWidth="1"/>
    <col min="8747" max="8960" width="9.1328125" style="109"/>
    <col min="8961" max="8961" width="3.86328125" style="109" customWidth="1"/>
    <col min="8962" max="8962" width="13.86328125" style="109" customWidth="1"/>
    <col min="8963" max="8963" width="4.59765625" style="109" bestFit="1" customWidth="1"/>
    <col min="8964" max="8964" width="13" style="109" bestFit="1" customWidth="1"/>
    <col min="8965" max="8965" width="12" style="109" bestFit="1" customWidth="1"/>
    <col min="8966" max="8966" width="11" style="109" customWidth="1"/>
    <col min="8967" max="8967" width="11.86328125" style="109" customWidth="1"/>
    <col min="8968" max="8968" width="12.1328125" style="109" customWidth="1"/>
    <col min="8969" max="8969" width="11.1328125" style="109" customWidth="1"/>
    <col min="8970" max="8991" width="0" style="109" hidden="1" customWidth="1"/>
    <col min="8992" max="8992" width="12" style="109" bestFit="1" customWidth="1"/>
    <col min="8993" max="8993" width="10" style="109" bestFit="1" customWidth="1"/>
    <col min="8994" max="8994" width="11.3984375" style="109" bestFit="1" customWidth="1"/>
    <col min="8995" max="8995" width="11" style="109" bestFit="1" customWidth="1"/>
    <col min="8996" max="8996" width="11.59765625" style="109" bestFit="1" customWidth="1"/>
    <col min="8997" max="8997" width="16.59765625" style="109" bestFit="1" customWidth="1"/>
    <col min="8998" max="8998" width="16.59765625" style="109" customWidth="1"/>
    <col min="8999" max="8999" width="13.3984375" style="109" bestFit="1" customWidth="1"/>
    <col min="9000" max="9000" width="11.86328125" style="109" bestFit="1" customWidth="1"/>
    <col min="9001" max="9001" width="9.1328125" style="109"/>
    <col min="9002" max="9002" width="11" style="109" bestFit="1" customWidth="1"/>
    <col min="9003" max="9216" width="9.1328125" style="109"/>
    <col min="9217" max="9217" width="3.86328125" style="109" customWidth="1"/>
    <col min="9218" max="9218" width="13.86328125" style="109" customWidth="1"/>
    <col min="9219" max="9219" width="4.59765625" style="109" bestFit="1" customWidth="1"/>
    <col min="9220" max="9220" width="13" style="109" bestFit="1" customWidth="1"/>
    <col min="9221" max="9221" width="12" style="109" bestFit="1" customWidth="1"/>
    <col min="9222" max="9222" width="11" style="109" customWidth="1"/>
    <col min="9223" max="9223" width="11.86328125" style="109" customWidth="1"/>
    <col min="9224" max="9224" width="12.1328125" style="109" customWidth="1"/>
    <col min="9225" max="9225" width="11.1328125" style="109" customWidth="1"/>
    <col min="9226" max="9247" width="0" style="109" hidden="1" customWidth="1"/>
    <col min="9248" max="9248" width="12" style="109" bestFit="1" customWidth="1"/>
    <col min="9249" max="9249" width="10" style="109" bestFit="1" customWidth="1"/>
    <col min="9250" max="9250" width="11.3984375" style="109" bestFit="1" customWidth="1"/>
    <col min="9251" max="9251" width="11" style="109" bestFit="1" customWidth="1"/>
    <col min="9252" max="9252" width="11.59765625" style="109" bestFit="1" customWidth="1"/>
    <col min="9253" max="9253" width="16.59765625" style="109" bestFit="1" customWidth="1"/>
    <col min="9254" max="9254" width="16.59765625" style="109" customWidth="1"/>
    <col min="9255" max="9255" width="13.3984375" style="109" bestFit="1" customWidth="1"/>
    <col min="9256" max="9256" width="11.86328125" style="109" bestFit="1" customWidth="1"/>
    <col min="9257" max="9257" width="9.1328125" style="109"/>
    <col min="9258" max="9258" width="11" style="109" bestFit="1" customWidth="1"/>
    <col min="9259" max="9472" width="9.1328125" style="109"/>
    <col min="9473" max="9473" width="3.86328125" style="109" customWidth="1"/>
    <col min="9474" max="9474" width="13.86328125" style="109" customWidth="1"/>
    <col min="9475" max="9475" width="4.59765625" style="109" bestFit="1" customWidth="1"/>
    <col min="9476" max="9476" width="13" style="109" bestFit="1" customWidth="1"/>
    <col min="9477" max="9477" width="12" style="109" bestFit="1" customWidth="1"/>
    <col min="9478" max="9478" width="11" style="109" customWidth="1"/>
    <col min="9479" max="9479" width="11.86328125" style="109" customWidth="1"/>
    <col min="9480" max="9480" width="12.1328125" style="109" customWidth="1"/>
    <col min="9481" max="9481" width="11.1328125" style="109" customWidth="1"/>
    <col min="9482" max="9503" width="0" style="109" hidden="1" customWidth="1"/>
    <col min="9504" max="9504" width="12" style="109" bestFit="1" customWidth="1"/>
    <col min="9505" max="9505" width="10" style="109" bestFit="1" customWidth="1"/>
    <col min="9506" max="9506" width="11.3984375" style="109" bestFit="1" customWidth="1"/>
    <col min="9507" max="9507" width="11" style="109" bestFit="1" customWidth="1"/>
    <col min="9508" max="9508" width="11.59765625" style="109" bestFit="1" customWidth="1"/>
    <col min="9509" max="9509" width="16.59765625" style="109" bestFit="1" customWidth="1"/>
    <col min="9510" max="9510" width="16.59765625" style="109" customWidth="1"/>
    <col min="9511" max="9511" width="13.3984375" style="109" bestFit="1" customWidth="1"/>
    <col min="9512" max="9512" width="11.86328125" style="109" bestFit="1" customWidth="1"/>
    <col min="9513" max="9513" width="9.1328125" style="109"/>
    <col min="9514" max="9514" width="11" style="109" bestFit="1" customWidth="1"/>
    <col min="9515" max="9728" width="9.1328125" style="109"/>
    <col min="9729" max="9729" width="3.86328125" style="109" customWidth="1"/>
    <col min="9730" max="9730" width="13.86328125" style="109" customWidth="1"/>
    <col min="9731" max="9731" width="4.59765625" style="109" bestFit="1" customWidth="1"/>
    <col min="9732" max="9732" width="13" style="109" bestFit="1" customWidth="1"/>
    <col min="9733" max="9733" width="12" style="109" bestFit="1" customWidth="1"/>
    <col min="9734" max="9734" width="11" style="109" customWidth="1"/>
    <col min="9735" max="9735" width="11.86328125" style="109" customWidth="1"/>
    <col min="9736" max="9736" width="12.1328125" style="109" customWidth="1"/>
    <col min="9737" max="9737" width="11.1328125" style="109" customWidth="1"/>
    <col min="9738" max="9759" width="0" style="109" hidden="1" customWidth="1"/>
    <col min="9760" max="9760" width="12" style="109" bestFit="1" customWidth="1"/>
    <col min="9761" max="9761" width="10" style="109" bestFit="1" customWidth="1"/>
    <col min="9762" max="9762" width="11.3984375" style="109" bestFit="1" customWidth="1"/>
    <col min="9763" max="9763" width="11" style="109" bestFit="1" customWidth="1"/>
    <col min="9764" max="9764" width="11.59765625" style="109" bestFit="1" customWidth="1"/>
    <col min="9765" max="9765" width="16.59765625" style="109" bestFit="1" customWidth="1"/>
    <col min="9766" max="9766" width="16.59765625" style="109" customWidth="1"/>
    <col min="9767" max="9767" width="13.3984375" style="109" bestFit="1" customWidth="1"/>
    <col min="9768" max="9768" width="11.86328125" style="109" bestFit="1" customWidth="1"/>
    <col min="9769" max="9769" width="9.1328125" style="109"/>
    <col min="9770" max="9770" width="11" style="109" bestFit="1" customWidth="1"/>
    <col min="9771" max="9984" width="9.1328125" style="109"/>
    <col min="9985" max="9985" width="3.86328125" style="109" customWidth="1"/>
    <col min="9986" max="9986" width="13.86328125" style="109" customWidth="1"/>
    <col min="9987" max="9987" width="4.59765625" style="109" bestFit="1" customWidth="1"/>
    <col min="9988" max="9988" width="13" style="109" bestFit="1" customWidth="1"/>
    <col min="9989" max="9989" width="12" style="109" bestFit="1" customWidth="1"/>
    <col min="9990" max="9990" width="11" style="109" customWidth="1"/>
    <col min="9991" max="9991" width="11.86328125" style="109" customWidth="1"/>
    <col min="9992" max="9992" width="12.1328125" style="109" customWidth="1"/>
    <col min="9993" max="9993" width="11.1328125" style="109" customWidth="1"/>
    <col min="9994" max="10015" width="0" style="109" hidden="1" customWidth="1"/>
    <col min="10016" max="10016" width="12" style="109" bestFit="1" customWidth="1"/>
    <col min="10017" max="10017" width="10" style="109" bestFit="1" customWidth="1"/>
    <col min="10018" max="10018" width="11.3984375" style="109" bestFit="1" customWidth="1"/>
    <col min="10019" max="10019" width="11" style="109" bestFit="1" customWidth="1"/>
    <col min="10020" max="10020" width="11.59765625" style="109" bestFit="1" customWidth="1"/>
    <col min="10021" max="10021" width="16.59765625" style="109" bestFit="1" customWidth="1"/>
    <col min="10022" max="10022" width="16.59765625" style="109" customWidth="1"/>
    <col min="10023" max="10023" width="13.3984375" style="109" bestFit="1" customWidth="1"/>
    <col min="10024" max="10024" width="11.86328125" style="109" bestFit="1" customWidth="1"/>
    <col min="10025" max="10025" width="9.1328125" style="109"/>
    <col min="10026" max="10026" width="11" style="109" bestFit="1" customWidth="1"/>
    <col min="10027" max="10240" width="9.1328125" style="109"/>
    <col min="10241" max="10241" width="3.86328125" style="109" customWidth="1"/>
    <col min="10242" max="10242" width="13.86328125" style="109" customWidth="1"/>
    <col min="10243" max="10243" width="4.59765625" style="109" bestFit="1" customWidth="1"/>
    <col min="10244" max="10244" width="13" style="109" bestFit="1" customWidth="1"/>
    <col min="10245" max="10245" width="12" style="109" bestFit="1" customWidth="1"/>
    <col min="10246" max="10246" width="11" style="109" customWidth="1"/>
    <col min="10247" max="10247" width="11.86328125" style="109" customWidth="1"/>
    <col min="10248" max="10248" width="12.1328125" style="109" customWidth="1"/>
    <col min="10249" max="10249" width="11.1328125" style="109" customWidth="1"/>
    <col min="10250" max="10271" width="0" style="109" hidden="1" customWidth="1"/>
    <col min="10272" max="10272" width="12" style="109" bestFit="1" customWidth="1"/>
    <col min="10273" max="10273" width="10" style="109" bestFit="1" customWidth="1"/>
    <col min="10274" max="10274" width="11.3984375" style="109" bestFit="1" customWidth="1"/>
    <col min="10275" max="10275" width="11" style="109" bestFit="1" customWidth="1"/>
    <col min="10276" max="10276" width="11.59765625" style="109" bestFit="1" customWidth="1"/>
    <col min="10277" max="10277" width="16.59765625" style="109" bestFit="1" customWidth="1"/>
    <col min="10278" max="10278" width="16.59765625" style="109" customWidth="1"/>
    <col min="10279" max="10279" width="13.3984375" style="109" bestFit="1" customWidth="1"/>
    <col min="10280" max="10280" width="11.86328125" style="109" bestFit="1" customWidth="1"/>
    <col min="10281" max="10281" width="9.1328125" style="109"/>
    <col min="10282" max="10282" width="11" style="109" bestFit="1" customWidth="1"/>
    <col min="10283" max="10496" width="9.1328125" style="109"/>
    <col min="10497" max="10497" width="3.86328125" style="109" customWidth="1"/>
    <col min="10498" max="10498" width="13.86328125" style="109" customWidth="1"/>
    <col min="10499" max="10499" width="4.59765625" style="109" bestFit="1" customWidth="1"/>
    <col min="10500" max="10500" width="13" style="109" bestFit="1" customWidth="1"/>
    <col min="10501" max="10501" width="12" style="109" bestFit="1" customWidth="1"/>
    <col min="10502" max="10502" width="11" style="109" customWidth="1"/>
    <col min="10503" max="10503" width="11.86328125" style="109" customWidth="1"/>
    <col min="10504" max="10504" width="12.1328125" style="109" customWidth="1"/>
    <col min="10505" max="10505" width="11.1328125" style="109" customWidth="1"/>
    <col min="10506" max="10527" width="0" style="109" hidden="1" customWidth="1"/>
    <col min="10528" max="10528" width="12" style="109" bestFit="1" customWidth="1"/>
    <col min="10529" max="10529" width="10" style="109" bestFit="1" customWidth="1"/>
    <col min="10530" max="10530" width="11.3984375" style="109" bestFit="1" customWidth="1"/>
    <col min="10531" max="10531" width="11" style="109" bestFit="1" customWidth="1"/>
    <col min="10532" max="10532" width="11.59765625" style="109" bestFit="1" customWidth="1"/>
    <col min="10533" max="10533" width="16.59765625" style="109" bestFit="1" customWidth="1"/>
    <col min="10534" max="10534" width="16.59765625" style="109" customWidth="1"/>
    <col min="10535" max="10535" width="13.3984375" style="109" bestFit="1" customWidth="1"/>
    <col min="10536" max="10536" width="11.86328125" style="109" bestFit="1" customWidth="1"/>
    <col min="10537" max="10537" width="9.1328125" style="109"/>
    <col min="10538" max="10538" width="11" style="109" bestFit="1" customWidth="1"/>
    <col min="10539" max="10752" width="9.1328125" style="109"/>
    <col min="10753" max="10753" width="3.86328125" style="109" customWidth="1"/>
    <col min="10754" max="10754" width="13.86328125" style="109" customWidth="1"/>
    <col min="10755" max="10755" width="4.59765625" style="109" bestFit="1" customWidth="1"/>
    <col min="10756" max="10756" width="13" style="109" bestFit="1" customWidth="1"/>
    <col min="10757" max="10757" width="12" style="109" bestFit="1" customWidth="1"/>
    <col min="10758" max="10758" width="11" style="109" customWidth="1"/>
    <col min="10759" max="10759" width="11.86328125" style="109" customWidth="1"/>
    <col min="10760" max="10760" width="12.1328125" style="109" customWidth="1"/>
    <col min="10761" max="10761" width="11.1328125" style="109" customWidth="1"/>
    <col min="10762" max="10783" width="0" style="109" hidden="1" customWidth="1"/>
    <col min="10784" max="10784" width="12" style="109" bestFit="1" customWidth="1"/>
    <col min="10785" max="10785" width="10" style="109" bestFit="1" customWidth="1"/>
    <col min="10786" max="10786" width="11.3984375" style="109" bestFit="1" customWidth="1"/>
    <col min="10787" max="10787" width="11" style="109" bestFit="1" customWidth="1"/>
    <col min="10788" max="10788" width="11.59765625" style="109" bestFit="1" customWidth="1"/>
    <col min="10789" max="10789" width="16.59765625" style="109" bestFit="1" customWidth="1"/>
    <col min="10790" max="10790" width="16.59765625" style="109" customWidth="1"/>
    <col min="10791" max="10791" width="13.3984375" style="109" bestFit="1" customWidth="1"/>
    <col min="10792" max="10792" width="11.86328125" style="109" bestFit="1" customWidth="1"/>
    <col min="10793" max="10793" width="9.1328125" style="109"/>
    <col min="10794" max="10794" width="11" style="109" bestFit="1" customWidth="1"/>
    <col min="10795" max="11008" width="9.1328125" style="109"/>
    <col min="11009" max="11009" width="3.86328125" style="109" customWidth="1"/>
    <col min="11010" max="11010" width="13.86328125" style="109" customWidth="1"/>
    <col min="11011" max="11011" width="4.59765625" style="109" bestFit="1" customWidth="1"/>
    <col min="11012" max="11012" width="13" style="109" bestFit="1" customWidth="1"/>
    <col min="11013" max="11013" width="12" style="109" bestFit="1" customWidth="1"/>
    <col min="11014" max="11014" width="11" style="109" customWidth="1"/>
    <col min="11015" max="11015" width="11.86328125" style="109" customWidth="1"/>
    <col min="11016" max="11016" width="12.1328125" style="109" customWidth="1"/>
    <col min="11017" max="11017" width="11.1328125" style="109" customWidth="1"/>
    <col min="11018" max="11039" width="0" style="109" hidden="1" customWidth="1"/>
    <col min="11040" max="11040" width="12" style="109" bestFit="1" customWidth="1"/>
    <col min="11041" max="11041" width="10" style="109" bestFit="1" customWidth="1"/>
    <col min="11042" max="11042" width="11.3984375" style="109" bestFit="1" customWidth="1"/>
    <col min="11043" max="11043" width="11" style="109" bestFit="1" customWidth="1"/>
    <col min="11044" max="11044" width="11.59765625" style="109" bestFit="1" customWidth="1"/>
    <col min="11045" max="11045" width="16.59765625" style="109" bestFit="1" customWidth="1"/>
    <col min="11046" max="11046" width="16.59765625" style="109" customWidth="1"/>
    <col min="11047" max="11047" width="13.3984375" style="109" bestFit="1" customWidth="1"/>
    <col min="11048" max="11048" width="11.86328125" style="109" bestFit="1" customWidth="1"/>
    <col min="11049" max="11049" width="9.1328125" style="109"/>
    <col min="11050" max="11050" width="11" style="109" bestFit="1" customWidth="1"/>
    <col min="11051" max="11264" width="9.1328125" style="109"/>
    <col min="11265" max="11265" width="3.86328125" style="109" customWidth="1"/>
    <col min="11266" max="11266" width="13.86328125" style="109" customWidth="1"/>
    <col min="11267" max="11267" width="4.59765625" style="109" bestFit="1" customWidth="1"/>
    <col min="11268" max="11268" width="13" style="109" bestFit="1" customWidth="1"/>
    <col min="11269" max="11269" width="12" style="109" bestFit="1" customWidth="1"/>
    <col min="11270" max="11270" width="11" style="109" customWidth="1"/>
    <col min="11271" max="11271" width="11.86328125" style="109" customWidth="1"/>
    <col min="11272" max="11272" width="12.1328125" style="109" customWidth="1"/>
    <col min="11273" max="11273" width="11.1328125" style="109" customWidth="1"/>
    <col min="11274" max="11295" width="0" style="109" hidden="1" customWidth="1"/>
    <col min="11296" max="11296" width="12" style="109" bestFit="1" customWidth="1"/>
    <col min="11297" max="11297" width="10" style="109" bestFit="1" customWidth="1"/>
    <col min="11298" max="11298" width="11.3984375" style="109" bestFit="1" customWidth="1"/>
    <col min="11299" max="11299" width="11" style="109" bestFit="1" customWidth="1"/>
    <col min="11300" max="11300" width="11.59765625" style="109" bestFit="1" customWidth="1"/>
    <col min="11301" max="11301" width="16.59765625" style="109" bestFit="1" customWidth="1"/>
    <col min="11302" max="11302" width="16.59765625" style="109" customWidth="1"/>
    <col min="11303" max="11303" width="13.3984375" style="109" bestFit="1" customWidth="1"/>
    <col min="11304" max="11304" width="11.86328125" style="109" bestFit="1" customWidth="1"/>
    <col min="11305" max="11305" width="9.1328125" style="109"/>
    <col min="11306" max="11306" width="11" style="109" bestFit="1" customWidth="1"/>
    <col min="11307" max="11520" width="9.1328125" style="109"/>
    <col min="11521" max="11521" width="3.86328125" style="109" customWidth="1"/>
    <col min="11522" max="11522" width="13.86328125" style="109" customWidth="1"/>
    <col min="11523" max="11523" width="4.59765625" style="109" bestFit="1" customWidth="1"/>
    <col min="11524" max="11524" width="13" style="109" bestFit="1" customWidth="1"/>
    <col min="11525" max="11525" width="12" style="109" bestFit="1" customWidth="1"/>
    <col min="11526" max="11526" width="11" style="109" customWidth="1"/>
    <col min="11527" max="11527" width="11.86328125" style="109" customWidth="1"/>
    <col min="11528" max="11528" width="12.1328125" style="109" customWidth="1"/>
    <col min="11529" max="11529" width="11.1328125" style="109" customWidth="1"/>
    <col min="11530" max="11551" width="0" style="109" hidden="1" customWidth="1"/>
    <col min="11552" max="11552" width="12" style="109" bestFit="1" customWidth="1"/>
    <col min="11553" max="11553" width="10" style="109" bestFit="1" customWidth="1"/>
    <col min="11554" max="11554" width="11.3984375" style="109" bestFit="1" customWidth="1"/>
    <col min="11555" max="11555" width="11" style="109" bestFit="1" customWidth="1"/>
    <col min="11556" max="11556" width="11.59765625" style="109" bestFit="1" customWidth="1"/>
    <col min="11557" max="11557" width="16.59765625" style="109" bestFit="1" customWidth="1"/>
    <col min="11558" max="11558" width="16.59765625" style="109" customWidth="1"/>
    <col min="11559" max="11559" width="13.3984375" style="109" bestFit="1" customWidth="1"/>
    <col min="11560" max="11560" width="11.86328125" style="109" bestFit="1" customWidth="1"/>
    <col min="11561" max="11561" width="9.1328125" style="109"/>
    <col min="11562" max="11562" width="11" style="109" bestFit="1" customWidth="1"/>
    <col min="11563" max="11776" width="9.1328125" style="109"/>
    <col min="11777" max="11777" width="3.86328125" style="109" customWidth="1"/>
    <col min="11778" max="11778" width="13.86328125" style="109" customWidth="1"/>
    <col min="11779" max="11779" width="4.59765625" style="109" bestFit="1" customWidth="1"/>
    <col min="11780" max="11780" width="13" style="109" bestFit="1" customWidth="1"/>
    <col min="11781" max="11781" width="12" style="109" bestFit="1" customWidth="1"/>
    <col min="11782" max="11782" width="11" style="109" customWidth="1"/>
    <col min="11783" max="11783" width="11.86328125" style="109" customWidth="1"/>
    <col min="11784" max="11784" width="12.1328125" style="109" customWidth="1"/>
    <col min="11785" max="11785" width="11.1328125" style="109" customWidth="1"/>
    <col min="11786" max="11807" width="0" style="109" hidden="1" customWidth="1"/>
    <col min="11808" max="11808" width="12" style="109" bestFit="1" customWidth="1"/>
    <col min="11809" max="11809" width="10" style="109" bestFit="1" customWidth="1"/>
    <col min="11810" max="11810" width="11.3984375" style="109" bestFit="1" customWidth="1"/>
    <col min="11811" max="11811" width="11" style="109" bestFit="1" customWidth="1"/>
    <col min="11812" max="11812" width="11.59765625" style="109" bestFit="1" customWidth="1"/>
    <col min="11813" max="11813" width="16.59765625" style="109" bestFit="1" customWidth="1"/>
    <col min="11814" max="11814" width="16.59765625" style="109" customWidth="1"/>
    <col min="11815" max="11815" width="13.3984375" style="109" bestFit="1" customWidth="1"/>
    <col min="11816" max="11816" width="11.86328125" style="109" bestFit="1" customWidth="1"/>
    <col min="11817" max="11817" width="9.1328125" style="109"/>
    <col min="11818" max="11818" width="11" style="109" bestFit="1" customWidth="1"/>
    <col min="11819" max="12032" width="9.1328125" style="109"/>
    <col min="12033" max="12033" width="3.86328125" style="109" customWidth="1"/>
    <col min="12034" max="12034" width="13.86328125" style="109" customWidth="1"/>
    <col min="12035" max="12035" width="4.59765625" style="109" bestFit="1" customWidth="1"/>
    <col min="12036" max="12036" width="13" style="109" bestFit="1" customWidth="1"/>
    <col min="12037" max="12037" width="12" style="109" bestFit="1" customWidth="1"/>
    <col min="12038" max="12038" width="11" style="109" customWidth="1"/>
    <col min="12039" max="12039" width="11.86328125" style="109" customWidth="1"/>
    <col min="12040" max="12040" width="12.1328125" style="109" customWidth="1"/>
    <col min="12041" max="12041" width="11.1328125" style="109" customWidth="1"/>
    <col min="12042" max="12063" width="0" style="109" hidden="1" customWidth="1"/>
    <col min="12064" max="12064" width="12" style="109" bestFit="1" customWidth="1"/>
    <col min="12065" max="12065" width="10" style="109" bestFit="1" customWidth="1"/>
    <col min="12066" max="12066" width="11.3984375" style="109" bestFit="1" customWidth="1"/>
    <col min="12067" max="12067" width="11" style="109" bestFit="1" customWidth="1"/>
    <col min="12068" max="12068" width="11.59765625" style="109" bestFit="1" customWidth="1"/>
    <col min="12069" max="12069" width="16.59765625" style="109" bestFit="1" customWidth="1"/>
    <col min="12070" max="12070" width="16.59765625" style="109" customWidth="1"/>
    <col min="12071" max="12071" width="13.3984375" style="109" bestFit="1" customWidth="1"/>
    <col min="12072" max="12072" width="11.86328125" style="109" bestFit="1" customWidth="1"/>
    <col min="12073" max="12073" width="9.1328125" style="109"/>
    <col min="12074" max="12074" width="11" style="109" bestFit="1" customWidth="1"/>
    <col min="12075" max="12288" width="9.1328125" style="109"/>
    <col min="12289" max="12289" width="3.86328125" style="109" customWidth="1"/>
    <col min="12290" max="12290" width="13.86328125" style="109" customWidth="1"/>
    <col min="12291" max="12291" width="4.59765625" style="109" bestFit="1" customWidth="1"/>
    <col min="12292" max="12292" width="13" style="109" bestFit="1" customWidth="1"/>
    <col min="12293" max="12293" width="12" style="109" bestFit="1" customWidth="1"/>
    <col min="12294" max="12294" width="11" style="109" customWidth="1"/>
    <col min="12295" max="12295" width="11.86328125" style="109" customWidth="1"/>
    <col min="12296" max="12296" width="12.1328125" style="109" customWidth="1"/>
    <col min="12297" max="12297" width="11.1328125" style="109" customWidth="1"/>
    <col min="12298" max="12319" width="0" style="109" hidden="1" customWidth="1"/>
    <col min="12320" max="12320" width="12" style="109" bestFit="1" customWidth="1"/>
    <col min="12321" max="12321" width="10" style="109" bestFit="1" customWidth="1"/>
    <col min="12322" max="12322" width="11.3984375" style="109" bestFit="1" customWidth="1"/>
    <col min="12323" max="12323" width="11" style="109" bestFit="1" customWidth="1"/>
    <col min="12324" max="12324" width="11.59765625" style="109" bestFit="1" customWidth="1"/>
    <col min="12325" max="12325" width="16.59765625" style="109" bestFit="1" customWidth="1"/>
    <col min="12326" max="12326" width="16.59765625" style="109" customWidth="1"/>
    <col min="12327" max="12327" width="13.3984375" style="109" bestFit="1" customWidth="1"/>
    <col min="12328" max="12328" width="11.86328125" style="109" bestFit="1" customWidth="1"/>
    <col min="12329" max="12329" width="9.1328125" style="109"/>
    <col min="12330" max="12330" width="11" style="109" bestFit="1" customWidth="1"/>
    <col min="12331" max="12544" width="9.1328125" style="109"/>
    <col min="12545" max="12545" width="3.86328125" style="109" customWidth="1"/>
    <col min="12546" max="12546" width="13.86328125" style="109" customWidth="1"/>
    <col min="12547" max="12547" width="4.59765625" style="109" bestFit="1" customWidth="1"/>
    <col min="12548" max="12548" width="13" style="109" bestFit="1" customWidth="1"/>
    <col min="12549" max="12549" width="12" style="109" bestFit="1" customWidth="1"/>
    <col min="12550" max="12550" width="11" style="109" customWidth="1"/>
    <col min="12551" max="12551" width="11.86328125" style="109" customWidth="1"/>
    <col min="12552" max="12552" width="12.1328125" style="109" customWidth="1"/>
    <col min="12553" max="12553" width="11.1328125" style="109" customWidth="1"/>
    <col min="12554" max="12575" width="0" style="109" hidden="1" customWidth="1"/>
    <col min="12576" max="12576" width="12" style="109" bestFit="1" customWidth="1"/>
    <col min="12577" max="12577" width="10" style="109" bestFit="1" customWidth="1"/>
    <col min="12578" max="12578" width="11.3984375" style="109" bestFit="1" customWidth="1"/>
    <col min="12579" max="12579" width="11" style="109" bestFit="1" customWidth="1"/>
    <col min="12580" max="12580" width="11.59765625" style="109" bestFit="1" customWidth="1"/>
    <col min="12581" max="12581" width="16.59765625" style="109" bestFit="1" customWidth="1"/>
    <col min="12582" max="12582" width="16.59765625" style="109" customWidth="1"/>
    <col min="12583" max="12583" width="13.3984375" style="109" bestFit="1" customWidth="1"/>
    <col min="12584" max="12584" width="11.86328125" style="109" bestFit="1" customWidth="1"/>
    <col min="12585" max="12585" width="9.1328125" style="109"/>
    <col min="12586" max="12586" width="11" style="109" bestFit="1" customWidth="1"/>
    <col min="12587" max="12800" width="9.1328125" style="109"/>
    <col min="12801" max="12801" width="3.86328125" style="109" customWidth="1"/>
    <col min="12802" max="12802" width="13.86328125" style="109" customWidth="1"/>
    <col min="12803" max="12803" width="4.59765625" style="109" bestFit="1" customWidth="1"/>
    <col min="12804" max="12804" width="13" style="109" bestFit="1" customWidth="1"/>
    <col min="12805" max="12805" width="12" style="109" bestFit="1" customWidth="1"/>
    <col min="12806" max="12806" width="11" style="109" customWidth="1"/>
    <col min="12807" max="12807" width="11.86328125" style="109" customWidth="1"/>
    <col min="12808" max="12808" width="12.1328125" style="109" customWidth="1"/>
    <col min="12809" max="12809" width="11.1328125" style="109" customWidth="1"/>
    <col min="12810" max="12831" width="0" style="109" hidden="1" customWidth="1"/>
    <col min="12832" max="12832" width="12" style="109" bestFit="1" customWidth="1"/>
    <col min="12833" max="12833" width="10" style="109" bestFit="1" customWidth="1"/>
    <col min="12834" max="12834" width="11.3984375" style="109" bestFit="1" customWidth="1"/>
    <col min="12835" max="12835" width="11" style="109" bestFit="1" customWidth="1"/>
    <col min="12836" max="12836" width="11.59765625" style="109" bestFit="1" customWidth="1"/>
    <col min="12837" max="12837" width="16.59765625" style="109" bestFit="1" customWidth="1"/>
    <col min="12838" max="12838" width="16.59765625" style="109" customWidth="1"/>
    <col min="12839" max="12839" width="13.3984375" style="109" bestFit="1" customWidth="1"/>
    <col min="12840" max="12840" width="11.86328125" style="109" bestFit="1" customWidth="1"/>
    <col min="12841" max="12841" width="9.1328125" style="109"/>
    <col min="12842" max="12842" width="11" style="109" bestFit="1" customWidth="1"/>
    <col min="12843" max="13056" width="9.1328125" style="109"/>
    <col min="13057" max="13057" width="3.86328125" style="109" customWidth="1"/>
    <col min="13058" max="13058" width="13.86328125" style="109" customWidth="1"/>
    <col min="13059" max="13059" width="4.59765625" style="109" bestFit="1" customWidth="1"/>
    <col min="13060" max="13060" width="13" style="109" bestFit="1" customWidth="1"/>
    <col min="13061" max="13061" width="12" style="109" bestFit="1" customWidth="1"/>
    <col min="13062" max="13062" width="11" style="109" customWidth="1"/>
    <col min="13063" max="13063" width="11.86328125" style="109" customWidth="1"/>
    <col min="13064" max="13064" width="12.1328125" style="109" customWidth="1"/>
    <col min="13065" max="13065" width="11.1328125" style="109" customWidth="1"/>
    <col min="13066" max="13087" width="0" style="109" hidden="1" customWidth="1"/>
    <col min="13088" max="13088" width="12" style="109" bestFit="1" customWidth="1"/>
    <col min="13089" max="13089" width="10" style="109" bestFit="1" customWidth="1"/>
    <col min="13090" max="13090" width="11.3984375" style="109" bestFit="1" customWidth="1"/>
    <col min="13091" max="13091" width="11" style="109" bestFit="1" customWidth="1"/>
    <col min="13092" max="13092" width="11.59765625" style="109" bestFit="1" customWidth="1"/>
    <col min="13093" max="13093" width="16.59765625" style="109" bestFit="1" customWidth="1"/>
    <col min="13094" max="13094" width="16.59765625" style="109" customWidth="1"/>
    <col min="13095" max="13095" width="13.3984375" style="109" bestFit="1" customWidth="1"/>
    <col min="13096" max="13096" width="11.86328125" style="109" bestFit="1" customWidth="1"/>
    <col min="13097" max="13097" width="9.1328125" style="109"/>
    <col min="13098" max="13098" width="11" style="109" bestFit="1" customWidth="1"/>
    <col min="13099" max="13312" width="9.1328125" style="109"/>
    <col min="13313" max="13313" width="3.86328125" style="109" customWidth="1"/>
    <col min="13314" max="13314" width="13.86328125" style="109" customWidth="1"/>
    <col min="13315" max="13315" width="4.59765625" style="109" bestFit="1" customWidth="1"/>
    <col min="13316" max="13316" width="13" style="109" bestFit="1" customWidth="1"/>
    <col min="13317" max="13317" width="12" style="109" bestFit="1" customWidth="1"/>
    <col min="13318" max="13318" width="11" style="109" customWidth="1"/>
    <col min="13319" max="13319" width="11.86328125" style="109" customWidth="1"/>
    <col min="13320" max="13320" width="12.1328125" style="109" customWidth="1"/>
    <col min="13321" max="13321" width="11.1328125" style="109" customWidth="1"/>
    <col min="13322" max="13343" width="0" style="109" hidden="1" customWidth="1"/>
    <col min="13344" max="13344" width="12" style="109" bestFit="1" customWidth="1"/>
    <col min="13345" max="13345" width="10" style="109" bestFit="1" customWidth="1"/>
    <col min="13346" max="13346" width="11.3984375" style="109" bestFit="1" customWidth="1"/>
    <col min="13347" max="13347" width="11" style="109" bestFit="1" customWidth="1"/>
    <col min="13348" max="13348" width="11.59765625" style="109" bestFit="1" customWidth="1"/>
    <col min="13349" max="13349" width="16.59765625" style="109" bestFit="1" customWidth="1"/>
    <col min="13350" max="13350" width="16.59765625" style="109" customWidth="1"/>
    <col min="13351" max="13351" width="13.3984375" style="109" bestFit="1" customWidth="1"/>
    <col min="13352" max="13352" width="11.86328125" style="109" bestFit="1" customWidth="1"/>
    <col min="13353" max="13353" width="9.1328125" style="109"/>
    <col min="13354" max="13354" width="11" style="109" bestFit="1" customWidth="1"/>
    <col min="13355" max="13568" width="9.1328125" style="109"/>
    <col min="13569" max="13569" width="3.86328125" style="109" customWidth="1"/>
    <col min="13570" max="13570" width="13.86328125" style="109" customWidth="1"/>
    <col min="13571" max="13571" width="4.59765625" style="109" bestFit="1" customWidth="1"/>
    <col min="13572" max="13572" width="13" style="109" bestFit="1" customWidth="1"/>
    <col min="13573" max="13573" width="12" style="109" bestFit="1" customWidth="1"/>
    <col min="13574" max="13574" width="11" style="109" customWidth="1"/>
    <col min="13575" max="13575" width="11.86328125" style="109" customWidth="1"/>
    <col min="13576" max="13576" width="12.1328125" style="109" customWidth="1"/>
    <col min="13577" max="13577" width="11.1328125" style="109" customWidth="1"/>
    <col min="13578" max="13599" width="0" style="109" hidden="1" customWidth="1"/>
    <col min="13600" max="13600" width="12" style="109" bestFit="1" customWidth="1"/>
    <col min="13601" max="13601" width="10" style="109" bestFit="1" customWidth="1"/>
    <col min="13602" max="13602" width="11.3984375" style="109" bestFit="1" customWidth="1"/>
    <col min="13603" max="13603" width="11" style="109" bestFit="1" customWidth="1"/>
    <col min="13604" max="13604" width="11.59765625" style="109" bestFit="1" customWidth="1"/>
    <col min="13605" max="13605" width="16.59765625" style="109" bestFit="1" customWidth="1"/>
    <col min="13606" max="13606" width="16.59765625" style="109" customWidth="1"/>
    <col min="13607" max="13607" width="13.3984375" style="109" bestFit="1" customWidth="1"/>
    <col min="13608" max="13608" width="11.86328125" style="109" bestFit="1" customWidth="1"/>
    <col min="13609" max="13609" width="9.1328125" style="109"/>
    <col min="13610" max="13610" width="11" style="109" bestFit="1" customWidth="1"/>
    <col min="13611" max="13824" width="9.1328125" style="109"/>
    <col min="13825" max="13825" width="3.86328125" style="109" customWidth="1"/>
    <col min="13826" max="13826" width="13.86328125" style="109" customWidth="1"/>
    <col min="13827" max="13827" width="4.59765625" style="109" bestFit="1" customWidth="1"/>
    <col min="13828" max="13828" width="13" style="109" bestFit="1" customWidth="1"/>
    <col min="13829" max="13829" width="12" style="109" bestFit="1" customWidth="1"/>
    <col min="13830" max="13830" width="11" style="109" customWidth="1"/>
    <col min="13831" max="13831" width="11.86328125" style="109" customWidth="1"/>
    <col min="13832" max="13832" width="12.1328125" style="109" customWidth="1"/>
    <col min="13833" max="13833" width="11.1328125" style="109" customWidth="1"/>
    <col min="13834" max="13855" width="0" style="109" hidden="1" customWidth="1"/>
    <col min="13856" max="13856" width="12" style="109" bestFit="1" customWidth="1"/>
    <col min="13857" max="13857" width="10" style="109" bestFit="1" customWidth="1"/>
    <col min="13858" max="13858" width="11.3984375" style="109" bestFit="1" customWidth="1"/>
    <col min="13859" max="13859" width="11" style="109" bestFit="1" customWidth="1"/>
    <col min="13860" max="13860" width="11.59765625" style="109" bestFit="1" customWidth="1"/>
    <col min="13861" max="13861" width="16.59765625" style="109" bestFit="1" customWidth="1"/>
    <col min="13862" max="13862" width="16.59765625" style="109" customWidth="1"/>
    <col min="13863" max="13863" width="13.3984375" style="109" bestFit="1" customWidth="1"/>
    <col min="13864" max="13864" width="11.86328125" style="109" bestFit="1" customWidth="1"/>
    <col min="13865" max="13865" width="9.1328125" style="109"/>
    <col min="13866" max="13866" width="11" style="109" bestFit="1" customWidth="1"/>
    <col min="13867" max="14080" width="9.1328125" style="109"/>
    <col min="14081" max="14081" width="3.86328125" style="109" customWidth="1"/>
    <col min="14082" max="14082" width="13.86328125" style="109" customWidth="1"/>
    <col min="14083" max="14083" width="4.59765625" style="109" bestFit="1" customWidth="1"/>
    <col min="14084" max="14084" width="13" style="109" bestFit="1" customWidth="1"/>
    <col min="14085" max="14085" width="12" style="109" bestFit="1" customWidth="1"/>
    <col min="14086" max="14086" width="11" style="109" customWidth="1"/>
    <col min="14087" max="14087" width="11.86328125" style="109" customWidth="1"/>
    <col min="14088" max="14088" width="12.1328125" style="109" customWidth="1"/>
    <col min="14089" max="14089" width="11.1328125" style="109" customWidth="1"/>
    <col min="14090" max="14111" width="0" style="109" hidden="1" customWidth="1"/>
    <col min="14112" max="14112" width="12" style="109" bestFit="1" customWidth="1"/>
    <col min="14113" max="14113" width="10" style="109" bestFit="1" customWidth="1"/>
    <col min="14114" max="14114" width="11.3984375" style="109" bestFit="1" customWidth="1"/>
    <col min="14115" max="14115" width="11" style="109" bestFit="1" customWidth="1"/>
    <col min="14116" max="14116" width="11.59765625" style="109" bestFit="1" customWidth="1"/>
    <col min="14117" max="14117" width="16.59765625" style="109" bestFit="1" customWidth="1"/>
    <col min="14118" max="14118" width="16.59765625" style="109" customWidth="1"/>
    <col min="14119" max="14119" width="13.3984375" style="109" bestFit="1" customWidth="1"/>
    <col min="14120" max="14120" width="11.86328125" style="109" bestFit="1" customWidth="1"/>
    <col min="14121" max="14121" width="9.1328125" style="109"/>
    <col min="14122" max="14122" width="11" style="109" bestFit="1" customWidth="1"/>
    <col min="14123" max="14336" width="9.1328125" style="109"/>
    <col min="14337" max="14337" width="3.86328125" style="109" customWidth="1"/>
    <col min="14338" max="14338" width="13.86328125" style="109" customWidth="1"/>
    <col min="14339" max="14339" width="4.59765625" style="109" bestFit="1" customWidth="1"/>
    <col min="14340" max="14340" width="13" style="109" bestFit="1" customWidth="1"/>
    <col min="14341" max="14341" width="12" style="109" bestFit="1" customWidth="1"/>
    <col min="14342" max="14342" width="11" style="109" customWidth="1"/>
    <col min="14343" max="14343" width="11.86328125" style="109" customWidth="1"/>
    <col min="14344" max="14344" width="12.1328125" style="109" customWidth="1"/>
    <col min="14345" max="14345" width="11.1328125" style="109" customWidth="1"/>
    <col min="14346" max="14367" width="0" style="109" hidden="1" customWidth="1"/>
    <col min="14368" max="14368" width="12" style="109" bestFit="1" customWidth="1"/>
    <col min="14369" max="14369" width="10" style="109" bestFit="1" customWidth="1"/>
    <col min="14370" max="14370" width="11.3984375" style="109" bestFit="1" customWidth="1"/>
    <col min="14371" max="14371" width="11" style="109" bestFit="1" customWidth="1"/>
    <col min="14372" max="14372" width="11.59765625" style="109" bestFit="1" customWidth="1"/>
    <col min="14373" max="14373" width="16.59765625" style="109" bestFit="1" customWidth="1"/>
    <col min="14374" max="14374" width="16.59765625" style="109" customWidth="1"/>
    <col min="14375" max="14375" width="13.3984375" style="109" bestFit="1" customWidth="1"/>
    <col min="14376" max="14376" width="11.86328125" style="109" bestFit="1" customWidth="1"/>
    <col min="14377" max="14377" width="9.1328125" style="109"/>
    <col min="14378" max="14378" width="11" style="109" bestFit="1" customWidth="1"/>
    <col min="14379" max="14592" width="9.1328125" style="109"/>
    <col min="14593" max="14593" width="3.86328125" style="109" customWidth="1"/>
    <col min="14594" max="14594" width="13.86328125" style="109" customWidth="1"/>
    <col min="14595" max="14595" width="4.59765625" style="109" bestFit="1" customWidth="1"/>
    <col min="14596" max="14596" width="13" style="109" bestFit="1" customWidth="1"/>
    <col min="14597" max="14597" width="12" style="109" bestFit="1" customWidth="1"/>
    <col min="14598" max="14598" width="11" style="109" customWidth="1"/>
    <col min="14599" max="14599" width="11.86328125" style="109" customWidth="1"/>
    <col min="14600" max="14600" width="12.1328125" style="109" customWidth="1"/>
    <col min="14601" max="14601" width="11.1328125" style="109" customWidth="1"/>
    <col min="14602" max="14623" width="0" style="109" hidden="1" customWidth="1"/>
    <col min="14624" max="14624" width="12" style="109" bestFit="1" customWidth="1"/>
    <col min="14625" max="14625" width="10" style="109" bestFit="1" customWidth="1"/>
    <col min="14626" max="14626" width="11.3984375" style="109" bestFit="1" customWidth="1"/>
    <col min="14627" max="14627" width="11" style="109" bestFit="1" customWidth="1"/>
    <col min="14628" max="14628" width="11.59765625" style="109" bestFit="1" customWidth="1"/>
    <col min="14629" max="14629" width="16.59765625" style="109" bestFit="1" customWidth="1"/>
    <col min="14630" max="14630" width="16.59765625" style="109" customWidth="1"/>
    <col min="14631" max="14631" width="13.3984375" style="109" bestFit="1" customWidth="1"/>
    <col min="14632" max="14632" width="11.86328125" style="109" bestFit="1" customWidth="1"/>
    <col min="14633" max="14633" width="9.1328125" style="109"/>
    <col min="14634" max="14634" width="11" style="109" bestFit="1" customWidth="1"/>
    <col min="14635" max="14848" width="9.1328125" style="109"/>
    <col min="14849" max="14849" width="3.86328125" style="109" customWidth="1"/>
    <col min="14850" max="14850" width="13.86328125" style="109" customWidth="1"/>
    <col min="14851" max="14851" width="4.59765625" style="109" bestFit="1" customWidth="1"/>
    <col min="14852" max="14852" width="13" style="109" bestFit="1" customWidth="1"/>
    <col min="14853" max="14853" width="12" style="109" bestFit="1" customWidth="1"/>
    <col min="14854" max="14854" width="11" style="109" customWidth="1"/>
    <col min="14855" max="14855" width="11.86328125" style="109" customWidth="1"/>
    <col min="14856" max="14856" width="12.1328125" style="109" customWidth="1"/>
    <col min="14857" max="14857" width="11.1328125" style="109" customWidth="1"/>
    <col min="14858" max="14879" width="0" style="109" hidden="1" customWidth="1"/>
    <col min="14880" max="14880" width="12" style="109" bestFit="1" customWidth="1"/>
    <col min="14881" max="14881" width="10" style="109" bestFit="1" customWidth="1"/>
    <col min="14882" max="14882" width="11.3984375" style="109" bestFit="1" customWidth="1"/>
    <col min="14883" max="14883" width="11" style="109" bestFit="1" customWidth="1"/>
    <col min="14884" max="14884" width="11.59765625" style="109" bestFit="1" customWidth="1"/>
    <col min="14885" max="14885" width="16.59765625" style="109" bestFit="1" customWidth="1"/>
    <col min="14886" max="14886" width="16.59765625" style="109" customWidth="1"/>
    <col min="14887" max="14887" width="13.3984375" style="109" bestFit="1" customWidth="1"/>
    <col min="14888" max="14888" width="11.86328125" style="109" bestFit="1" customWidth="1"/>
    <col min="14889" max="14889" width="9.1328125" style="109"/>
    <col min="14890" max="14890" width="11" style="109" bestFit="1" customWidth="1"/>
    <col min="14891" max="15104" width="9.1328125" style="109"/>
    <col min="15105" max="15105" width="3.86328125" style="109" customWidth="1"/>
    <col min="15106" max="15106" width="13.86328125" style="109" customWidth="1"/>
    <col min="15107" max="15107" width="4.59765625" style="109" bestFit="1" customWidth="1"/>
    <col min="15108" max="15108" width="13" style="109" bestFit="1" customWidth="1"/>
    <col min="15109" max="15109" width="12" style="109" bestFit="1" customWidth="1"/>
    <col min="15110" max="15110" width="11" style="109" customWidth="1"/>
    <col min="15111" max="15111" width="11.86328125" style="109" customWidth="1"/>
    <col min="15112" max="15112" width="12.1328125" style="109" customWidth="1"/>
    <col min="15113" max="15113" width="11.1328125" style="109" customWidth="1"/>
    <col min="15114" max="15135" width="0" style="109" hidden="1" customWidth="1"/>
    <col min="15136" max="15136" width="12" style="109" bestFit="1" customWidth="1"/>
    <col min="15137" max="15137" width="10" style="109" bestFit="1" customWidth="1"/>
    <col min="15138" max="15138" width="11.3984375" style="109" bestFit="1" customWidth="1"/>
    <col min="15139" max="15139" width="11" style="109" bestFit="1" customWidth="1"/>
    <col min="15140" max="15140" width="11.59765625" style="109" bestFit="1" customWidth="1"/>
    <col min="15141" max="15141" width="16.59765625" style="109" bestFit="1" customWidth="1"/>
    <col min="15142" max="15142" width="16.59765625" style="109" customWidth="1"/>
    <col min="15143" max="15143" width="13.3984375" style="109" bestFit="1" customWidth="1"/>
    <col min="15144" max="15144" width="11.86328125" style="109" bestFit="1" customWidth="1"/>
    <col min="15145" max="15145" width="9.1328125" style="109"/>
    <col min="15146" max="15146" width="11" style="109" bestFit="1" customWidth="1"/>
    <col min="15147" max="15360" width="9.1328125" style="109"/>
    <col min="15361" max="15361" width="3.86328125" style="109" customWidth="1"/>
    <col min="15362" max="15362" width="13.86328125" style="109" customWidth="1"/>
    <col min="15363" max="15363" width="4.59765625" style="109" bestFit="1" customWidth="1"/>
    <col min="15364" max="15364" width="13" style="109" bestFit="1" customWidth="1"/>
    <col min="15365" max="15365" width="12" style="109" bestFit="1" customWidth="1"/>
    <col min="15366" max="15366" width="11" style="109" customWidth="1"/>
    <col min="15367" max="15367" width="11.86328125" style="109" customWidth="1"/>
    <col min="15368" max="15368" width="12.1328125" style="109" customWidth="1"/>
    <col min="15369" max="15369" width="11.1328125" style="109" customWidth="1"/>
    <col min="15370" max="15391" width="0" style="109" hidden="1" customWidth="1"/>
    <col min="15392" max="15392" width="12" style="109" bestFit="1" customWidth="1"/>
    <col min="15393" max="15393" width="10" style="109" bestFit="1" customWidth="1"/>
    <col min="15394" max="15394" width="11.3984375" style="109" bestFit="1" customWidth="1"/>
    <col min="15395" max="15395" width="11" style="109" bestFit="1" customWidth="1"/>
    <col min="15396" max="15396" width="11.59765625" style="109" bestFit="1" customWidth="1"/>
    <col min="15397" max="15397" width="16.59765625" style="109" bestFit="1" customWidth="1"/>
    <col min="15398" max="15398" width="16.59765625" style="109" customWidth="1"/>
    <col min="15399" max="15399" width="13.3984375" style="109" bestFit="1" customWidth="1"/>
    <col min="15400" max="15400" width="11.86328125" style="109" bestFit="1" customWidth="1"/>
    <col min="15401" max="15401" width="9.1328125" style="109"/>
    <col min="15402" max="15402" width="11" style="109" bestFit="1" customWidth="1"/>
    <col min="15403" max="15616" width="9.1328125" style="109"/>
    <col min="15617" max="15617" width="3.86328125" style="109" customWidth="1"/>
    <col min="15618" max="15618" width="13.86328125" style="109" customWidth="1"/>
    <col min="15619" max="15619" width="4.59765625" style="109" bestFit="1" customWidth="1"/>
    <col min="15620" max="15620" width="13" style="109" bestFit="1" customWidth="1"/>
    <col min="15621" max="15621" width="12" style="109" bestFit="1" customWidth="1"/>
    <col min="15622" max="15622" width="11" style="109" customWidth="1"/>
    <col min="15623" max="15623" width="11.86328125" style="109" customWidth="1"/>
    <col min="15624" max="15624" width="12.1328125" style="109" customWidth="1"/>
    <col min="15625" max="15625" width="11.1328125" style="109" customWidth="1"/>
    <col min="15626" max="15647" width="0" style="109" hidden="1" customWidth="1"/>
    <col min="15648" max="15648" width="12" style="109" bestFit="1" customWidth="1"/>
    <col min="15649" max="15649" width="10" style="109" bestFit="1" customWidth="1"/>
    <col min="15650" max="15650" width="11.3984375" style="109" bestFit="1" customWidth="1"/>
    <col min="15651" max="15651" width="11" style="109" bestFit="1" customWidth="1"/>
    <col min="15652" max="15652" width="11.59765625" style="109" bestFit="1" customWidth="1"/>
    <col min="15653" max="15653" width="16.59765625" style="109" bestFit="1" customWidth="1"/>
    <col min="15654" max="15654" width="16.59765625" style="109" customWidth="1"/>
    <col min="15655" max="15655" width="13.3984375" style="109" bestFit="1" customWidth="1"/>
    <col min="15656" max="15656" width="11.86328125" style="109" bestFit="1" customWidth="1"/>
    <col min="15657" max="15657" width="9.1328125" style="109"/>
    <col min="15658" max="15658" width="11" style="109" bestFit="1" customWidth="1"/>
    <col min="15659" max="15872" width="9.1328125" style="109"/>
    <col min="15873" max="15873" width="3.86328125" style="109" customWidth="1"/>
    <col min="15874" max="15874" width="13.86328125" style="109" customWidth="1"/>
    <col min="15875" max="15875" width="4.59765625" style="109" bestFit="1" customWidth="1"/>
    <col min="15876" max="15876" width="13" style="109" bestFit="1" customWidth="1"/>
    <col min="15877" max="15877" width="12" style="109" bestFit="1" customWidth="1"/>
    <col min="15878" max="15878" width="11" style="109" customWidth="1"/>
    <col min="15879" max="15879" width="11.86328125" style="109" customWidth="1"/>
    <col min="15880" max="15880" width="12.1328125" style="109" customWidth="1"/>
    <col min="15881" max="15881" width="11.1328125" style="109" customWidth="1"/>
    <col min="15882" max="15903" width="0" style="109" hidden="1" customWidth="1"/>
    <col min="15904" max="15904" width="12" style="109" bestFit="1" customWidth="1"/>
    <col min="15905" max="15905" width="10" style="109" bestFit="1" customWidth="1"/>
    <col min="15906" max="15906" width="11.3984375" style="109" bestFit="1" customWidth="1"/>
    <col min="15907" max="15907" width="11" style="109" bestFit="1" customWidth="1"/>
    <col min="15908" max="15908" width="11.59765625" style="109" bestFit="1" customWidth="1"/>
    <col min="15909" max="15909" width="16.59765625" style="109" bestFit="1" customWidth="1"/>
    <col min="15910" max="15910" width="16.59765625" style="109" customWidth="1"/>
    <col min="15911" max="15911" width="13.3984375" style="109" bestFit="1" customWidth="1"/>
    <col min="15912" max="15912" width="11.86328125" style="109" bestFit="1" customWidth="1"/>
    <col min="15913" max="15913" width="9.1328125" style="109"/>
    <col min="15914" max="15914" width="11" style="109" bestFit="1" customWidth="1"/>
    <col min="15915" max="16128" width="9.1328125" style="109"/>
    <col min="16129" max="16129" width="3.86328125" style="109" customWidth="1"/>
    <col min="16130" max="16130" width="13.86328125" style="109" customWidth="1"/>
    <col min="16131" max="16131" width="4.59765625" style="109" bestFit="1" customWidth="1"/>
    <col min="16132" max="16132" width="13" style="109" bestFit="1" customWidth="1"/>
    <col min="16133" max="16133" width="12" style="109" bestFit="1" customWidth="1"/>
    <col min="16134" max="16134" width="11" style="109" customWidth="1"/>
    <col min="16135" max="16135" width="11.86328125" style="109" customWidth="1"/>
    <col min="16136" max="16136" width="12.1328125" style="109" customWidth="1"/>
    <col min="16137" max="16137" width="11.1328125" style="109" customWidth="1"/>
    <col min="16138" max="16159" width="0" style="109" hidden="1" customWidth="1"/>
    <col min="16160" max="16160" width="12" style="109" bestFit="1" customWidth="1"/>
    <col min="16161" max="16161" width="10" style="109" bestFit="1" customWidth="1"/>
    <col min="16162" max="16162" width="11.3984375" style="109" bestFit="1" customWidth="1"/>
    <col min="16163" max="16163" width="11" style="109" bestFit="1" customWidth="1"/>
    <col min="16164" max="16164" width="11.59765625" style="109" bestFit="1" customWidth="1"/>
    <col min="16165" max="16165" width="16.59765625" style="109" bestFit="1" customWidth="1"/>
    <col min="16166" max="16166" width="16.59765625" style="109" customWidth="1"/>
    <col min="16167" max="16167" width="13.3984375" style="109" bestFit="1" customWidth="1"/>
    <col min="16168" max="16168" width="11.86328125" style="109" bestFit="1" customWidth="1"/>
    <col min="16169" max="16169" width="9.1328125" style="109"/>
    <col min="16170" max="16170" width="11" style="109" bestFit="1" customWidth="1"/>
    <col min="16171" max="16384" width="9.1328125" style="109"/>
  </cols>
  <sheetData>
    <row r="1" spans="1:40">
      <c r="AM1" s="110" t="s">
        <v>278</v>
      </c>
    </row>
    <row r="2" spans="1:40">
      <c r="AM2" s="110" t="s">
        <v>279</v>
      </c>
    </row>
    <row r="3" spans="1:40">
      <c r="AM3" s="110" t="s">
        <v>280</v>
      </c>
    </row>
    <row r="4" spans="1:40">
      <c r="AM4" s="110" t="s">
        <v>284</v>
      </c>
    </row>
    <row r="6" spans="1:40">
      <c r="B6" s="108"/>
      <c r="S6" s="110"/>
      <c r="AM6" s="110" t="s">
        <v>251</v>
      </c>
    </row>
    <row r="7" spans="1:40">
      <c r="A7" s="224" t="s">
        <v>140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4"/>
      <c r="AB7" s="224"/>
      <c r="AC7" s="224"/>
      <c r="AD7" s="224"/>
      <c r="AE7" s="224"/>
      <c r="AF7" s="224"/>
      <c r="AG7" s="224"/>
      <c r="AH7" s="224"/>
      <c r="AI7" s="224"/>
      <c r="AJ7" s="224"/>
      <c r="AK7" s="224"/>
      <c r="AL7" s="224"/>
      <c r="AM7" s="224"/>
    </row>
    <row r="8" spans="1:40">
      <c r="A8" s="224" t="s">
        <v>171</v>
      </c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224"/>
      <c r="AD8" s="224"/>
      <c r="AE8" s="224"/>
      <c r="AF8" s="224"/>
      <c r="AG8" s="224"/>
      <c r="AH8" s="224"/>
      <c r="AI8" s="224"/>
      <c r="AJ8" s="224"/>
      <c r="AK8" s="224"/>
      <c r="AL8" s="224"/>
      <c r="AM8" s="224"/>
    </row>
    <row r="9" spans="1:40">
      <c r="A9" s="224" t="s">
        <v>141</v>
      </c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24"/>
      <c r="AI9" s="224"/>
      <c r="AJ9" s="224"/>
      <c r="AK9" s="224"/>
      <c r="AL9" s="224"/>
      <c r="AM9" s="224"/>
    </row>
    <row r="10" spans="1:40">
      <c r="B10" s="112"/>
    </row>
    <row r="11" spans="1:40" ht="12.75" customHeight="1">
      <c r="B11" s="113"/>
      <c r="AJ11" s="114"/>
      <c r="AK11" s="114"/>
      <c r="AL11" s="114"/>
    </row>
    <row r="12" spans="1:40">
      <c r="I12" s="114"/>
      <c r="J12" s="114"/>
      <c r="K12" s="114">
        <f t="shared" ref="K12:AE12" si="0">+J12+1</f>
        <v>1</v>
      </c>
      <c r="L12" s="114">
        <f t="shared" si="0"/>
        <v>2</v>
      </c>
      <c r="M12" s="114">
        <f t="shared" si="0"/>
        <v>3</v>
      </c>
      <c r="N12" s="114">
        <f t="shared" si="0"/>
        <v>4</v>
      </c>
      <c r="O12" s="114">
        <f t="shared" si="0"/>
        <v>5</v>
      </c>
      <c r="P12" s="114">
        <f t="shared" si="0"/>
        <v>6</v>
      </c>
      <c r="Q12" s="114">
        <f t="shared" si="0"/>
        <v>7</v>
      </c>
      <c r="R12" s="114">
        <f>+Q12+1</f>
        <v>8</v>
      </c>
      <c r="S12" s="114">
        <f t="shared" si="0"/>
        <v>9</v>
      </c>
      <c r="T12" s="114">
        <f t="shared" si="0"/>
        <v>10</v>
      </c>
      <c r="U12" s="114">
        <f t="shared" si="0"/>
        <v>11</v>
      </c>
      <c r="V12" s="114">
        <f t="shared" si="0"/>
        <v>12</v>
      </c>
      <c r="W12" s="114">
        <f t="shared" si="0"/>
        <v>13</v>
      </c>
      <c r="X12" s="114">
        <f t="shared" si="0"/>
        <v>14</v>
      </c>
      <c r="Y12" s="114">
        <f t="shared" si="0"/>
        <v>15</v>
      </c>
      <c r="Z12" s="114">
        <f t="shared" si="0"/>
        <v>16</v>
      </c>
      <c r="AA12" s="114">
        <f t="shared" si="0"/>
        <v>17</v>
      </c>
      <c r="AB12" s="114">
        <f t="shared" si="0"/>
        <v>18</v>
      </c>
      <c r="AC12" s="114">
        <f t="shared" si="0"/>
        <v>19</v>
      </c>
      <c r="AD12" s="114">
        <f t="shared" si="0"/>
        <v>20</v>
      </c>
      <c r="AE12" s="114">
        <f t="shared" si="0"/>
        <v>21</v>
      </c>
      <c r="AF12" s="114" t="s">
        <v>172</v>
      </c>
      <c r="AG12" s="114"/>
      <c r="AI12" s="114"/>
      <c r="AJ12" s="114" t="s">
        <v>30</v>
      </c>
      <c r="AK12" s="114" t="s">
        <v>31</v>
      </c>
      <c r="AL12" s="114" t="s">
        <v>85</v>
      </c>
      <c r="AM12" s="114" t="s">
        <v>31</v>
      </c>
      <c r="AN12" s="111"/>
    </row>
    <row r="13" spans="1:40">
      <c r="A13" s="114" t="s">
        <v>173</v>
      </c>
      <c r="B13" s="113" t="s">
        <v>174</v>
      </c>
      <c r="D13" s="114" t="s">
        <v>175</v>
      </c>
      <c r="E13" s="114" t="s">
        <v>176</v>
      </c>
      <c r="F13" s="115" t="s">
        <v>177</v>
      </c>
      <c r="G13" s="114">
        <f>+F13+1</f>
        <v>2019</v>
      </c>
      <c r="H13" s="114">
        <f>+G13+1</f>
        <v>2020</v>
      </c>
      <c r="I13" s="114">
        <f>+H13+1</f>
        <v>2021</v>
      </c>
      <c r="J13" s="213">
        <v>2022</v>
      </c>
      <c r="K13" s="114" t="s">
        <v>178</v>
      </c>
      <c r="L13" s="114" t="s">
        <v>179</v>
      </c>
      <c r="M13" s="114" t="s">
        <v>180</v>
      </c>
      <c r="N13" s="114" t="s">
        <v>181</v>
      </c>
      <c r="O13" s="114" t="s">
        <v>182</v>
      </c>
      <c r="P13" s="114" t="s">
        <v>183</v>
      </c>
      <c r="Q13" s="114" t="s">
        <v>184</v>
      </c>
      <c r="R13" s="114" t="s">
        <v>185</v>
      </c>
      <c r="S13" s="114" t="s">
        <v>186</v>
      </c>
      <c r="T13" s="114" t="s">
        <v>187</v>
      </c>
      <c r="U13" s="114" t="s">
        <v>188</v>
      </c>
      <c r="V13" s="114" t="s">
        <v>189</v>
      </c>
      <c r="W13" s="114" t="s">
        <v>190</v>
      </c>
      <c r="X13" s="114" t="s">
        <v>191</v>
      </c>
      <c r="Y13" s="114" t="s">
        <v>192</v>
      </c>
      <c r="Z13" s="114" t="s">
        <v>193</v>
      </c>
      <c r="AA13" s="114" t="s">
        <v>194</v>
      </c>
      <c r="AB13" s="114" t="s">
        <v>195</v>
      </c>
      <c r="AC13" s="114" t="s">
        <v>196</v>
      </c>
      <c r="AD13" s="114" t="s">
        <v>197</v>
      </c>
      <c r="AE13" s="114" t="s">
        <v>198</v>
      </c>
      <c r="AF13" s="114" t="s">
        <v>25</v>
      </c>
      <c r="AG13" s="114" t="s">
        <v>199</v>
      </c>
      <c r="AH13" s="114" t="s">
        <v>200</v>
      </c>
      <c r="AI13" s="114"/>
      <c r="AJ13" s="114" t="s">
        <v>201</v>
      </c>
      <c r="AK13" s="114" t="s">
        <v>202</v>
      </c>
      <c r="AL13" s="114" t="s">
        <v>203</v>
      </c>
      <c r="AM13" s="114" t="s">
        <v>204</v>
      </c>
      <c r="AN13" s="111"/>
    </row>
    <row r="14" spans="1:40" ht="15">
      <c r="A14" s="112" t="s">
        <v>5</v>
      </c>
      <c r="B14" s="116" t="s">
        <v>205</v>
      </c>
      <c r="C14" s="112" t="s">
        <v>24</v>
      </c>
      <c r="D14" s="112" t="s">
        <v>20</v>
      </c>
      <c r="E14" s="112" t="s">
        <v>20</v>
      </c>
      <c r="F14" s="112" t="s">
        <v>20</v>
      </c>
      <c r="G14" s="112" t="s">
        <v>20</v>
      </c>
      <c r="H14" s="112" t="s">
        <v>20</v>
      </c>
      <c r="I14" s="112" t="s">
        <v>20</v>
      </c>
      <c r="J14" s="112" t="s">
        <v>20</v>
      </c>
      <c r="K14" s="112" t="s">
        <v>20</v>
      </c>
      <c r="L14" s="112" t="s">
        <v>20</v>
      </c>
      <c r="M14" s="112" t="s">
        <v>20</v>
      </c>
      <c r="N14" s="112" t="s">
        <v>20</v>
      </c>
      <c r="O14" s="112" t="s">
        <v>20</v>
      </c>
      <c r="P14" s="112" t="s">
        <v>20</v>
      </c>
      <c r="Q14" s="112" t="s">
        <v>20</v>
      </c>
      <c r="R14" s="112" t="s">
        <v>20</v>
      </c>
      <c r="S14" s="112" t="s">
        <v>20</v>
      </c>
      <c r="T14" s="112" t="s">
        <v>20</v>
      </c>
      <c r="U14" s="112" t="s">
        <v>20</v>
      </c>
      <c r="V14" s="112" t="s">
        <v>20</v>
      </c>
      <c r="W14" s="112" t="s">
        <v>20</v>
      </c>
      <c r="X14" s="112" t="s">
        <v>20</v>
      </c>
      <c r="Y14" s="112" t="s">
        <v>20</v>
      </c>
      <c r="Z14" s="112" t="s">
        <v>20</v>
      </c>
      <c r="AA14" s="112" t="s">
        <v>20</v>
      </c>
      <c r="AB14" s="112" t="s">
        <v>20</v>
      </c>
      <c r="AC14" s="112" t="s">
        <v>20</v>
      </c>
      <c r="AD14" s="112" t="s">
        <v>20</v>
      </c>
      <c r="AE14" s="112" t="s">
        <v>20</v>
      </c>
      <c r="AF14" s="112" t="s">
        <v>0</v>
      </c>
      <c r="AG14" s="112" t="s">
        <v>27</v>
      </c>
      <c r="AH14" s="112" t="s">
        <v>0</v>
      </c>
      <c r="AI14" s="112" t="s">
        <v>29</v>
      </c>
      <c r="AJ14" s="117">
        <f>0.2495</f>
        <v>0.2495</v>
      </c>
      <c r="AK14" s="112" t="s">
        <v>206</v>
      </c>
      <c r="AL14" s="112" t="s">
        <v>152</v>
      </c>
      <c r="AM14" s="112" t="s">
        <v>207</v>
      </c>
      <c r="AN14" s="111"/>
    </row>
    <row r="15" spans="1:40">
      <c r="A15" s="112"/>
      <c r="B15" s="118">
        <v>-1</v>
      </c>
      <c r="C15" s="118">
        <f>+B15-1</f>
        <v>-2</v>
      </c>
      <c r="D15" s="118">
        <f>C15-1</f>
        <v>-3</v>
      </c>
      <c r="E15" s="118">
        <f>D15-1</f>
        <v>-4</v>
      </c>
      <c r="F15" s="118">
        <f>+D15-1</f>
        <v>-4</v>
      </c>
      <c r="G15" s="118">
        <f t="shared" ref="G15:AH15" si="1">+F15-1</f>
        <v>-5</v>
      </c>
      <c r="H15" s="118">
        <f t="shared" si="1"/>
        <v>-6</v>
      </c>
      <c r="I15" s="118">
        <f t="shared" si="1"/>
        <v>-7</v>
      </c>
      <c r="J15" s="118">
        <f t="shared" si="1"/>
        <v>-8</v>
      </c>
      <c r="K15" s="118">
        <f t="shared" si="1"/>
        <v>-9</v>
      </c>
      <c r="L15" s="118">
        <f t="shared" si="1"/>
        <v>-10</v>
      </c>
      <c r="M15" s="118">
        <f t="shared" si="1"/>
        <v>-11</v>
      </c>
      <c r="N15" s="118">
        <f t="shared" si="1"/>
        <v>-12</v>
      </c>
      <c r="O15" s="118">
        <f t="shared" si="1"/>
        <v>-13</v>
      </c>
      <c r="P15" s="118">
        <f t="shared" si="1"/>
        <v>-14</v>
      </c>
      <c r="Q15" s="118">
        <f t="shared" si="1"/>
        <v>-15</v>
      </c>
      <c r="R15" s="118">
        <f>+Q15-1</f>
        <v>-16</v>
      </c>
      <c r="S15" s="118">
        <f t="shared" si="1"/>
        <v>-17</v>
      </c>
      <c r="T15" s="118">
        <f t="shared" si="1"/>
        <v>-18</v>
      </c>
      <c r="U15" s="118">
        <f t="shared" si="1"/>
        <v>-19</v>
      </c>
      <c r="V15" s="118">
        <f t="shared" si="1"/>
        <v>-20</v>
      </c>
      <c r="W15" s="118">
        <f t="shared" si="1"/>
        <v>-21</v>
      </c>
      <c r="X15" s="118">
        <f t="shared" si="1"/>
        <v>-22</v>
      </c>
      <c r="Y15" s="118">
        <f t="shared" si="1"/>
        <v>-23</v>
      </c>
      <c r="Z15" s="118">
        <f t="shared" si="1"/>
        <v>-24</v>
      </c>
      <c r="AA15" s="118">
        <f t="shared" si="1"/>
        <v>-25</v>
      </c>
      <c r="AB15" s="118">
        <f t="shared" si="1"/>
        <v>-26</v>
      </c>
      <c r="AC15" s="118">
        <f t="shared" si="1"/>
        <v>-27</v>
      </c>
      <c r="AD15" s="118">
        <f t="shared" si="1"/>
        <v>-28</v>
      </c>
      <c r="AE15" s="118">
        <f t="shared" si="1"/>
        <v>-29</v>
      </c>
      <c r="AF15" s="118">
        <f>H15-1</f>
        <v>-7</v>
      </c>
      <c r="AG15" s="118">
        <f t="shared" si="1"/>
        <v>-8</v>
      </c>
      <c r="AH15" s="118">
        <f t="shared" si="1"/>
        <v>-9</v>
      </c>
      <c r="AI15" s="118">
        <f>+AH15-1</f>
        <v>-10</v>
      </c>
      <c r="AJ15" s="118">
        <f>+AI15-1</f>
        <v>-11</v>
      </c>
      <c r="AK15" s="118">
        <f>+AJ15-1</f>
        <v>-12</v>
      </c>
      <c r="AL15" s="118">
        <f>+AK15-1</f>
        <v>-13</v>
      </c>
      <c r="AM15" s="118">
        <f>+AL15-1</f>
        <v>-14</v>
      </c>
      <c r="AN15" s="111"/>
    </row>
    <row r="16" spans="1:40">
      <c r="A16" s="112"/>
      <c r="B16" s="119"/>
      <c r="C16" s="114"/>
      <c r="D16" s="115" t="s">
        <v>142</v>
      </c>
      <c r="E16" s="115" t="s">
        <v>142</v>
      </c>
      <c r="F16" s="115" t="s">
        <v>142</v>
      </c>
      <c r="G16" s="115" t="s">
        <v>142</v>
      </c>
      <c r="H16" s="115" t="s">
        <v>142</v>
      </c>
      <c r="I16" s="115" t="s">
        <v>142</v>
      </c>
      <c r="J16" s="115" t="s">
        <v>142</v>
      </c>
      <c r="K16" s="115" t="s">
        <v>142</v>
      </c>
      <c r="L16" s="115" t="s">
        <v>142</v>
      </c>
      <c r="M16" s="115" t="s">
        <v>142</v>
      </c>
      <c r="N16" s="115" t="s">
        <v>142</v>
      </c>
      <c r="O16" s="115" t="s">
        <v>142</v>
      </c>
      <c r="P16" s="115" t="s">
        <v>142</v>
      </c>
      <c r="Q16" s="115" t="s">
        <v>142</v>
      </c>
      <c r="R16" s="115" t="s">
        <v>142</v>
      </c>
      <c r="S16" s="115" t="s">
        <v>142</v>
      </c>
      <c r="T16" s="115" t="s">
        <v>142</v>
      </c>
      <c r="U16" s="115" t="s">
        <v>142</v>
      </c>
      <c r="V16" s="115" t="s">
        <v>142</v>
      </c>
      <c r="W16" s="115" t="s">
        <v>142</v>
      </c>
      <c r="X16" s="115" t="s">
        <v>142</v>
      </c>
      <c r="Y16" s="115" t="s">
        <v>142</v>
      </c>
      <c r="Z16" s="115" t="s">
        <v>142</v>
      </c>
      <c r="AA16" s="115" t="s">
        <v>142</v>
      </c>
      <c r="AB16" s="115" t="s">
        <v>142</v>
      </c>
      <c r="AC16" s="115" t="s">
        <v>142</v>
      </c>
      <c r="AD16" s="115" t="s">
        <v>142</v>
      </c>
      <c r="AE16" s="115" t="s">
        <v>142</v>
      </c>
      <c r="AF16" s="115" t="s">
        <v>142</v>
      </c>
      <c r="AG16" s="114" t="s">
        <v>142</v>
      </c>
      <c r="AH16" s="115" t="s">
        <v>142</v>
      </c>
      <c r="AI16" s="115" t="s">
        <v>142</v>
      </c>
      <c r="AJ16" s="115" t="s">
        <v>142</v>
      </c>
      <c r="AK16" s="115" t="s">
        <v>142</v>
      </c>
      <c r="AL16" s="115" t="s">
        <v>142</v>
      </c>
      <c r="AM16" s="115" t="s">
        <v>142</v>
      </c>
      <c r="AN16" s="111"/>
    </row>
    <row r="17" spans="1:47">
      <c r="A17" s="112"/>
      <c r="B17" s="120"/>
      <c r="C17" s="121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N17" s="111"/>
    </row>
    <row r="18" spans="1:47" ht="12.75">
      <c r="A18" s="107">
        <v>1</v>
      </c>
      <c r="B18" s="122" t="s">
        <v>208</v>
      </c>
      <c r="C18" s="121"/>
      <c r="D18" s="123" t="e">
        <f>'Tax Depr Form 2.14 p.2'!D17+'Tax Depr Form 2.14 p.3'!D17</f>
        <v>#REF!</v>
      </c>
      <c r="E18" s="123" t="e">
        <f>'Tax Depr Form 2.14 p.2'!E17+'Tax Depr Form 2.14 p.3'!E17</f>
        <v>#REF!</v>
      </c>
      <c r="F18" s="123" t="e">
        <f>'Tax Depr Form 2.14 p.2'!F17+'Tax Depr Form 2.14 p.3'!F17</f>
        <v>#REF!</v>
      </c>
      <c r="G18" s="123" t="e">
        <f>'Tax Depr Form 2.14 p.2'!G17+'Tax Depr Form 2.14 p.3'!G17</f>
        <v>#REF!</v>
      </c>
      <c r="H18" s="123" t="e">
        <f>'Tax Depr Form 2.14 p.2'!H17+'Tax Depr Form 2.14 p.3'!H17</f>
        <v>#REF!</v>
      </c>
      <c r="I18" s="123" t="e">
        <f>'Tax Depr Form 2.14 p.2'!I17+'Tax Depr Form 2.14 p.3'!I17</f>
        <v>#REF!</v>
      </c>
      <c r="J18" s="123">
        <f>'Tax Depr Form 2.14 p.2'!J17+'Tax Depr Form 2.14 p.3'!J17</f>
        <v>40013823.641000003</v>
      </c>
      <c r="K18" s="123" t="e">
        <f>'Tax Depr Form 2.14 p.2'!K17+'Tax Depr Form 2.14 p.3'!K17</f>
        <v>#REF!</v>
      </c>
      <c r="L18" s="123" t="e">
        <f>'Tax Depr Form 2.14 p.2'!L17+'Tax Depr Form 2.14 p.3'!L17</f>
        <v>#REF!</v>
      </c>
      <c r="M18" s="123" t="e">
        <f>'Tax Depr Form 2.14 p.2'!M17+'Tax Depr Form 2.14 p.3'!M17</f>
        <v>#REF!</v>
      </c>
      <c r="N18" s="123" t="e">
        <f>'Tax Depr Form 2.14 p.2'!N17+'Tax Depr Form 2.14 p.3'!N17</f>
        <v>#REF!</v>
      </c>
      <c r="O18" s="123" t="e">
        <f>'Tax Depr Form 2.14 p.2'!O17+'Tax Depr Form 2.14 p.3'!O17</f>
        <v>#REF!</v>
      </c>
      <c r="P18" s="123" t="e">
        <f>'Tax Depr Form 2.14 p.2'!P17+'Tax Depr Form 2.14 p.3'!P17</f>
        <v>#REF!</v>
      </c>
      <c r="Q18" s="123" t="e">
        <f>'Tax Depr Form 2.14 p.2'!Q17+'Tax Depr Form 2.14 p.3'!Q17</f>
        <v>#REF!</v>
      </c>
      <c r="R18" s="123" t="e">
        <f>'Tax Depr Form 2.14 p.2'!R17+'Tax Depr Form 2.14 p.3'!R17</f>
        <v>#REF!</v>
      </c>
      <c r="S18" s="123" t="e">
        <f>'Tax Depr Form 2.14 p.2'!S17+'Tax Depr Form 2.14 p.3'!S17</f>
        <v>#REF!</v>
      </c>
      <c r="T18" s="123" t="e">
        <f>'Tax Depr Form 2.14 p.2'!T17+'Tax Depr Form 2.14 p.3'!T17</f>
        <v>#REF!</v>
      </c>
      <c r="U18" s="123" t="e">
        <f>'Tax Depr Form 2.14 p.2'!U17+'Tax Depr Form 2.14 p.3'!U17</f>
        <v>#REF!</v>
      </c>
      <c r="V18" s="123" t="e">
        <f>'Tax Depr Form 2.14 p.2'!V17+'Tax Depr Form 2.14 p.3'!V17</f>
        <v>#REF!</v>
      </c>
      <c r="W18" s="123" t="e">
        <f>'Tax Depr Form 2.14 p.2'!W17+'Tax Depr Form 2.14 p.3'!W17</f>
        <v>#REF!</v>
      </c>
      <c r="X18" s="123" t="e">
        <f>'Tax Depr Form 2.14 p.2'!X17+'Tax Depr Form 2.14 p.3'!X17</f>
        <v>#REF!</v>
      </c>
      <c r="Y18" s="123" t="e">
        <f>'Tax Depr Form 2.14 p.2'!Y17+'Tax Depr Form 2.14 p.3'!Y17</f>
        <v>#REF!</v>
      </c>
      <c r="Z18" s="123" t="e">
        <f>'Tax Depr Form 2.14 p.2'!Z17+'Tax Depr Form 2.14 p.3'!Z17</f>
        <v>#REF!</v>
      </c>
      <c r="AA18" s="123" t="e">
        <f>'Tax Depr Form 2.14 p.2'!AA17+'Tax Depr Form 2.14 p.3'!AA17</f>
        <v>#REF!</v>
      </c>
      <c r="AB18" s="123" t="e">
        <f>'Tax Depr Form 2.14 p.2'!AB17+'Tax Depr Form 2.14 p.3'!AB17</f>
        <v>#REF!</v>
      </c>
      <c r="AC18" s="123" t="e">
        <f>'Tax Depr Form 2.14 p.2'!AC17+'Tax Depr Form 2.14 p.3'!AC17</f>
        <v>#REF!</v>
      </c>
      <c r="AD18" s="123" t="e">
        <f>'Tax Depr Form 2.14 p.2'!AD17+'Tax Depr Form 2.14 p.3'!AD17</f>
        <v>#REF!</v>
      </c>
      <c r="AE18" s="123" t="e">
        <f>'Tax Depr Form 2.14 p.2'!AE17+'Tax Depr Form 2.14 p.3'!AE17</f>
        <v>#REF!</v>
      </c>
      <c r="AH18" s="124"/>
      <c r="AN18" s="111"/>
    </row>
    <row r="19" spans="1:47" ht="13.5" customHeight="1" thickBot="1">
      <c r="A19" s="112"/>
      <c r="B19" s="120"/>
      <c r="C19" s="121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A19" s="225"/>
      <c r="AB19" s="225"/>
      <c r="AC19" s="225"/>
      <c r="AD19" s="225"/>
      <c r="AE19" s="225"/>
      <c r="AF19" s="225"/>
      <c r="AG19" s="225"/>
      <c r="AN19" s="111" t="s">
        <v>209</v>
      </c>
    </row>
    <row r="20" spans="1:47" ht="13.5" customHeight="1">
      <c r="A20" s="107">
        <f>A18+1</f>
        <v>2</v>
      </c>
      <c r="B20" s="122"/>
      <c r="C20" s="121"/>
      <c r="D20" s="125"/>
      <c r="E20" s="125"/>
      <c r="F20" s="125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I20" s="124"/>
      <c r="AN20" s="111"/>
    </row>
    <row r="21" spans="1:47" ht="13.5" customHeight="1" thickBot="1">
      <c r="B21" s="122"/>
      <c r="C21" s="121"/>
      <c r="D21" s="125"/>
      <c r="E21" s="125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N21" s="111"/>
    </row>
    <row r="22" spans="1:47">
      <c r="A22" s="107">
        <f>A20+1</f>
        <v>3</v>
      </c>
      <c r="B22" s="126">
        <v>3.7500000000000089E-2</v>
      </c>
      <c r="C22" s="107">
        <v>1</v>
      </c>
      <c r="D22" s="127">
        <f>'Tax Depr Form 2.14 p.2'!D21+'Tax Depr Form 2.14 p.3'!D21</f>
        <v>1659688</v>
      </c>
      <c r="E22" s="127">
        <f>'Tax Depr Form 2.14 p.2'!E21+'Tax Depr Form 2.14 p.3'!E21</f>
        <v>7462981</v>
      </c>
      <c r="AF22" s="127">
        <f>'Tax Depr Form 2.14 p.2'!AF21+'Tax Depr Form 2.14 p.3'!AF21</f>
        <v>9122669</v>
      </c>
      <c r="AG22" s="127">
        <v>1181242.1538461538</v>
      </c>
      <c r="AH22" s="127">
        <v>58900.175591025632</v>
      </c>
      <c r="AI22" s="127">
        <f>'Tax Depr Form 2.14 p.2'!AI21+'Tax Depr Form 2.14 p.3'!AI21</f>
        <v>10245010.978255128</v>
      </c>
      <c r="AJ22" s="127">
        <f>'Tax Depr Form 2.14 p.2'!AJ21+'Tax Depr Form 2.14 p.3'!AJ21-'Tax Depr Form 2.14 p.4'!G14</f>
        <v>3651493.7106500003</v>
      </c>
      <c r="AK22" s="127">
        <f>'Tax Depr Form 2.14 p.2'!AK21+'Tax Depr Form 2.14 p.3'!AK21</f>
        <v>-1063610.1925491854</v>
      </c>
      <c r="AL22" s="127">
        <f>'Tax Depr Form 2.14 p.2'!AL21+'Tax Depr Form 2.14 p.3'!AL21</f>
        <v>0</v>
      </c>
      <c r="AM22" s="127">
        <f>+AJ22+AK22+AL22</f>
        <v>2587883.5181008149</v>
      </c>
      <c r="AN22" s="111" t="str">
        <f t="shared" ref="AN22:AN45" si="2">IF(AM22&gt;0,"DTL","DTA")</f>
        <v>DTL</v>
      </c>
      <c r="AP22" s="128" t="s">
        <v>210</v>
      </c>
      <c r="AQ22" s="129" t="s">
        <v>211</v>
      </c>
      <c r="AR22" s="129"/>
      <c r="AS22" s="130"/>
      <c r="AT22" s="126"/>
      <c r="AU22" s="131"/>
    </row>
    <row r="23" spans="1:47" ht="12" thickBot="1">
      <c r="A23" s="107">
        <f>A22+1</f>
        <v>4</v>
      </c>
      <c r="B23" s="126">
        <v>7.2190000000000004E-2</v>
      </c>
      <c r="C23" s="107">
        <f>+C22+1</f>
        <v>2</v>
      </c>
      <c r="D23" s="127">
        <f>'Tax Depr Form 2.14 p.2'!D22+'Tax Depr Form 2.14 p.3'!D22</f>
        <v>83298</v>
      </c>
      <c r="E23" s="127">
        <f>'Tax Depr Form 2.14 p.2'!E22+'Tax Depr Form 2.14 p.3'!E22</f>
        <v>359071</v>
      </c>
      <c r="F23" s="127">
        <f>'Tax Depr Form 2.14 p.2'!F22+'Tax Depr Form 2.14 p.3'!F22</f>
        <v>6999162</v>
      </c>
      <c r="AF23" s="127">
        <f>'Tax Depr Form 2.14 p.2'!AF22+'Tax Depr Form 2.14 p.3'!AF22</f>
        <v>7441531</v>
      </c>
      <c r="AG23" s="127">
        <v>1291769.1000000001</v>
      </c>
      <c r="AH23" s="127">
        <v>529127</v>
      </c>
      <c r="AI23" s="127">
        <f>'Tax Depr Form 2.14 p.2'!AI22+'Tax Depr Form 2.14 p.3'!AI22</f>
        <v>8204173.0999999996</v>
      </c>
      <c r="AJ23" s="127">
        <f>'Tax Depr Form 2.14 p.2'!AJ22+'Tax Depr Form 2.14 p.3'!AJ22-'Tax Depr Form 2.14 p.4'!G15</f>
        <v>2072300.0800514414</v>
      </c>
      <c r="AK23" s="127">
        <f>'Tax Depr Form 2.14 p.2'!AK22+'Tax Depr Form 2.14 p.3'!AK22</f>
        <v>22719.75825639518</v>
      </c>
      <c r="AL23" s="127">
        <v>0</v>
      </c>
      <c r="AM23" s="127">
        <f>AM22+AJ23+AK23+AL23</f>
        <v>4682903.3564086519</v>
      </c>
      <c r="AN23" s="111" t="str">
        <f t="shared" si="2"/>
        <v>DTL</v>
      </c>
      <c r="AP23" s="132"/>
      <c r="AQ23" s="133" t="s">
        <v>212</v>
      </c>
      <c r="AR23" s="133"/>
      <c r="AS23" s="134"/>
      <c r="AT23" s="126"/>
      <c r="AU23" s="131"/>
    </row>
    <row r="24" spans="1:47">
      <c r="A24" s="107">
        <f t="shared" ref="A24:A48" si="3">A23+1</f>
        <v>5</v>
      </c>
      <c r="B24" s="126">
        <v>6.6769999999999996E-2</v>
      </c>
      <c r="C24" s="107">
        <f t="shared" ref="C24:C43" si="4">+C23+1</f>
        <v>3</v>
      </c>
      <c r="D24" s="127">
        <f>'Tax Depr Form 2.14 p.2'!D23+'Tax Depr Form 2.14 p.3'!D23</f>
        <v>77044</v>
      </c>
      <c r="E24" s="127">
        <f>'Tax Depr Form 2.14 p.2'!E23+'Tax Depr Form 2.14 p.3'!E23</f>
        <v>332112</v>
      </c>
      <c r="F24" s="127">
        <f>'Tax Depr Form 2.14 p.2'!F23+'Tax Depr Form 2.14 p.3'!F23</f>
        <v>1159291</v>
      </c>
      <c r="G24" s="127">
        <f>'Tax Depr Form 2.14 p.2'!G23+'Tax Depr Form 2.14 p.3'!G23</f>
        <v>13325890</v>
      </c>
      <c r="AF24" s="127">
        <f>'Tax Depr Form 2.14 p.2'!AF23+'Tax Depr Form 2.14 p.3'!AF23</f>
        <v>14894337</v>
      </c>
      <c r="AG24" s="127">
        <v>1276058.5719999997</v>
      </c>
      <c r="AH24" s="127">
        <v>1095936</v>
      </c>
      <c r="AI24" s="127">
        <f>'Tax Depr Form 2.14 p.2'!AI23+'Tax Depr Form 2.14 p.3'!AI23</f>
        <v>15074459.571999999</v>
      </c>
      <c r="AJ24" s="127">
        <f>'Tax Depr Form 2.14 p.2'!AJ23+'Tax Depr Form 2.14 p.3'!AJ23-'Tax Depr Form 2.14 p.4'!G16</f>
        <v>3784531.2078042631</v>
      </c>
      <c r="AK24" s="127">
        <f>'Tax Depr Form 2.14 p.2'!AK23+'Tax Depr Form 2.14 p.3'!AK23</f>
        <v>4326.2884765527333</v>
      </c>
      <c r="AL24" s="127">
        <f>('Tax Depr Form 2.14 p.2'!AL23+'Tax Depr Form 2.14 p.3'!AL23)*1</f>
        <v>0</v>
      </c>
      <c r="AM24" s="127">
        <f t="shared" ref="AM24:AM43" si="5">AM23+AJ24+AK24+AL24</f>
        <v>8471760.8526894674</v>
      </c>
      <c r="AN24" s="111" t="str">
        <f t="shared" si="2"/>
        <v>DTL</v>
      </c>
      <c r="AP24" s="124"/>
      <c r="AT24" s="126"/>
      <c r="AU24" s="131"/>
    </row>
    <row r="25" spans="1:47">
      <c r="A25" s="107">
        <f t="shared" si="3"/>
        <v>6</v>
      </c>
      <c r="B25" s="126">
        <v>6.1769999999999999E-2</v>
      </c>
      <c r="C25" s="107">
        <f t="shared" si="4"/>
        <v>4</v>
      </c>
      <c r="D25" s="127">
        <f>'Tax Depr Form 2.14 p.2'!D24+'Tax Depr Form 2.14 p.3'!D24</f>
        <v>71274</v>
      </c>
      <c r="E25" s="127">
        <f>'Tax Depr Form 2.14 p.2'!E24+'Tax Depr Form 2.14 p.3'!E24</f>
        <v>307242</v>
      </c>
      <c r="F25" s="127">
        <f>'Tax Depr Form 2.14 p.2'!F24+'Tax Depr Form 2.14 p.3'!F24</f>
        <v>1072251</v>
      </c>
      <c r="G25" s="127">
        <f>'Tax Depr Form 2.14 p.2'!G24+'Tax Depr Form 2.14 p.3'!G24</f>
        <v>1641042</v>
      </c>
      <c r="H25" s="127">
        <f>'Tax Depr Form 2.14 p.2'!H24+'Tax Depr Form 2.14 p.3'!H24</f>
        <v>14081338</v>
      </c>
      <c r="AF25" s="127">
        <f>'Tax Depr Form 2.14 p.2'!AF24+'Tax Depr Form 2.14 p.3'!AF24</f>
        <v>17173147</v>
      </c>
      <c r="AG25" s="127">
        <v>1545896.6542535264</v>
      </c>
      <c r="AH25" s="127">
        <v>1823052</v>
      </c>
      <c r="AI25" s="127">
        <f>'Tax Depr Form 2.14 p.2'!AI24+'Tax Depr Form 2.14 p.3'!AI24</f>
        <v>16895991.654253524</v>
      </c>
      <c r="AJ25" s="127">
        <f>'Tax Depr Form 2.14 p.2'!AJ24+'Tax Depr Form 2.14 p.3'!AJ24-'Tax Depr Form 2.14 p.4'!G17</f>
        <v>4237246.8957865704</v>
      </c>
      <c r="AK25" s="127">
        <f>'Tax Depr Form 2.14 p.2'!AK24+'Tax Depr Form 2.14 p.3'!AK24</f>
        <v>0</v>
      </c>
      <c r="AL25" s="127">
        <f>'Tax Depr Form 2.14 p.2'!AL24+'Tax Depr Form 2.14 p.3'!AL24</f>
        <v>0</v>
      </c>
      <c r="AM25" s="127">
        <f t="shared" si="5"/>
        <v>12709007.748476038</v>
      </c>
      <c r="AN25" s="111" t="str">
        <f t="shared" si="2"/>
        <v>DTL</v>
      </c>
      <c r="AP25" s="124"/>
      <c r="AT25" s="126"/>
      <c r="AU25" s="131"/>
    </row>
    <row r="26" spans="1:47">
      <c r="A26" s="107">
        <f t="shared" si="3"/>
        <v>7</v>
      </c>
      <c r="B26" s="126">
        <v>5.713E-2</v>
      </c>
      <c r="C26" s="107">
        <f t="shared" si="4"/>
        <v>5</v>
      </c>
      <c r="D26" s="127">
        <f>'Tax Depr Form 2.14 p.2'!D25+'Tax Depr Form 2.14 p.3'!D25</f>
        <v>65921</v>
      </c>
      <c r="E26" s="127">
        <f>'Tax Depr Form 2.14 p.2'!E25+'Tax Depr Form 2.14 p.3'!E25</f>
        <v>284163</v>
      </c>
      <c r="F26" s="127">
        <f>'Tax Depr Form 2.14 p.2'!F25+'Tax Depr Form 2.14 p.3'!F25</f>
        <v>991957</v>
      </c>
      <c r="G26" s="127">
        <f>'Tax Depr Form 2.14 p.2'!G25+'Tax Depr Form 2.14 p.3'!G25</f>
        <v>1517833</v>
      </c>
      <c r="H26" s="127">
        <f>'Tax Depr Form 2.14 p.2'!H25+'Tax Depr Form 2.14 p.3'!H25</f>
        <v>1974473</v>
      </c>
      <c r="I26" s="127">
        <f>'Tax Depr Form 2.14 p.2'!I25+'Tax Depr Form 2.14 p.3'!I25</f>
        <v>15019584</v>
      </c>
      <c r="AF26" s="127">
        <f>'Tax Depr Form 2.14 p.2'!AF25+'Tax Depr Form 2.14 p.3'!AF25</f>
        <v>19853931</v>
      </c>
      <c r="AG26" s="127">
        <v>1446900.1210359156</v>
      </c>
      <c r="AH26" s="127">
        <v>2660671</v>
      </c>
      <c r="AI26" s="127">
        <f>'Tax Depr Form 2.14 p.2'!AI25+'Tax Depr Form 2.14 p.3'!AI25</f>
        <v>18640160.121035915</v>
      </c>
      <c r="AJ26" s="127">
        <f>'Tax Depr Form 2.14 p.2'!AJ25+'Tax Depr Form 2.14 p.3'!AJ25-'Tax Depr Form 2.14 p.4'!G18</f>
        <v>4670787.9623941528</v>
      </c>
      <c r="AK26" s="127">
        <f>'Tax Depr Form 2.14 p.2'!AK25+'Tax Depr Form 2.14 p.3'!AK25</f>
        <v>0</v>
      </c>
      <c r="AL26" s="127">
        <v>-3069879.0000000005</v>
      </c>
      <c r="AM26" s="127">
        <f t="shared" si="5"/>
        <v>14309916.710870191</v>
      </c>
      <c r="AN26" s="111" t="str">
        <f t="shared" si="2"/>
        <v>DTL</v>
      </c>
      <c r="AP26" s="124"/>
      <c r="AT26" s="126"/>
      <c r="AU26" s="131"/>
    </row>
    <row r="27" spans="1:47">
      <c r="A27" s="107">
        <f t="shared" si="3"/>
        <v>8</v>
      </c>
      <c r="B27" s="126">
        <v>5.2850000000000001E-2</v>
      </c>
      <c r="C27" s="107">
        <f t="shared" si="4"/>
        <v>6</v>
      </c>
      <c r="D27" s="127">
        <f>'Tax Depr Form 2.14 p.2'!D26+'Tax Depr Form 2.14 p.3'!D26</f>
        <v>60982</v>
      </c>
      <c r="E27" s="127">
        <f>'Tax Depr Form 2.14 p.2'!E26+'Tax Depr Form 2.14 p.3'!E26</f>
        <v>262875</v>
      </c>
      <c r="F27" s="127">
        <f>'Tax Depr Form 2.14 p.2'!F26+'Tax Depr Form 2.14 p.3'!F26</f>
        <v>917444</v>
      </c>
      <c r="G27" s="127">
        <f>'Tax Depr Form 2.14 p.2'!G26+'Tax Depr Form 2.14 p.3'!G26</f>
        <v>1404171</v>
      </c>
      <c r="H27" s="127">
        <f>'Tax Depr Form 2.14 p.2'!H26+'Tax Depr Form 2.14 p.3'!H26</f>
        <v>1826230</v>
      </c>
      <c r="I27" s="127">
        <f>'Tax Depr Form 2.14 p.2'!I26+'Tax Depr Form 2.14 p.3'!I26</f>
        <v>1873596</v>
      </c>
      <c r="J27" s="127">
        <f>'Tax Depr Form 2.14 p.2'!J26+'Tax Depr Form 2.14 p.3'!J26</f>
        <v>15011953</v>
      </c>
      <c r="AF27" s="127">
        <f>'Tax Depr Form 2.14 p.2'!AF26+'Tax Depr Form 2.14 p.3'!AF26</f>
        <v>21357251</v>
      </c>
      <c r="AG27" s="127">
        <f>'Tax Depr Form 2.14 p.2'!AG26+'Tax Depr Form 2.14 p.3'!AG26</f>
        <v>1446900</v>
      </c>
      <c r="AH27" s="127">
        <f>'Tax Depr Form 2.14 p.2'!AH26+'Tax Depr Form 2.14 p.3'!AH26</f>
        <v>3480961.3049551267</v>
      </c>
      <c r="AI27" s="127">
        <f>'Tax Depr Form 2.14 p.2'!AI26+'Tax Depr Form 2.14 p.3'!AI26</f>
        <v>19323189.695044871</v>
      </c>
      <c r="AJ27" s="127">
        <f>'Tax Depr Form 2.14 p.2'!AJ26+'Tax Depr Form 2.14 p.3'!AJ26-'Tax Depr Form 2.14 p.4'!G19</f>
        <v>4839700.5261270078</v>
      </c>
      <c r="AK27" s="127">
        <f>'Tax Depr Form 2.14 p.2'!AK26+'Tax Depr Form 2.14 p.3'!AK26</f>
        <v>0</v>
      </c>
      <c r="AL27" s="127">
        <f>'Tax Depr Form 2.14 p.2'!AL26+'Tax Depr Form 2.14 p.3'!AL26</f>
        <v>0</v>
      </c>
      <c r="AM27" s="127">
        <f t="shared" si="5"/>
        <v>19149617.236997198</v>
      </c>
      <c r="AN27" s="111" t="str">
        <f t="shared" si="2"/>
        <v>DTL</v>
      </c>
      <c r="AT27" s="126"/>
      <c r="AU27" s="131"/>
    </row>
    <row r="28" spans="1:47">
      <c r="A28" s="107">
        <f t="shared" si="3"/>
        <v>9</v>
      </c>
      <c r="B28" s="126">
        <v>4.888E-2</v>
      </c>
      <c r="C28" s="107">
        <f t="shared" si="4"/>
        <v>7</v>
      </c>
      <c r="D28" s="127">
        <f>'Tax Depr Form 2.14 p.2'!D27+'Tax Depr Form 2.14 p.3'!D27</f>
        <v>56401</v>
      </c>
      <c r="E28" s="127">
        <f>'Tax Depr Form 2.14 p.2'!E27+'Tax Depr Form 2.14 p.3'!E27</f>
        <v>243128</v>
      </c>
      <c r="F28" s="127">
        <f>'Tax Depr Form 2.14 p.2'!F27+'Tax Depr Form 2.14 p.3'!F27</f>
        <v>848712</v>
      </c>
      <c r="G28" s="127">
        <f>'Tax Depr Form 2.14 p.2'!G27+'Tax Depr Form 2.14 p.3'!G27</f>
        <v>1298694</v>
      </c>
      <c r="H28" s="127">
        <f>'Tax Depr Form 2.14 p.2'!H27+'Tax Depr Form 2.14 p.3'!H27</f>
        <v>1689474</v>
      </c>
      <c r="I28" s="127">
        <f>'Tax Depr Form 2.14 p.2'!I27+'Tax Depr Form 2.14 p.3'!I27</f>
        <v>1732927</v>
      </c>
      <c r="J28" s="127">
        <f>'Tax Depr Form 2.14 p.2'!J27+'Tax Depr Form 2.14 p.3'!J27</f>
        <v>1875205</v>
      </c>
      <c r="AF28" s="127">
        <f>'Tax Depr Form 2.14 p.2'!AF27+'Tax Depr Form 2.14 p.3'!AF27</f>
        <v>7744541</v>
      </c>
      <c r="AG28" s="127"/>
      <c r="AH28" s="127">
        <f>'Tax Depr Form 2.14 p.2'!AH27+'Tax Depr Form 2.14 p.3'!AH27</f>
        <v>3480961.3049551267</v>
      </c>
      <c r="AI28" s="127">
        <f>'Tax Depr Form 2.14 p.2'!AI27+'Tax Depr Form 2.14 p.3'!AI27</f>
        <v>4263579.6950448733</v>
      </c>
      <c r="AJ28" s="127">
        <f>'Tax Depr Form 2.14 p.2'!AJ27+'Tax Depr Form 2.14 p.3'!AJ27-'Tax Depr Form 2.14 p.4'!G20</f>
        <v>1080933.0080649599</v>
      </c>
      <c r="AK28" s="127">
        <f>'Tax Depr Form 2.14 p.2'!AK27+'Tax Depr Form 2.14 p.3'!AK27</f>
        <v>0</v>
      </c>
      <c r="AL28" s="127">
        <f>'Tax Depr Form 2.14 p.2'!AL27+'Tax Depr Form 2.14 p.3'!AL27</f>
        <v>0</v>
      </c>
      <c r="AM28" s="127">
        <f t="shared" si="5"/>
        <v>20230550.245062158</v>
      </c>
      <c r="AN28" s="111" t="str">
        <f t="shared" si="2"/>
        <v>DTL</v>
      </c>
      <c r="AT28" s="126"/>
      <c r="AU28" s="131"/>
    </row>
    <row r="29" spans="1:47">
      <c r="A29" s="107">
        <f t="shared" si="3"/>
        <v>10</v>
      </c>
      <c r="B29" s="126">
        <v>4.5220000000000003E-2</v>
      </c>
      <c r="C29" s="107">
        <f t="shared" si="4"/>
        <v>8</v>
      </c>
      <c r="D29" s="127">
        <f>'Tax Depr Form 2.14 p.2'!D28+'Tax Depr Form 2.14 p.3'!D28</f>
        <v>52178</v>
      </c>
      <c r="E29" s="127">
        <f>'Tax Depr Form 2.14 p.2'!E28+'Tax Depr Form 2.14 p.3'!E28</f>
        <v>224923</v>
      </c>
      <c r="F29" s="127">
        <f>'Tax Depr Form 2.14 p.2'!F28+'Tax Depr Form 2.14 p.3'!F28</f>
        <v>784958</v>
      </c>
      <c r="G29" s="127">
        <f>'Tax Depr Form 2.14 p.2'!G28+'Tax Depr Form 2.14 p.3'!G28</f>
        <v>1201400</v>
      </c>
      <c r="H29" s="127">
        <f>'Tax Depr Form 2.14 p.2'!H28+'Tax Depr Form 2.14 p.3'!H28</f>
        <v>1562566</v>
      </c>
      <c r="I29" s="127">
        <f>'Tax Depr Form 2.14 p.2'!I28+'Tax Depr Form 2.14 p.3'!I28</f>
        <v>1603158</v>
      </c>
      <c r="J29" s="127">
        <f>'Tax Depr Form 2.14 p.2'!J28+'Tax Depr Form 2.14 p.3'!J28</f>
        <v>1734416</v>
      </c>
      <c r="AF29" s="127">
        <f>'Tax Depr Form 2.14 p.2'!AF28+'Tax Depr Form 2.14 p.3'!AF28</f>
        <v>7163599</v>
      </c>
      <c r="AG29" s="127"/>
      <c r="AH29" s="127">
        <f>'Tax Depr Form 2.14 p.2'!AH28+'Tax Depr Form 2.14 p.3'!AH28</f>
        <v>3480961.3049551267</v>
      </c>
      <c r="AI29" s="127">
        <f>'Tax Depr Form 2.14 p.2'!AI28+'Tax Depr Form 2.14 p.3'!AI28</f>
        <v>3682637.6950448733</v>
      </c>
      <c r="AJ29" s="127">
        <f>'Tax Depr Form 2.14 p.2'!AJ28+'Tax Depr Form 2.14 p.3'!AJ28-'Tax Depr Form 2.14 p.4'!G21</f>
        <v>934702.36870800925</v>
      </c>
      <c r="AK29" s="127">
        <f>'Tax Depr Form 2.14 p.2'!AK28+'Tax Depr Form 2.14 p.3'!AK28</f>
        <v>0</v>
      </c>
      <c r="AL29" s="127">
        <f>'Tax Depr Form 2.14 p.2'!AL28+'Tax Depr Form 2.14 p.3'!AL28</f>
        <v>0</v>
      </c>
      <c r="AM29" s="127">
        <f t="shared" si="5"/>
        <v>21165252.613770168</v>
      </c>
      <c r="AN29" s="111" t="str">
        <f t="shared" si="2"/>
        <v>DTL</v>
      </c>
      <c r="AT29" s="126"/>
      <c r="AU29" s="131"/>
    </row>
    <row r="30" spans="1:47">
      <c r="A30" s="107">
        <f t="shared" si="3"/>
        <v>11</v>
      </c>
      <c r="B30" s="126">
        <v>4.462E-2</v>
      </c>
      <c r="C30" s="107">
        <f t="shared" si="4"/>
        <v>9</v>
      </c>
      <c r="D30" s="127">
        <f>'Tax Depr Form 2.14 p.2'!D29+'Tax Depr Form 2.14 p.3'!D29</f>
        <v>51486</v>
      </c>
      <c r="E30" s="127">
        <f>'Tax Depr Form 2.14 p.2'!E29+'Tax Depr Form 2.14 p.3'!E29</f>
        <v>221939</v>
      </c>
      <c r="F30" s="127">
        <f>'Tax Depr Form 2.14 p.2'!F29+'Tax Depr Form 2.14 p.3'!F29</f>
        <v>726182</v>
      </c>
      <c r="G30" s="127">
        <f>'Tax Depr Form 2.14 p.2'!G29+'Tax Depr Form 2.14 p.3'!G29</f>
        <v>1111153</v>
      </c>
      <c r="H30" s="127">
        <f>'Tax Depr Form 2.14 p.2'!H29+'Tax Depr Form 2.14 p.3'!H29</f>
        <v>1445504</v>
      </c>
      <c r="I30" s="127">
        <f>'Tax Depr Form 2.14 p.2'!I29+'Tax Depr Form 2.14 p.3'!I29</f>
        <v>1482734</v>
      </c>
      <c r="J30" s="127">
        <f>'Tax Depr Form 2.14 p.2'!J29+'Tax Depr Form 2.14 p.3'!J29</f>
        <v>1604535</v>
      </c>
      <c r="AF30" s="127">
        <f>'Tax Depr Form 2.14 p.2'!AF29+'Tax Depr Form 2.14 p.3'!AF29</f>
        <v>6643533</v>
      </c>
      <c r="AG30" s="127"/>
      <c r="AH30" s="127">
        <f>'Tax Depr Form 2.14 p.2'!AH29+'Tax Depr Form 2.14 p.3'!AH29</f>
        <v>3480961.3049551267</v>
      </c>
      <c r="AI30" s="127">
        <f>'Tax Depr Form 2.14 p.2'!AI29+'Tax Depr Form 2.14 p.3'!AI29</f>
        <v>3162571.6950448733</v>
      </c>
      <c r="AJ30" s="127">
        <f>'Tax Depr Form 2.14 p.2'!AJ29+'Tax Depr Form 2.14 p.3'!AJ29-'Tax Depr Form 2.14 p.4'!G22</f>
        <v>804735.57966588612</v>
      </c>
      <c r="AK30" s="127">
        <f>'Tax Depr Form 2.14 p.2'!AK29+'Tax Depr Form 2.14 p.3'!AK29</f>
        <v>0</v>
      </c>
      <c r="AL30" s="127">
        <f>'Tax Depr Form 2.14 p.2'!AL29+'Tax Depr Form 2.14 p.3'!AL29</f>
        <v>0</v>
      </c>
      <c r="AM30" s="127">
        <f t="shared" si="5"/>
        <v>21969988.193436053</v>
      </c>
      <c r="AN30" s="111" t="str">
        <f t="shared" si="2"/>
        <v>DTL</v>
      </c>
      <c r="AT30" s="126"/>
      <c r="AU30" s="131"/>
    </row>
    <row r="31" spans="1:47">
      <c r="A31" s="107">
        <f t="shared" si="3"/>
        <v>12</v>
      </c>
      <c r="B31" s="126">
        <v>4.4609999999999997E-2</v>
      </c>
      <c r="C31" s="107">
        <f t="shared" si="4"/>
        <v>10</v>
      </c>
      <c r="D31" s="127">
        <f>'Tax Depr Form 2.14 p.2'!D30+'Tax Depr Form 2.14 p.3'!D30</f>
        <v>51474</v>
      </c>
      <c r="E31" s="127">
        <f>'Tax Depr Form 2.14 p.2'!E30+'Tax Depr Form 2.14 p.3'!E30</f>
        <v>221889</v>
      </c>
      <c r="F31" s="127">
        <f>'Tax Depr Form 2.14 p.2'!F30+'Tax Depr Form 2.14 p.3'!F30</f>
        <v>716548</v>
      </c>
      <c r="G31" s="127">
        <f>'Tax Depr Form 2.14 p.2'!G30+'Tax Depr Form 2.14 p.3'!G30</f>
        <v>1027953</v>
      </c>
      <c r="H31" s="127">
        <f>'Tax Depr Form 2.14 p.2'!H30+'Tax Depr Form 2.14 p.3'!H30</f>
        <v>1336919</v>
      </c>
      <c r="I31" s="127">
        <f>'Tax Depr Form 2.14 p.2'!I30+'Tax Depr Form 2.14 p.3'!I30</f>
        <v>1371652</v>
      </c>
      <c r="J31" s="127">
        <f>'Tax Depr Form 2.14 p.2'!J30+'Tax Depr Form 2.14 p.3'!J30</f>
        <v>1484007</v>
      </c>
      <c r="K31" s="127"/>
      <c r="AF31" s="127">
        <f>'Tax Depr Form 2.14 p.2'!AF30+'Tax Depr Form 2.14 p.3'!AF30</f>
        <v>6210442</v>
      </c>
      <c r="AG31" s="127"/>
      <c r="AH31" s="127">
        <f>'Tax Depr Form 2.14 p.2'!AH30+'Tax Depr Form 2.14 p.3'!AH30</f>
        <v>3480961.3049551267</v>
      </c>
      <c r="AI31" s="127">
        <f>'Tax Depr Form 2.14 p.2'!AI30+'Tax Depr Form 2.14 p.3'!AI30</f>
        <v>2729480.6950448733</v>
      </c>
      <c r="AJ31" s="127">
        <f>'Tax Depr Form 2.14 p.2'!AJ30+'Tax Depr Form 2.14 p.3'!AJ30-'Tax Depr Form 2.14 p.4'!G23</f>
        <v>696675.09548185079</v>
      </c>
      <c r="AK31" s="127">
        <f>'Tax Depr Form 2.14 p.2'!AK30+'Tax Depr Form 2.14 p.3'!AK30</f>
        <v>0</v>
      </c>
      <c r="AL31" s="127">
        <f>'Tax Depr Form 2.14 p.2'!AL30+'Tax Depr Form 2.14 p.3'!AL30</f>
        <v>0</v>
      </c>
      <c r="AM31" s="127">
        <f t="shared" si="5"/>
        <v>22666663.288917903</v>
      </c>
      <c r="AN31" s="111" t="str">
        <f t="shared" si="2"/>
        <v>DTL</v>
      </c>
      <c r="AT31" s="126"/>
      <c r="AU31" s="131"/>
    </row>
    <row r="32" spans="1:47">
      <c r="A32" s="107">
        <f t="shared" si="3"/>
        <v>13</v>
      </c>
      <c r="B32" s="126">
        <v>4.462E-2</v>
      </c>
      <c r="C32" s="107">
        <f t="shared" si="4"/>
        <v>11</v>
      </c>
      <c r="D32" s="127">
        <f>'Tax Depr Form 2.14 p.2'!D31+'Tax Depr Form 2.14 p.3'!D31</f>
        <v>51486</v>
      </c>
      <c r="E32" s="127">
        <f>'Tax Depr Form 2.14 p.2'!E31+'Tax Depr Form 2.14 p.3'!E31</f>
        <v>221939</v>
      </c>
      <c r="F32" s="127">
        <f>'Tax Depr Form 2.14 p.2'!F31+'Tax Depr Form 2.14 p.3'!F31</f>
        <v>716387</v>
      </c>
      <c r="G32" s="127">
        <f>'Tax Depr Form 2.14 p.2'!G31+'Tax Depr Form 2.14 p.3'!G31</f>
        <v>1014313</v>
      </c>
      <c r="H32" s="127">
        <f>'Tax Depr Form 2.14 p.2'!H31+'Tax Depr Form 2.14 p.3'!H31</f>
        <v>1236815</v>
      </c>
      <c r="I32" s="127">
        <f>'Tax Depr Form 2.14 p.2'!I31+'Tax Depr Form 2.14 p.3'!I31</f>
        <v>1268616</v>
      </c>
      <c r="J32" s="127">
        <f>'Tax Depr Form 2.14 p.2'!J31+'Tax Depr Form 2.14 p.3'!J31</f>
        <v>1372830</v>
      </c>
      <c r="K32" s="127"/>
      <c r="L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>
        <f>'Tax Depr Form 2.14 p.2'!AF31+'Tax Depr Form 2.14 p.3'!AF31</f>
        <v>5882386</v>
      </c>
      <c r="AG32" s="127"/>
      <c r="AH32" s="127">
        <f>'Tax Depr Form 2.14 p.2'!AH31+'Tax Depr Form 2.14 p.3'!AH31</f>
        <v>3480961.3049551267</v>
      </c>
      <c r="AI32" s="127">
        <f>'Tax Depr Form 2.14 p.2'!AI31+'Tax Depr Form 2.14 p.3'!AI31</f>
        <v>2401424.6950448733</v>
      </c>
      <c r="AJ32" s="127">
        <f>'Tax Depr Form 2.14 p.2'!AJ31+'Tax Depr Form 2.14 p.3'!AJ31-'Tax Depr Form 2.14 p.4'!G24</f>
        <v>614828.57966588612</v>
      </c>
      <c r="AK32" s="127">
        <f>'Tax Depr Form 2.14 p.2'!AK31+'Tax Depr Form 2.14 p.3'!AK31</f>
        <v>0</v>
      </c>
      <c r="AL32" s="127">
        <f>'Tax Depr Form 2.14 p.2'!AL31+'Tax Depr Form 2.14 p.3'!AL31</f>
        <v>0</v>
      </c>
      <c r="AM32" s="127">
        <f t="shared" si="5"/>
        <v>23281491.868583787</v>
      </c>
      <c r="AN32" s="111" t="str">
        <f t="shared" si="2"/>
        <v>DTL</v>
      </c>
      <c r="AT32" s="126"/>
      <c r="AU32" s="131"/>
    </row>
    <row r="33" spans="1:47">
      <c r="A33" s="107">
        <f t="shared" si="3"/>
        <v>14</v>
      </c>
      <c r="B33" s="126">
        <v>4.4609999999999997E-2</v>
      </c>
      <c r="C33" s="107">
        <f t="shared" si="4"/>
        <v>12</v>
      </c>
      <c r="D33" s="127">
        <f>'Tax Depr Form 2.14 p.2'!D32+'Tax Depr Form 2.14 p.3'!D32</f>
        <v>51474</v>
      </c>
      <c r="E33" s="127">
        <f>'Tax Depr Form 2.14 p.2'!E32+'Tax Depr Form 2.14 p.3'!E32</f>
        <v>221889</v>
      </c>
      <c r="F33" s="127">
        <f>'Tax Depr Form 2.14 p.2'!F32+'Tax Depr Form 2.14 p.3'!F32</f>
        <v>716548</v>
      </c>
      <c r="G33" s="127">
        <f>'Tax Depr Form 2.14 p.2'!G32+'Tax Depr Form 2.14 p.3'!G32</f>
        <v>1014086</v>
      </c>
      <c r="H33" s="127">
        <f>'Tax Depr Form 2.14 p.2'!H32+'Tax Depr Form 2.14 p.3'!H32</f>
        <v>1220404</v>
      </c>
      <c r="I33" s="127">
        <f>'Tax Depr Form 2.14 p.2'!I32+'Tax Depr Form 2.14 p.3'!I32</f>
        <v>1173625</v>
      </c>
      <c r="J33" s="127">
        <f>'Tax Depr Form 2.14 p.2'!J32+'Tax Depr Form 2.14 p.3'!J32</f>
        <v>1269706</v>
      </c>
      <c r="K33" s="127"/>
      <c r="L33" s="127"/>
      <c r="M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>
        <f>'Tax Depr Form 2.14 p.2'!AF32+'Tax Depr Form 2.14 p.3'!AF32</f>
        <v>5667732</v>
      </c>
      <c r="AG33" s="127"/>
      <c r="AH33" s="127">
        <f>'Tax Depr Form 2.14 p.2'!AH32+'Tax Depr Form 2.14 p.3'!AH32</f>
        <v>3480961.3049551267</v>
      </c>
      <c r="AI33" s="127">
        <f>'Tax Depr Form 2.14 p.2'!AI32+'Tax Depr Form 2.14 p.3'!AI32</f>
        <v>2186770.6950448733</v>
      </c>
      <c r="AJ33" s="127">
        <f>'Tax Depr Form 2.14 p.2'!AJ32+'Tax Depr Form 2.14 p.3'!AJ32-'Tax Depr Form 2.14 p.4'!G25</f>
        <v>561269.09548185079</v>
      </c>
      <c r="AK33" s="127">
        <f>'Tax Depr Form 2.14 p.2'!AK32+'Tax Depr Form 2.14 p.3'!AK32</f>
        <v>0</v>
      </c>
      <c r="AL33" s="127">
        <f>'Tax Depr Form 2.14 p.2'!AL32+'Tax Depr Form 2.14 p.3'!AL32</f>
        <v>0</v>
      </c>
      <c r="AM33" s="127">
        <f t="shared" si="5"/>
        <v>23842760.964065637</v>
      </c>
      <c r="AN33" s="111" t="str">
        <f t="shared" si="2"/>
        <v>DTL</v>
      </c>
      <c r="AT33" s="126"/>
      <c r="AU33" s="131"/>
    </row>
    <row r="34" spans="1:47">
      <c r="A34" s="107">
        <f t="shared" si="3"/>
        <v>15</v>
      </c>
      <c r="B34" s="126">
        <v>4.462E-2</v>
      </c>
      <c r="C34" s="107">
        <f t="shared" si="4"/>
        <v>13</v>
      </c>
      <c r="D34" s="127">
        <f>'Tax Depr Form 2.14 p.2'!D33+'Tax Depr Form 2.14 p.3'!D33</f>
        <v>51486</v>
      </c>
      <c r="E34" s="127">
        <f>'Tax Depr Form 2.14 p.2'!E33+'Tax Depr Form 2.14 p.3'!E33</f>
        <v>221939</v>
      </c>
      <c r="F34" s="127">
        <f>'Tax Depr Form 2.14 p.2'!F33+'Tax Depr Form 2.14 p.3'!F33</f>
        <v>716387</v>
      </c>
      <c r="G34" s="127">
        <f>'Tax Depr Form 2.14 p.2'!G33+'Tax Depr Form 2.14 p.3'!G33</f>
        <v>1014313</v>
      </c>
      <c r="H34" s="127">
        <f>'Tax Depr Form 2.14 p.2'!H33+'Tax Depr Form 2.14 p.3'!H33</f>
        <v>1220130</v>
      </c>
      <c r="I34" s="127">
        <f>'Tax Depr Form 2.14 p.2'!I33+'Tax Depr Form 2.14 p.3'!I33</f>
        <v>1158053</v>
      </c>
      <c r="J34" s="127">
        <f>'Tax Depr Form 2.14 p.2'!J33+'Tax Depr Form 2.14 p.3'!J33</f>
        <v>1174633</v>
      </c>
      <c r="K34" s="127"/>
      <c r="L34" s="127"/>
      <c r="M34" s="127"/>
      <c r="N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>
        <f>'Tax Depr Form 2.14 p.2'!AF33+'Tax Depr Form 2.14 p.3'!AF33</f>
        <v>5556941</v>
      </c>
      <c r="AG34" s="127"/>
      <c r="AH34" s="127">
        <f>'Tax Depr Form 2.14 p.2'!AH33+'Tax Depr Form 2.14 p.3'!AH33</f>
        <v>3480961.3049551267</v>
      </c>
      <c r="AI34" s="127">
        <f>'Tax Depr Form 2.14 p.2'!AI33+'Tax Depr Form 2.14 p.3'!AI33</f>
        <v>2075979.695044873</v>
      </c>
      <c r="AJ34" s="127">
        <f>'Tax Depr Form 2.14 p.2'!AJ33+'Tax Depr Form 2.14 p.3'!AJ33-'Tax Depr Form 2.14 p.4'!G26</f>
        <v>533630.57966588612</v>
      </c>
      <c r="AK34" s="127">
        <f>'Tax Depr Form 2.14 p.2'!AK33+'Tax Depr Form 2.14 p.3'!AK33</f>
        <v>0</v>
      </c>
      <c r="AL34" s="127">
        <f>'Tax Depr Form 2.14 p.2'!AL33+'Tax Depr Form 2.14 p.3'!AL33</f>
        <v>0</v>
      </c>
      <c r="AM34" s="127">
        <f t="shared" si="5"/>
        <v>24376391.543731522</v>
      </c>
      <c r="AN34" s="111" t="str">
        <f t="shared" si="2"/>
        <v>DTL</v>
      </c>
      <c r="AT34" s="126"/>
      <c r="AU34" s="131"/>
    </row>
    <row r="35" spans="1:47">
      <c r="A35" s="107">
        <f t="shared" si="3"/>
        <v>16</v>
      </c>
      <c r="B35" s="126">
        <v>4.4609999999999997E-2</v>
      </c>
      <c r="C35" s="107">
        <f t="shared" si="4"/>
        <v>14</v>
      </c>
      <c r="D35" s="127">
        <f>'Tax Depr Form 2.14 p.2'!D34+'Tax Depr Form 2.14 p.3'!D34</f>
        <v>51474</v>
      </c>
      <c r="E35" s="127">
        <f>'Tax Depr Form 2.14 p.2'!E34+'Tax Depr Form 2.14 p.3'!E34</f>
        <v>221889</v>
      </c>
      <c r="F35" s="127">
        <f>'Tax Depr Form 2.14 p.2'!F34+'Tax Depr Form 2.14 p.3'!F34</f>
        <v>716548</v>
      </c>
      <c r="G35" s="127">
        <f>'Tax Depr Form 2.14 p.2'!G34+'Tax Depr Form 2.14 p.3'!G34</f>
        <v>1014086</v>
      </c>
      <c r="H35" s="127">
        <f>'Tax Depr Form 2.14 p.2'!H34+'Tax Depr Form 2.14 p.3'!H34</f>
        <v>1220404</v>
      </c>
      <c r="I35" s="127">
        <f>'Tax Depr Form 2.14 p.2'!I34+'Tax Depr Form 2.14 p.3'!I34</f>
        <v>1157794</v>
      </c>
      <c r="J35" s="127">
        <f>'Tax Depr Form 2.14 p.2'!J34+'Tax Depr Form 2.14 p.3'!J34</f>
        <v>1159048</v>
      </c>
      <c r="K35" s="127"/>
      <c r="L35" s="127"/>
      <c r="M35" s="127"/>
      <c r="N35" s="127"/>
      <c r="O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>
        <f>'Tax Depr Form 2.14 p.2'!AF34+'Tax Depr Form 2.14 p.3'!AF34</f>
        <v>5541243</v>
      </c>
      <c r="AG35" s="127"/>
      <c r="AH35" s="127">
        <f>'Tax Depr Form 2.14 p.2'!AH34+'Tax Depr Form 2.14 p.3'!AH34</f>
        <v>3480961.3049551267</v>
      </c>
      <c r="AI35" s="127">
        <f>'Tax Depr Form 2.14 p.2'!AI34+'Tax Depr Form 2.14 p.3'!AI34</f>
        <v>2060281.695044873</v>
      </c>
      <c r="AJ35" s="127">
        <f>'Tax Depr Form 2.14 p.2'!AJ34+'Tax Depr Form 2.14 p.3'!AJ34-'Tax Depr Form 2.14 p.4'!G27</f>
        <v>529710.09548185079</v>
      </c>
      <c r="AK35" s="127">
        <f>'Tax Depr Form 2.14 p.2'!AK34+'Tax Depr Form 2.14 p.3'!AK34</f>
        <v>0</v>
      </c>
      <c r="AL35" s="127">
        <f>'Tax Depr Form 2.14 p.2'!AL34+'Tax Depr Form 2.14 p.3'!AL34</f>
        <v>0</v>
      </c>
      <c r="AM35" s="127">
        <f t="shared" si="5"/>
        <v>24906101.639213372</v>
      </c>
      <c r="AN35" s="111" t="str">
        <f t="shared" si="2"/>
        <v>DTL</v>
      </c>
      <c r="AT35" s="126"/>
      <c r="AU35" s="131"/>
    </row>
    <row r="36" spans="1:47">
      <c r="A36" s="107">
        <f t="shared" si="3"/>
        <v>17</v>
      </c>
      <c r="B36" s="126">
        <v>4.462E-2</v>
      </c>
      <c r="C36" s="107">
        <f t="shared" si="4"/>
        <v>15</v>
      </c>
      <c r="D36" s="127">
        <f>'Tax Depr Form 2.14 p.2'!D35+'Tax Depr Form 2.14 p.3'!D35</f>
        <v>51486</v>
      </c>
      <c r="E36" s="127">
        <f>'Tax Depr Form 2.14 p.2'!E35+'Tax Depr Form 2.14 p.3'!E35</f>
        <v>221939</v>
      </c>
      <c r="F36" s="127">
        <f>'Tax Depr Form 2.14 p.2'!F35+'Tax Depr Form 2.14 p.3'!F35</f>
        <v>716387</v>
      </c>
      <c r="G36" s="127">
        <f>'Tax Depr Form 2.14 p.2'!G35+'Tax Depr Form 2.14 p.3'!G35</f>
        <v>1014313</v>
      </c>
      <c r="H36" s="127">
        <f>'Tax Depr Form 2.14 p.2'!H35+'Tax Depr Form 2.14 p.3'!H35</f>
        <v>1220130</v>
      </c>
      <c r="I36" s="127">
        <f>'Tax Depr Form 2.14 p.2'!I35+'Tax Depr Form 2.14 p.3'!I35</f>
        <v>1158053</v>
      </c>
      <c r="J36" s="127">
        <f>'Tax Depr Form 2.14 p.2'!J35+'Tax Depr Form 2.14 p.3'!J35</f>
        <v>1158788</v>
      </c>
      <c r="K36" s="127"/>
      <c r="L36" s="127"/>
      <c r="M36" s="127"/>
      <c r="N36" s="127"/>
      <c r="O36" s="127"/>
      <c r="P36" s="127"/>
      <c r="AF36" s="127">
        <f>'Tax Depr Form 2.14 p.2'!AF35+'Tax Depr Form 2.14 p.3'!AF35</f>
        <v>5541096</v>
      </c>
      <c r="AG36" s="127"/>
      <c r="AH36" s="127">
        <f>'Tax Depr Form 2.14 p.2'!AH35+'Tax Depr Form 2.14 p.3'!AH35</f>
        <v>3480961.3049551267</v>
      </c>
      <c r="AI36" s="127">
        <f>'Tax Depr Form 2.14 p.2'!AI35+'Tax Depr Form 2.14 p.3'!AI35</f>
        <v>2060134.695044873</v>
      </c>
      <c r="AJ36" s="127">
        <f>'Tax Depr Form 2.14 p.2'!AJ35+'Tax Depr Form 2.14 p.3'!AJ35-'Tax Depr Form 2.14 p.4'!G28</f>
        <v>529677.57966588612</v>
      </c>
      <c r="AK36" s="127">
        <f>'Tax Depr Form 2.14 p.2'!AK35+'Tax Depr Form 2.14 p.3'!AK35</f>
        <v>0</v>
      </c>
      <c r="AL36" s="127">
        <f>'Tax Depr Form 2.14 p.2'!AL35+'Tax Depr Form 2.14 p.3'!AL35</f>
        <v>0</v>
      </c>
      <c r="AM36" s="127">
        <f t="shared" si="5"/>
        <v>25435779.218879256</v>
      </c>
      <c r="AN36" s="111" t="str">
        <f t="shared" si="2"/>
        <v>DTL</v>
      </c>
      <c r="AT36" s="126"/>
      <c r="AU36" s="131"/>
    </row>
    <row r="37" spans="1:47">
      <c r="A37" s="107">
        <f t="shared" si="3"/>
        <v>18</v>
      </c>
      <c r="B37" s="126">
        <v>4.4609999999999997E-2</v>
      </c>
      <c r="C37" s="107">
        <f t="shared" si="4"/>
        <v>16</v>
      </c>
      <c r="D37" s="127">
        <f>'Tax Depr Form 2.14 p.2'!D36+'Tax Depr Form 2.14 p.3'!D36</f>
        <v>51474</v>
      </c>
      <c r="E37" s="127">
        <f>'Tax Depr Form 2.14 p.2'!E36+'Tax Depr Form 2.14 p.3'!E36</f>
        <v>221889</v>
      </c>
      <c r="F37" s="127">
        <f>'Tax Depr Form 2.14 p.2'!F36+'Tax Depr Form 2.14 p.3'!F36</f>
        <v>716548</v>
      </c>
      <c r="G37" s="127">
        <f>'Tax Depr Form 2.14 p.2'!G36+'Tax Depr Form 2.14 p.3'!G36</f>
        <v>1014086</v>
      </c>
      <c r="H37" s="127">
        <f>'Tax Depr Form 2.14 p.2'!H36+'Tax Depr Form 2.14 p.3'!H36</f>
        <v>1220404</v>
      </c>
      <c r="I37" s="127">
        <f>'Tax Depr Form 2.14 p.2'!I36+'Tax Depr Form 2.14 p.3'!I36</f>
        <v>1157794</v>
      </c>
      <c r="J37" s="127">
        <f>'Tax Depr Form 2.14 p.2'!J36+'Tax Depr Form 2.14 p.3'!J36</f>
        <v>1159048</v>
      </c>
      <c r="K37" s="127"/>
      <c r="L37" s="127"/>
      <c r="M37" s="127"/>
      <c r="N37" s="127"/>
      <c r="O37" s="127"/>
      <c r="P37" s="127"/>
      <c r="Q37" s="127"/>
      <c r="AF37" s="127">
        <f>'Tax Depr Form 2.14 p.2'!AF36+'Tax Depr Form 2.14 p.3'!AF36</f>
        <v>5541243</v>
      </c>
      <c r="AG37" s="127"/>
      <c r="AH37" s="127">
        <f>'Tax Depr Form 2.14 p.2'!AH36+'Tax Depr Form 2.14 p.3'!AH36</f>
        <v>3480961.3049551267</v>
      </c>
      <c r="AI37" s="127">
        <f>'Tax Depr Form 2.14 p.2'!AI36+'Tax Depr Form 2.14 p.3'!AI36</f>
        <v>2060281.695044873</v>
      </c>
      <c r="AJ37" s="127">
        <f>'Tax Depr Form 2.14 p.2'!AJ36+'Tax Depr Form 2.14 p.3'!AJ36-'Tax Depr Form 2.14 p.4'!G29</f>
        <v>529710.09548185079</v>
      </c>
      <c r="AK37" s="127">
        <f>'Tax Depr Form 2.14 p.2'!AK36+'Tax Depr Form 2.14 p.3'!AK36</f>
        <v>0</v>
      </c>
      <c r="AL37" s="127">
        <f>'Tax Depr Form 2.14 p.2'!AL36+'Tax Depr Form 2.14 p.3'!AL36</f>
        <v>0</v>
      </c>
      <c r="AM37" s="127">
        <f t="shared" si="5"/>
        <v>25965489.314361107</v>
      </c>
      <c r="AN37" s="111" t="str">
        <f t="shared" si="2"/>
        <v>DTL</v>
      </c>
      <c r="AT37" s="126"/>
      <c r="AU37" s="131"/>
    </row>
    <row r="38" spans="1:47">
      <c r="A38" s="107">
        <f t="shared" si="3"/>
        <v>19</v>
      </c>
      <c r="B38" s="126">
        <v>4.462E-2</v>
      </c>
      <c r="C38" s="107">
        <f t="shared" si="4"/>
        <v>17</v>
      </c>
      <c r="D38" s="127">
        <f>'Tax Depr Form 2.14 p.2'!D37+'Tax Depr Form 2.14 p.3'!D37</f>
        <v>51486</v>
      </c>
      <c r="E38" s="127">
        <f>'Tax Depr Form 2.14 p.2'!E37+'Tax Depr Form 2.14 p.3'!E37</f>
        <v>221939</v>
      </c>
      <c r="F38" s="127">
        <f>'Tax Depr Form 2.14 p.2'!F37+'Tax Depr Form 2.14 p.3'!F37</f>
        <v>716387</v>
      </c>
      <c r="G38" s="127">
        <f>'Tax Depr Form 2.14 p.2'!G37+'Tax Depr Form 2.14 p.3'!G37</f>
        <v>1014313</v>
      </c>
      <c r="H38" s="127">
        <f>'Tax Depr Form 2.14 p.2'!H37+'Tax Depr Form 2.14 p.3'!H37</f>
        <v>1220130</v>
      </c>
      <c r="I38" s="127">
        <f>'Tax Depr Form 2.14 p.2'!I37+'Tax Depr Form 2.14 p.3'!I37</f>
        <v>1158053</v>
      </c>
      <c r="J38" s="127">
        <f>'Tax Depr Form 2.14 p.2'!J37+'Tax Depr Form 2.14 p.3'!J37</f>
        <v>1158788</v>
      </c>
      <c r="K38" s="127"/>
      <c r="L38" s="127"/>
      <c r="M38" s="127"/>
      <c r="N38" s="127"/>
      <c r="O38" s="127"/>
      <c r="P38" s="127"/>
      <c r="Q38" s="127"/>
      <c r="R38" s="127"/>
      <c r="AF38" s="127">
        <f>'Tax Depr Form 2.14 p.2'!AF37+'Tax Depr Form 2.14 p.3'!AF37</f>
        <v>5541096</v>
      </c>
      <c r="AG38" s="127"/>
      <c r="AH38" s="127">
        <f>'Tax Depr Form 2.14 p.2'!AH37+'Tax Depr Form 2.14 p.3'!AH37</f>
        <v>3480961.3049551267</v>
      </c>
      <c r="AI38" s="127">
        <f>'Tax Depr Form 2.14 p.2'!AI37+'Tax Depr Form 2.14 p.3'!AI37</f>
        <v>2060134.695044873</v>
      </c>
      <c r="AJ38" s="127">
        <f>'Tax Depr Form 2.14 p.2'!AJ37+'Tax Depr Form 2.14 p.3'!AJ37-'Tax Depr Form 2.14 p.4'!G30</f>
        <v>529677.57966588612</v>
      </c>
      <c r="AK38" s="127">
        <f>'Tax Depr Form 2.14 p.2'!AK37+'Tax Depr Form 2.14 p.3'!AK37</f>
        <v>0</v>
      </c>
      <c r="AL38" s="127">
        <f>'Tax Depr Form 2.14 p.2'!AL37+'Tax Depr Form 2.14 p.3'!AL37</f>
        <v>0</v>
      </c>
      <c r="AM38" s="127">
        <f t="shared" si="5"/>
        <v>26495166.894026991</v>
      </c>
      <c r="AN38" s="111" t="str">
        <f t="shared" si="2"/>
        <v>DTL</v>
      </c>
      <c r="AT38" s="126"/>
      <c r="AU38" s="131"/>
    </row>
    <row r="39" spans="1:47">
      <c r="A39" s="107">
        <f t="shared" si="3"/>
        <v>20</v>
      </c>
      <c r="B39" s="126">
        <v>4.4609999999999997E-2</v>
      </c>
      <c r="C39" s="107">
        <f t="shared" si="4"/>
        <v>18</v>
      </c>
      <c r="D39" s="127">
        <f>'Tax Depr Form 2.14 p.2'!D38+'Tax Depr Form 2.14 p.3'!D38</f>
        <v>51474</v>
      </c>
      <c r="E39" s="127">
        <f>'Tax Depr Form 2.14 p.2'!E38+'Tax Depr Form 2.14 p.3'!E38</f>
        <v>221889</v>
      </c>
      <c r="F39" s="127">
        <f>'Tax Depr Form 2.14 p.2'!F38+'Tax Depr Form 2.14 p.3'!F38</f>
        <v>716548</v>
      </c>
      <c r="G39" s="127">
        <f>'Tax Depr Form 2.14 p.2'!G38+'Tax Depr Form 2.14 p.3'!G38</f>
        <v>1014086</v>
      </c>
      <c r="H39" s="127">
        <f>'Tax Depr Form 2.14 p.2'!H38+'Tax Depr Form 2.14 p.3'!H38</f>
        <v>1220404</v>
      </c>
      <c r="I39" s="127">
        <f>'Tax Depr Form 2.14 p.2'!I38+'Tax Depr Form 2.14 p.3'!I38</f>
        <v>1157794</v>
      </c>
      <c r="J39" s="127">
        <f>'Tax Depr Form 2.14 p.2'!J38+'Tax Depr Form 2.14 p.3'!J38</f>
        <v>1159048</v>
      </c>
      <c r="K39" s="127"/>
      <c r="L39" s="127"/>
      <c r="M39" s="127"/>
      <c r="N39" s="127"/>
      <c r="O39" s="127"/>
      <c r="P39" s="127"/>
      <c r="Q39" s="127"/>
      <c r="R39" s="127"/>
      <c r="S39" s="127"/>
      <c r="AF39" s="127">
        <f>'Tax Depr Form 2.14 p.2'!AF38+'Tax Depr Form 2.14 p.3'!AF38</f>
        <v>5541243</v>
      </c>
      <c r="AG39" s="127"/>
      <c r="AH39" s="127">
        <f>'Tax Depr Form 2.14 p.2'!AH38+'Tax Depr Form 2.14 p.3'!AH38</f>
        <v>3480961.3049551267</v>
      </c>
      <c r="AI39" s="127">
        <f>'Tax Depr Form 2.14 p.2'!AI38+'Tax Depr Form 2.14 p.3'!AI38</f>
        <v>2060281.695044873</v>
      </c>
      <c r="AJ39" s="127">
        <f>'Tax Depr Form 2.14 p.2'!AJ38+'Tax Depr Form 2.14 p.3'!AJ38-'Tax Depr Form 2.14 p.4'!G31</f>
        <v>529710.09548185079</v>
      </c>
      <c r="AK39" s="127">
        <f>'Tax Depr Form 2.14 p.2'!AK38+'Tax Depr Form 2.14 p.3'!AK38</f>
        <v>0</v>
      </c>
      <c r="AL39" s="127">
        <f>'Tax Depr Form 2.14 p.2'!AL38+'Tax Depr Form 2.14 p.3'!AL38</f>
        <v>0</v>
      </c>
      <c r="AM39" s="127">
        <f t="shared" si="5"/>
        <v>27024876.989508841</v>
      </c>
      <c r="AN39" s="111" t="str">
        <f t="shared" si="2"/>
        <v>DTL</v>
      </c>
      <c r="AT39" s="126"/>
      <c r="AU39" s="131"/>
    </row>
    <row r="40" spans="1:47">
      <c r="A40" s="107">
        <f t="shared" si="3"/>
        <v>21</v>
      </c>
      <c r="B40" s="126">
        <v>4.462E-2</v>
      </c>
      <c r="C40" s="107">
        <f t="shared" si="4"/>
        <v>19</v>
      </c>
      <c r="D40" s="127">
        <f>'Tax Depr Form 2.14 p.2'!D39+'Tax Depr Form 2.14 p.3'!D39</f>
        <v>51486</v>
      </c>
      <c r="E40" s="127">
        <f>'Tax Depr Form 2.14 p.2'!E39+'Tax Depr Form 2.14 p.3'!E39</f>
        <v>221939</v>
      </c>
      <c r="F40" s="127">
        <f>'Tax Depr Form 2.14 p.2'!F39+'Tax Depr Form 2.14 p.3'!F39</f>
        <v>716387</v>
      </c>
      <c r="G40" s="127">
        <f>'Tax Depr Form 2.14 p.2'!G39+'Tax Depr Form 2.14 p.3'!G39</f>
        <v>1014313</v>
      </c>
      <c r="H40" s="127">
        <f>'Tax Depr Form 2.14 p.2'!H39+'Tax Depr Form 2.14 p.3'!H39</f>
        <v>1220130</v>
      </c>
      <c r="I40" s="127">
        <f>'Tax Depr Form 2.14 p.2'!I39+'Tax Depr Form 2.14 p.3'!I39</f>
        <v>1158053</v>
      </c>
      <c r="J40" s="127">
        <f>'Tax Depr Form 2.14 p.2'!J39+'Tax Depr Form 2.14 p.3'!J39</f>
        <v>1158788</v>
      </c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F40" s="127">
        <f>'Tax Depr Form 2.14 p.2'!AF39+'Tax Depr Form 2.14 p.3'!AF39</f>
        <v>5541096</v>
      </c>
      <c r="AG40" s="127"/>
      <c r="AH40" s="127">
        <f>'Tax Depr Form 2.14 p.2'!AH39+'Tax Depr Form 2.14 p.3'!AH39</f>
        <v>3480961.3049551267</v>
      </c>
      <c r="AI40" s="127">
        <f>'Tax Depr Form 2.14 p.2'!AI39+'Tax Depr Form 2.14 p.3'!AI39</f>
        <v>2060134.695044873</v>
      </c>
      <c r="AJ40" s="127">
        <f>'Tax Depr Form 2.14 p.2'!AJ39+'Tax Depr Form 2.14 p.3'!AJ39-'Tax Depr Form 2.14 p.4'!G32</f>
        <v>529677.57966588612</v>
      </c>
      <c r="AK40" s="127">
        <f>'Tax Depr Form 2.14 p.2'!AK39+'Tax Depr Form 2.14 p.3'!AK39</f>
        <v>0</v>
      </c>
      <c r="AL40" s="127">
        <f>'Tax Depr Form 2.14 p.2'!AL39+'Tax Depr Form 2.14 p.3'!AL39</f>
        <v>0</v>
      </c>
      <c r="AM40" s="127">
        <f t="shared" si="5"/>
        <v>27554554.569174726</v>
      </c>
      <c r="AN40" s="111" t="str">
        <f t="shared" si="2"/>
        <v>DTL</v>
      </c>
      <c r="AT40" s="126"/>
      <c r="AU40" s="131"/>
    </row>
    <row r="41" spans="1:47">
      <c r="A41" s="107">
        <f t="shared" si="3"/>
        <v>22</v>
      </c>
      <c r="B41" s="126">
        <v>4.4609999999999997E-2</v>
      </c>
      <c r="C41" s="107">
        <f t="shared" si="4"/>
        <v>20</v>
      </c>
      <c r="D41" s="127">
        <f>'Tax Depr Form 2.14 p.2'!D40+'Tax Depr Form 2.14 p.3'!D40</f>
        <v>51474</v>
      </c>
      <c r="E41" s="127">
        <f>'Tax Depr Form 2.14 p.2'!E40+'Tax Depr Form 2.14 p.3'!E40</f>
        <v>221889</v>
      </c>
      <c r="F41" s="127">
        <f>'Tax Depr Form 2.14 p.2'!F40+'Tax Depr Form 2.14 p.3'!F40</f>
        <v>716548</v>
      </c>
      <c r="G41" s="127">
        <f>'Tax Depr Form 2.14 p.2'!G40+'Tax Depr Form 2.14 p.3'!G40</f>
        <v>1014086</v>
      </c>
      <c r="H41" s="127">
        <f>'Tax Depr Form 2.14 p.2'!H40+'Tax Depr Form 2.14 p.3'!H40</f>
        <v>1220404</v>
      </c>
      <c r="I41" s="127">
        <f>'Tax Depr Form 2.14 p.2'!I40+'Tax Depr Form 2.14 p.3'!I40</f>
        <v>1157794</v>
      </c>
      <c r="J41" s="127">
        <f>'Tax Depr Form 2.14 p.2'!J40+'Tax Depr Form 2.14 p.3'!J40</f>
        <v>1159048</v>
      </c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>
        <f>'Tax Depr Form 2.14 p.2'!AF40+'Tax Depr Form 2.14 p.3'!AF40</f>
        <v>5541243</v>
      </c>
      <c r="AG41" s="127"/>
      <c r="AH41" s="127">
        <f>'Tax Depr Form 2.14 p.2'!AH40+'Tax Depr Form 2.14 p.3'!AH40</f>
        <v>3480961.3049551267</v>
      </c>
      <c r="AI41" s="127">
        <f>'Tax Depr Form 2.14 p.2'!AI40+'Tax Depr Form 2.14 p.3'!AI40</f>
        <v>2060281.695044873</v>
      </c>
      <c r="AJ41" s="127">
        <f>'Tax Depr Form 2.14 p.2'!AJ40+'Tax Depr Form 2.14 p.3'!AJ40-'Tax Depr Form 2.14 p.4'!G33</f>
        <v>529710.09548185079</v>
      </c>
      <c r="AK41" s="127">
        <f>'Tax Depr Form 2.14 p.2'!AK40+'Tax Depr Form 2.14 p.3'!AK40</f>
        <v>0</v>
      </c>
      <c r="AL41" s="127">
        <f>'Tax Depr Form 2.14 p.2'!AL40+'Tax Depr Form 2.14 p.3'!AL40</f>
        <v>0</v>
      </c>
      <c r="AM41" s="127">
        <f t="shared" si="5"/>
        <v>28084264.664656576</v>
      </c>
      <c r="AN41" s="111" t="str">
        <f t="shared" si="2"/>
        <v>DTL</v>
      </c>
      <c r="AT41" s="126"/>
      <c r="AU41" s="131"/>
    </row>
    <row r="42" spans="1:47">
      <c r="A42" s="107">
        <f t="shared" si="3"/>
        <v>23</v>
      </c>
      <c r="B42" s="126">
        <v>2.231E-2</v>
      </c>
      <c r="C42" s="107">
        <f t="shared" si="4"/>
        <v>21</v>
      </c>
      <c r="D42" s="127">
        <f>'Tax Depr Form 2.14 p.2'!D41+'Tax Depr Form 2.14 p.3'!D41</f>
        <v>25743</v>
      </c>
      <c r="E42" s="127">
        <f>'Tax Depr Form 2.14 p.2'!E41+'Tax Depr Form 2.14 p.3'!E41</f>
        <v>110969</v>
      </c>
      <c r="F42" s="127">
        <f>'Tax Depr Form 2.14 p.2'!F41+'Tax Depr Form 2.14 p.3'!F41</f>
        <v>716387</v>
      </c>
      <c r="G42" s="127">
        <f>'Tax Depr Form 2.14 p.2'!G41+'Tax Depr Form 2.14 p.3'!G41</f>
        <v>1014313</v>
      </c>
      <c r="H42" s="127">
        <f>'Tax Depr Form 2.14 p.2'!H41+'Tax Depr Form 2.14 p.3'!H41</f>
        <v>1220130</v>
      </c>
      <c r="I42" s="127">
        <f>'Tax Depr Form 2.14 p.2'!I41+'Tax Depr Form 2.14 p.3'!I41</f>
        <v>1158053</v>
      </c>
      <c r="J42" s="127">
        <f>'Tax Depr Form 2.14 p.2'!J41+'Tax Depr Form 2.14 p.3'!J41</f>
        <v>1158788</v>
      </c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>
        <f>'Tax Depr Form 2.14 p.2'!AF41+'Tax Depr Form 2.14 p.3'!AF41</f>
        <v>5404383</v>
      </c>
      <c r="AG42" s="127"/>
      <c r="AH42" s="127">
        <f>'Tax Depr Form 2.14 p.2'!AH41+'Tax Depr Form 2.14 p.3'!AH41</f>
        <v>3480961.3049551267</v>
      </c>
      <c r="AI42" s="127">
        <f>'Tax Depr Form 2.14 p.2'!AI41+'Tax Depr Form 2.14 p.3'!AI41</f>
        <v>1923421.695044873</v>
      </c>
      <c r="AJ42" s="127">
        <f>'Tax Depr Form 2.14 p.2'!AJ41+'Tax Depr Form 2.14 p.3'!AJ41-'Tax Depr Form 2.14 p.4'!G34</f>
        <v>487730.8095829431</v>
      </c>
      <c r="AK42" s="127">
        <f>'Tax Depr Form 2.14 p.2'!AK41+'Tax Depr Form 2.14 p.3'!AK41</f>
        <v>0</v>
      </c>
      <c r="AL42" s="127">
        <f>'Tax Depr Form 2.14 p.2'!AL41+'Tax Depr Form 2.14 p.3'!AL41</f>
        <v>0</v>
      </c>
      <c r="AM42" s="127">
        <f t="shared" si="5"/>
        <v>28571995.474239521</v>
      </c>
      <c r="AN42" s="111" t="str">
        <f t="shared" si="2"/>
        <v>DTL</v>
      </c>
      <c r="AT42" s="126"/>
      <c r="AU42" s="131"/>
    </row>
    <row r="43" spans="1:47">
      <c r="A43" s="107">
        <f t="shared" si="3"/>
        <v>24</v>
      </c>
      <c r="B43" s="126"/>
      <c r="C43" s="107">
        <f t="shared" si="4"/>
        <v>22</v>
      </c>
      <c r="D43" s="127"/>
      <c r="E43" s="127">
        <f>'Tax Depr Form 2.14 p.2'!E42+'Tax Depr Form 2.14 p.3'!E42</f>
        <v>0</v>
      </c>
      <c r="F43" s="127">
        <f>'Tax Depr Form 2.14 p.2'!F42+'Tax Depr Form 2.14 p.3'!F42</f>
        <v>358274</v>
      </c>
      <c r="G43" s="127">
        <f>'Tax Depr Form 2.14 p.2'!G42+'Tax Depr Form 2.14 p.3'!G42</f>
        <v>1014086</v>
      </c>
      <c r="H43" s="127">
        <f>'Tax Depr Form 2.14 p.2'!H42+'Tax Depr Form 2.14 p.3'!H42</f>
        <v>1220404</v>
      </c>
      <c r="I43" s="127">
        <f>'Tax Depr Form 2.14 p.2'!I42+'Tax Depr Form 2.14 p.3'!I42</f>
        <v>1157794</v>
      </c>
      <c r="J43" s="127">
        <f>'Tax Depr Form 2.14 p.2'!J42+'Tax Depr Form 2.14 p.3'!J42</f>
        <v>1159048</v>
      </c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>
        <f>'Tax Depr Form 2.14 p.2'!AF42+'Tax Depr Form 2.14 p.3'!AF42</f>
        <v>4909606</v>
      </c>
      <c r="AH43" s="127">
        <f>'Tax Depr Form 2.14 p.2'!AH42+'Tax Depr Form 2.14 p.3'!AH42</f>
        <v>3480961.3049551267</v>
      </c>
      <c r="AI43" s="127">
        <f>'Tax Depr Form 2.14 p.2'!AI42+'Tax Depr Form 2.14 p.3'!AI42</f>
        <v>1428644.695044873</v>
      </c>
      <c r="AJ43" s="127">
        <f>'Tax Depr Form 2.14 p.2'!AJ42+'Tax Depr Form 2.14 p.3'!AJ42-'Tax Depr Form 2.14 p.4'!G35</f>
        <v>360726.62005576928</v>
      </c>
      <c r="AK43" s="127">
        <f>'Tax Depr Form 2.14 p.2'!AK42+'Tax Depr Form 2.14 p.3'!AK42</f>
        <v>0</v>
      </c>
      <c r="AL43" s="127">
        <f>'Tax Depr Form 2.14 p.2'!AL42+'Tax Depr Form 2.14 p.3'!AL42</f>
        <v>0</v>
      </c>
      <c r="AM43" s="127">
        <f t="shared" si="5"/>
        <v>28932722.094295289</v>
      </c>
      <c r="AN43" s="111" t="str">
        <f t="shared" si="2"/>
        <v>DTL</v>
      </c>
    </row>
    <row r="44" spans="1:47">
      <c r="A44" s="107">
        <f t="shared" si="3"/>
        <v>25</v>
      </c>
      <c r="B44" s="126"/>
      <c r="C44" s="107"/>
      <c r="F44" s="127"/>
      <c r="G44" s="127">
        <f>'Tax Depr Form 2.14 p.2'!G43+'Tax Depr Form 2.14 p.3'!G43</f>
        <v>507157</v>
      </c>
      <c r="H44" s="127">
        <f>'Tax Depr Form 2.14 p.2'!H43+'Tax Depr Form 2.14 p.3'!H43</f>
        <v>1220130</v>
      </c>
      <c r="I44" s="127">
        <f>'Tax Depr Form 2.14 p.2'!I43+'Tax Depr Form 2.14 p.3'!I43</f>
        <v>1158053</v>
      </c>
      <c r="J44" s="127">
        <f>'Tax Depr Form 2.14 p.2'!J43+'Tax Depr Form 2.14 p.3'!J43</f>
        <v>1158788</v>
      </c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>
        <f>'Tax Depr Form 2.14 p.2'!AF43+'Tax Depr Form 2.14 p.3'!AF43</f>
        <v>4044128</v>
      </c>
      <c r="AH44" s="127">
        <f>'Tax Depr Form 2.14 p.2'!AH43+'Tax Depr Form 2.14 p.3'!AH43</f>
        <v>3480961.3049551267</v>
      </c>
      <c r="AI44" s="127">
        <f>'Tax Depr Form 2.14 p.2'!AI43+'Tax Depr Form 2.14 p.3'!AI43</f>
        <v>563166.69504487305</v>
      </c>
      <c r="AJ44" s="127">
        <f>'Tax Depr Form 2.14 p.2'!AJ43+'Tax Depr Form 2.14 p.3'!AJ43-'Tax Depr Form 2.14 p.4'!G36</f>
        <v>140510</v>
      </c>
      <c r="AK44" s="127">
        <f>'Tax Depr Form 2.14 p.2'!AK43+'Tax Depr Form 2.14 p.3'!AK43</f>
        <v>0</v>
      </c>
      <c r="AL44" s="127">
        <f>'Tax Depr Form 2.14 p.2'!AL43+'Tax Depr Form 2.14 p.3'!AL43</f>
        <v>0</v>
      </c>
      <c r="AM44" s="127">
        <f>AM43+AJ44+AK44+AL44</f>
        <v>29073232.094295289</v>
      </c>
      <c r="AN44" s="111" t="str">
        <f t="shared" si="2"/>
        <v>DTL</v>
      </c>
    </row>
    <row r="45" spans="1:47">
      <c r="A45" s="107">
        <f t="shared" si="3"/>
        <v>26</v>
      </c>
      <c r="B45" s="126"/>
      <c r="C45" s="107"/>
      <c r="F45" s="127"/>
      <c r="G45" s="127"/>
      <c r="H45" s="127">
        <f>'Tax Depr Form 2.14 p.2'!H44+'Tax Depr Form 2.14 p.3'!H44</f>
        <v>610202</v>
      </c>
      <c r="I45" s="127">
        <f>'Tax Depr Form 2.14 p.2'!I44+'Tax Depr Form 2.14 p.3'!I44</f>
        <v>1157794</v>
      </c>
      <c r="J45" s="127">
        <f>'Tax Depr Form 2.14 p.2'!J44+'Tax Depr Form 2.14 p.3'!J44</f>
        <v>1159048</v>
      </c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>
        <f>'Tax Depr Form 2.14 p.2'!AF44+'Tax Depr Form 2.14 p.3'!AF44</f>
        <v>2927044</v>
      </c>
      <c r="AH45" s="127">
        <f>'Tax Depr Form 2.14 p.2'!AH44+'Tax Depr Form 2.14 p.3'!AH44</f>
        <v>3480961.3049551267</v>
      </c>
      <c r="AI45" s="127">
        <f>'Tax Depr Form 2.14 p.2'!AI44+'Tax Depr Form 2.14 p.3'!AI44</f>
        <v>-553917.30495512695</v>
      </c>
      <c r="AJ45" s="127">
        <f>'Tax Depr Form 2.14 p.2'!AJ44+'Tax Depr Form 2.14 p.3'!AJ44-'Tax Depr Form 2.14 p.4'!G37</f>
        <v>-138203</v>
      </c>
      <c r="AK45" s="127">
        <f>'Tax Depr Form 2.14 p.2'!AK47+'Tax Depr Form 2.14 p.3'!AK47</f>
        <v>0</v>
      </c>
      <c r="AL45" s="127">
        <f>'Tax Depr Form 2.14 p.2'!AL47+'Tax Depr Form 2.14 p.3'!AL47</f>
        <v>0</v>
      </c>
      <c r="AM45" s="127">
        <f>AM44+AJ45+AK45+AL45</f>
        <v>28935029.094295289</v>
      </c>
      <c r="AN45" s="111" t="str">
        <f t="shared" si="2"/>
        <v>DTL</v>
      </c>
    </row>
    <row r="46" spans="1:47">
      <c r="A46" s="107">
        <f t="shared" si="3"/>
        <v>27</v>
      </c>
      <c r="B46" s="126"/>
      <c r="C46" s="107"/>
      <c r="F46" s="127"/>
      <c r="G46" s="127"/>
      <c r="H46" s="127"/>
      <c r="I46" s="127">
        <f>'Tax Depr Form 2.14 p.2'!I45+'Tax Depr Form 2.14 p.3'!I45</f>
        <v>579026</v>
      </c>
      <c r="J46" s="127">
        <f>'Tax Depr Form 2.14 p.2'!J45+'Tax Depr Form 2.14 p.3'!J45</f>
        <v>1158788</v>
      </c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>
        <f>'Tax Depr Form 2.14 p.2'!AF45+'Tax Depr Form 2.14 p.3'!AF45</f>
        <v>1737814</v>
      </c>
      <c r="AH46" s="127">
        <f>'Tax Depr Form 2.14 p.2'!AH45+'Tax Depr Form 2.14 p.3'!AH45</f>
        <v>3480961.3049551267</v>
      </c>
      <c r="AI46" s="127">
        <f>'Tax Depr Form 2.14 p.2'!AI45+'Tax Depr Form 2.14 p.3'!AI45</f>
        <v>-1743147.304955127</v>
      </c>
      <c r="AJ46" s="127">
        <f>'Tax Depr Form 2.14 p.2'!AJ45+'Tax Depr Form 2.14 p.3'!AJ45-'Tax Depr Form 2.14 p.4'!G38</f>
        <v>-434915</v>
      </c>
      <c r="AK46" s="127">
        <f>'Tax Depr Form 2.14 p.2'!AK48+'Tax Depr Form 2.14 p.3'!AK48</f>
        <v>0</v>
      </c>
      <c r="AL46" s="127">
        <f>'Tax Depr Form 2.14 p.2'!AL48+'Tax Depr Form 2.14 p.3'!AL48</f>
        <v>0</v>
      </c>
      <c r="AM46" s="127">
        <f>AM45+AJ46+AK46+AL46</f>
        <v>28500114.094295289</v>
      </c>
      <c r="AN46" s="111" t="str">
        <f t="shared" ref="AN46" si="6">IF(AM46&gt;0,"DTL","DTA")</f>
        <v>DTL</v>
      </c>
    </row>
    <row r="47" spans="1:47">
      <c r="A47" s="107">
        <f t="shared" si="3"/>
        <v>28</v>
      </c>
      <c r="B47" s="126"/>
      <c r="C47" s="107"/>
      <c r="F47" s="127"/>
      <c r="G47" s="127"/>
      <c r="H47" s="127"/>
      <c r="I47" s="127"/>
      <c r="J47" s="127">
        <f>'Tax Depr Form 2.14 p.2'!J46+'Tax Depr Form 2.14 p.3'!J47</f>
        <v>1580755</v>
      </c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>
        <f>'Tax Depr Form 2.14 p.2'!AF46+'Tax Depr Form 2.14 p.3'!AF47</f>
        <v>8329296</v>
      </c>
      <c r="AH47" s="127"/>
      <c r="AI47" s="127"/>
      <c r="AJ47" s="127"/>
      <c r="AK47" s="127"/>
      <c r="AL47" s="127"/>
      <c r="AM47" s="127"/>
      <c r="AN47" s="111"/>
    </row>
    <row r="48" spans="1:47">
      <c r="A48" s="107">
        <f t="shared" si="3"/>
        <v>29</v>
      </c>
      <c r="D48" s="124">
        <f>SUM(D22:D44)</f>
        <v>2770289</v>
      </c>
      <c r="E48" s="124">
        <f>SUM(E22:E44)</f>
        <v>12250432</v>
      </c>
      <c r="F48" s="124">
        <f>SUM(F22:F44)</f>
        <v>22455841</v>
      </c>
      <c r="G48" s="124">
        <f>SUM(G22:G44)</f>
        <v>35205687</v>
      </c>
      <c r="H48" s="124">
        <f>SUM(H22:H46)</f>
        <v>40406725</v>
      </c>
      <c r="I48" s="124">
        <f>SUM(I22:I46)</f>
        <v>40000000</v>
      </c>
      <c r="J48" s="124">
        <f t="shared" ref="J48:AF48" si="7">SUM(J22:J46)</f>
        <v>39434301</v>
      </c>
      <c r="K48" s="124">
        <f t="shared" si="7"/>
        <v>0</v>
      </c>
      <c r="L48" s="124">
        <f t="shared" si="7"/>
        <v>0</v>
      </c>
      <c r="M48" s="124">
        <f t="shared" si="7"/>
        <v>0</v>
      </c>
      <c r="N48" s="124">
        <f t="shared" si="7"/>
        <v>0</v>
      </c>
      <c r="O48" s="124">
        <f t="shared" si="7"/>
        <v>0</v>
      </c>
      <c r="P48" s="124">
        <f t="shared" si="7"/>
        <v>0</v>
      </c>
      <c r="Q48" s="124">
        <f t="shared" si="7"/>
        <v>0</v>
      </c>
      <c r="R48" s="124">
        <f t="shared" si="7"/>
        <v>0</v>
      </c>
      <c r="S48" s="124">
        <f t="shared" si="7"/>
        <v>0</v>
      </c>
      <c r="T48" s="124">
        <f t="shared" si="7"/>
        <v>0</v>
      </c>
      <c r="U48" s="124">
        <f t="shared" si="7"/>
        <v>0</v>
      </c>
      <c r="V48" s="124">
        <f t="shared" si="7"/>
        <v>0</v>
      </c>
      <c r="W48" s="124">
        <f t="shared" si="7"/>
        <v>0</v>
      </c>
      <c r="X48" s="124">
        <f t="shared" si="7"/>
        <v>0</v>
      </c>
      <c r="Y48" s="124">
        <f t="shared" si="7"/>
        <v>0</v>
      </c>
      <c r="Z48" s="124">
        <f t="shared" si="7"/>
        <v>0</v>
      </c>
      <c r="AA48" s="124">
        <f t="shared" si="7"/>
        <v>0</v>
      </c>
      <c r="AB48" s="124">
        <f t="shared" si="7"/>
        <v>0</v>
      </c>
      <c r="AC48" s="124">
        <f t="shared" si="7"/>
        <v>0</v>
      </c>
      <c r="AD48" s="124">
        <f t="shared" si="7"/>
        <v>0</v>
      </c>
      <c r="AE48" s="124">
        <f t="shared" si="7"/>
        <v>0</v>
      </c>
      <c r="AF48" s="124">
        <f t="shared" si="7"/>
        <v>192523275</v>
      </c>
      <c r="AG48" s="124">
        <f>SUM(AG22:AG45)</f>
        <v>8188766.6011355957</v>
      </c>
      <c r="AH48" s="124">
        <f>SUM(AH22:AH45)</f>
        <v>72305950.969738409</v>
      </c>
      <c r="AI48" s="127"/>
      <c r="AJ48" s="127"/>
      <c r="AK48" s="127"/>
      <c r="AL48" s="127"/>
      <c r="AM48" s="124"/>
      <c r="AN48" s="124"/>
    </row>
    <row r="49" spans="1:40"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7"/>
      <c r="AG49" s="124"/>
      <c r="AH49" s="127"/>
      <c r="AI49" s="127"/>
      <c r="AJ49" s="127"/>
      <c r="AK49" s="127"/>
      <c r="AL49" s="127"/>
      <c r="AM49" s="124"/>
      <c r="AN49" s="124"/>
    </row>
    <row r="50" spans="1:40">
      <c r="A50" s="135" t="s">
        <v>134</v>
      </c>
      <c r="F50" s="124"/>
      <c r="AF50" s="124"/>
      <c r="AG50" s="124"/>
      <c r="AH50" s="127"/>
      <c r="AI50" s="127"/>
      <c r="AJ50" s="136"/>
      <c r="AK50" s="136"/>
      <c r="AL50" s="136"/>
      <c r="AM50" s="124"/>
      <c r="AN50" s="124"/>
    </row>
    <row r="51" spans="1:40">
      <c r="A51" s="135" t="s">
        <v>302</v>
      </c>
      <c r="AH51" s="124"/>
      <c r="AI51" s="127"/>
      <c r="AJ51" s="127"/>
      <c r="AK51" s="127"/>
      <c r="AL51" s="127"/>
    </row>
    <row r="52" spans="1:40">
      <c r="A52" s="135" t="s">
        <v>213</v>
      </c>
      <c r="AH52" s="124"/>
      <c r="AI52" s="127"/>
      <c r="AJ52" s="127"/>
      <c r="AK52" s="127"/>
      <c r="AL52" s="127"/>
    </row>
    <row r="53" spans="1:40">
      <c r="D53" s="137"/>
      <c r="E53" s="137"/>
      <c r="F53" s="137"/>
      <c r="AM53" s="124"/>
    </row>
    <row r="54" spans="1:40">
      <c r="D54" s="137"/>
      <c r="E54" s="137"/>
      <c r="F54" s="137"/>
      <c r="AM54" s="124"/>
    </row>
    <row r="55" spans="1:40">
      <c r="AM55" s="124"/>
    </row>
    <row r="56" spans="1:40">
      <c r="AM56" s="124"/>
    </row>
    <row r="59" spans="1:40">
      <c r="AF59" s="124"/>
    </row>
    <row r="60" spans="1:40">
      <c r="AF60" s="124"/>
    </row>
    <row r="61" spans="1:40">
      <c r="AF61" s="124"/>
    </row>
    <row r="62" spans="1:40">
      <c r="AF62" s="124"/>
    </row>
    <row r="63" spans="1:40">
      <c r="G63" s="127"/>
      <c r="AF63" s="124"/>
    </row>
    <row r="64" spans="1:40">
      <c r="G64" s="127"/>
      <c r="H64" s="127"/>
      <c r="AF64" s="124"/>
    </row>
    <row r="65" spans="7:33">
      <c r="G65" s="127"/>
      <c r="H65" s="127"/>
      <c r="I65" s="127"/>
      <c r="AF65" s="124"/>
    </row>
    <row r="66" spans="7:33">
      <c r="G66" s="127"/>
      <c r="H66" s="127"/>
      <c r="I66" s="127"/>
      <c r="J66" s="127"/>
      <c r="AF66" s="124"/>
    </row>
    <row r="67" spans="7:33">
      <c r="G67" s="127"/>
      <c r="H67" s="127"/>
      <c r="I67" s="127"/>
      <c r="J67" s="127"/>
      <c r="K67" s="127"/>
      <c r="AF67" s="124"/>
    </row>
    <row r="68" spans="7:33"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4"/>
    </row>
    <row r="69" spans="7:33"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4"/>
      <c r="AG69" s="124"/>
    </row>
    <row r="70" spans="7:33"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7"/>
      <c r="AE70" s="127"/>
      <c r="AF70" s="124"/>
      <c r="AG70" s="124"/>
    </row>
    <row r="71" spans="7:33"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4"/>
      <c r="AG71" s="124"/>
    </row>
    <row r="72" spans="7:33"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27"/>
    </row>
    <row r="73" spans="7:33"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27"/>
      <c r="AE73" s="127"/>
    </row>
    <row r="74" spans="7:33"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27"/>
      <c r="AE74" s="127"/>
    </row>
    <row r="75" spans="7:33"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</row>
    <row r="76" spans="7:33"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  <c r="AA76" s="127"/>
      <c r="AB76" s="127"/>
      <c r="AC76" s="127"/>
      <c r="AD76" s="127"/>
      <c r="AE76" s="127"/>
    </row>
    <row r="77" spans="7:33">
      <c r="L77" s="127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27"/>
      <c r="AA77" s="127"/>
      <c r="AB77" s="127"/>
      <c r="AC77" s="127"/>
      <c r="AD77" s="127"/>
      <c r="AE77" s="127"/>
    </row>
  </sheetData>
  <mergeCells count="4">
    <mergeCell ref="A7:AM7"/>
    <mergeCell ref="A8:AM8"/>
    <mergeCell ref="A9:AM9"/>
    <mergeCell ref="D19:AG19"/>
  </mergeCells>
  <printOptions horizontalCentered="1"/>
  <pageMargins left="0" right="0" top="0.5" bottom="0" header="0.5" footer="0.5"/>
  <pageSetup scale="64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7">
    <tabColor rgb="FF00B050"/>
    <pageSetUpPr fitToPage="1"/>
  </sheetPr>
  <dimension ref="A1:AU80"/>
  <sheetViews>
    <sheetView topLeftCell="A64" zoomScale="90" zoomScaleNormal="90" workbookViewId="0">
      <selection activeCell="F36" sqref="F36"/>
    </sheetView>
  </sheetViews>
  <sheetFormatPr defaultRowHeight="11.65"/>
  <cols>
    <col min="1" max="1" width="3.86328125" style="107" customWidth="1"/>
    <col min="2" max="2" width="14.86328125" style="109" customWidth="1"/>
    <col min="3" max="3" width="4.59765625" style="109" bestFit="1" customWidth="1"/>
    <col min="4" max="4" width="13" style="109" bestFit="1" customWidth="1"/>
    <col min="5" max="5" width="12" style="109" bestFit="1" customWidth="1"/>
    <col min="6" max="6" width="11" style="109" customWidth="1"/>
    <col min="7" max="7" width="12" style="109" customWidth="1"/>
    <col min="8" max="8" width="12.1328125" style="109" customWidth="1"/>
    <col min="9" max="9" width="11.1328125" style="109" customWidth="1"/>
    <col min="10" max="10" width="11" style="109" customWidth="1"/>
    <col min="11" max="11" width="11.3984375" style="109" hidden="1" customWidth="1"/>
    <col min="12" max="31" width="12.86328125" style="109" hidden="1" customWidth="1"/>
    <col min="32" max="32" width="12" style="109" bestFit="1" customWidth="1"/>
    <col min="33" max="33" width="10" style="109" bestFit="1" customWidth="1"/>
    <col min="34" max="34" width="12.59765625" style="109" bestFit="1" customWidth="1"/>
    <col min="35" max="35" width="11" style="109" bestFit="1" customWidth="1"/>
    <col min="36" max="36" width="12.3984375" style="109" bestFit="1" customWidth="1"/>
    <col min="37" max="37" width="16.59765625" style="109" bestFit="1" customWidth="1"/>
    <col min="38" max="38" width="13" style="109" bestFit="1" customWidth="1"/>
    <col min="39" max="39" width="13.3984375" style="109" bestFit="1" customWidth="1"/>
    <col min="40" max="40" width="11.86328125" style="109" hidden="1" customWidth="1"/>
    <col min="41" max="41" width="11" style="109" hidden="1" customWidth="1"/>
    <col min="42" max="42" width="0" style="109" hidden="1" customWidth="1"/>
    <col min="43" max="43" width="10" style="109" hidden="1" customWidth="1"/>
    <col min="44" max="46" width="0" style="109" hidden="1" customWidth="1"/>
    <col min="47" max="256" width="9.1328125" style="109"/>
    <col min="257" max="257" width="3.86328125" style="109" customWidth="1"/>
    <col min="258" max="258" width="14.86328125" style="109" customWidth="1"/>
    <col min="259" max="259" width="4.59765625" style="109" bestFit="1" customWidth="1"/>
    <col min="260" max="260" width="13" style="109" bestFit="1" customWidth="1"/>
    <col min="261" max="261" width="12" style="109" bestFit="1" customWidth="1"/>
    <col min="262" max="262" width="11" style="109" customWidth="1"/>
    <col min="263" max="263" width="12" style="109" customWidth="1"/>
    <col min="264" max="264" width="12.1328125" style="109" customWidth="1"/>
    <col min="265" max="265" width="11.1328125" style="109" customWidth="1"/>
    <col min="266" max="287" width="0" style="109" hidden="1" customWidth="1"/>
    <col min="288" max="288" width="12" style="109" bestFit="1" customWidth="1"/>
    <col min="289" max="289" width="10" style="109" bestFit="1" customWidth="1"/>
    <col min="290" max="290" width="12.59765625" style="109" bestFit="1" customWidth="1"/>
    <col min="291" max="291" width="11" style="109" bestFit="1" customWidth="1"/>
    <col min="292" max="292" width="12.3984375" style="109" bestFit="1" customWidth="1"/>
    <col min="293" max="293" width="16.59765625" style="109" bestFit="1" customWidth="1"/>
    <col min="294" max="294" width="13" style="109" bestFit="1" customWidth="1"/>
    <col min="295" max="295" width="13.3984375" style="109" bestFit="1" customWidth="1"/>
    <col min="296" max="296" width="11.86328125" style="109" bestFit="1" customWidth="1"/>
    <col min="297" max="297" width="11" style="109" bestFit="1" customWidth="1"/>
    <col min="298" max="298" width="9.1328125" style="109"/>
    <col min="299" max="299" width="10" style="109" bestFit="1" customWidth="1"/>
    <col min="300" max="512" width="9.1328125" style="109"/>
    <col min="513" max="513" width="3.86328125" style="109" customWidth="1"/>
    <col min="514" max="514" width="14.86328125" style="109" customWidth="1"/>
    <col min="515" max="515" width="4.59765625" style="109" bestFit="1" customWidth="1"/>
    <col min="516" max="516" width="13" style="109" bestFit="1" customWidth="1"/>
    <col min="517" max="517" width="12" style="109" bestFit="1" customWidth="1"/>
    <col min="518" max="518" width="11" style="109" customWidth="1"/>
    <col min="519" max="519" width="12" style="109" customWidth="1"/>
    <col min="520" max="520" width="12.1328125" style="109" customWidth="1"/>
    <col min="521" max="521" width="11.1328125" style="109" customWidth="1"/>
    <col min="522" max="543" width="0" style="109" hidden="1" customWidth="1"/>
    <col min="544" max="544" width="12" style="109" bestFit="1" customWidth="1"/>
    <col min="545" max="545" width="10" style="109" bestFit="1" customWidth="1"/>
    <col min="546" max="546" width="12.59765625" style="109" bestFit="1" customWidth="1"/>
    <col min="547" max="547" width="11" style="109" bestFit="1" customWidth="1"/>
    <col min="548" max="548" width="12.3984375" style="109" bestFit="1" customWidth="1"/>
    <col min="549" max="549" width="16.59765625" style="109" bestFit="1" customWidth="1"/>
    <col min="550" max="550" width="13" style="109" bestFit="1" customWidth="1"/>
    <col min="551" max="551" width="13.3984375" style="109" bestFit="1" customWidth="1"/>
    <col min="552" max="552" width="11.86328125" style="109" bestFit="1" customWidth="1"/>
    <col min="553" max="553" width="11" style="109" bestFit="1" customWidth="1"/>
    <col min="554" max="554" width="9.1328125" style="109"/>
    <col min="555" max="555" width="10" style="109" bestFit="1" customWidth="1"/>
    <col min="556" max="768" width="9.1328125" style="109"/>
    <col min="769" max="769" width="3.86328125" style="109" customWidth="1"/>
    <col min="770" max="770" width="14.86328125" style="109" customWidth="1"/>
    <col min="771" max="771" width="4.59765625" style="109" bestFit="1" customWidth="1"/>
    <col min="772" max="772" width="13" style="109" bestFit="1" customWidth="1"/>
    <col min="773" max="773" width="12" style="109" bestFit="1" customWidth="1"/>
    <col min="774" max="774" width="11" style="109" customWidth="1"/>
    <col min="775" max="775" width="12" style="109" customWidth="1"/>
    <col min="776" max="776" width="12.1328125" style="109" customWidth="1"/>
    <col min="777" max="777" width="11.1328125" style="109" customWidth="1"/>
    <col min="778" max="799" width="0" style="109" hidden="1" customWidth="1"/>
    <col min="800" max="800" width="12" style="109" bestFit="1" customWidth="1"/>
    <col min="801" max="801" width="10" style="109" bestFit="1" customWidth="1"/>
    <col min="802" max="802" width="12.59765625" style="109" bestFit="1" customWidth="1"/>
    <col min="803" max="803" width="11" style="109" bestFit="1" customWidth="1"/>
    <col min="804" max="804" width="12.3984375" style="109" bestFit="1" customWidth="1"/>
    <col min="805" max="805" width="16.59765625" style="109" bestFit="1" customWidth="1"/>
    <col min="806" max="806" width="13" style="109" bestFit="1" customWidth="1"/>
    <col min="807" max="807" width="13.3984375" style="109" bestFit="1" customWidth="1"/>
    <col min="808" max="808" width="11.86328125" style="109" bestFit="1" customWidth="1"/>
    <col min="809" max="809" width="11" style="109" bestFit="1" customWidth="1"/>
    <col min="810" max="810" width="9.1328125" style="109"/>
    <col min="811" max="811" width="10" style="109" bestFit="1" customWidth="1"/>
    <col min="812" max="1024" width="9.1328125" style="109"/>
    <col min="1025" max="1025" width="3.86328125" style="109" customWidth="1"/>
    <col min="1026" max="1026" width="14.86328125" style="109" customWidth="1"/>
    <col min="1027" max="1027" width="4.59765625" style="109" bestFit="1" customWidth="1"/>
    <col min="1028" max="1028" width="13" style="109" bestFit="1" customWidth="1"/>
    <col min="1029" max="1029" width="12" style="109" bestFit="1" customWidth="1"/>
    <col min="1030" max="1030" width="11" style="109" customWidth="1"/>
    <col min="1031" max="1031" width="12" style="109" customWidth="1"/>
    <col min="1032" max="1032" width="12.1328125" style="109" customWidth="1"/>
    <col min="1033" max="1033" width="11.1328125" style="109" customWidth="1"/>
    <col min="1034" max="1055" width="0" style="109" hidden="1" customWidth="1"/>
    <col min="1056" max="1056" width="12" style="109" bestFit="1" customWidth="1"/>
    <col min="1057" max="1057" width="10" style="109" bestFit="1" customWidth="1"/>
    <col min="1058" max="1058" width="12.59765625" style="109" bestFit="1" customWidth="1"/>
    <col min="1059" max="1059" width="11" style="109" bestFit="1" customWidth="1"/>
    <col min="1060" max="1060" width="12.3984375" style="109" bestFit="1" customWidth="1"/>
    <col min="1061" max="1061" width="16.59765625" style="109" bestFit="1" customWidth="1"/>
    <col min="1062" max="1062" width="13" style="109" bestFit="1" customWidth="1"/>
    <col min="1063" max="1063" width="13.3984375" style="109" bestFit="1" customWidth="1"/>
    <col min="1064" max="1064" width="11.86328125" style="109" bestFit="1" customWidth="1"/>
    <col min="1065" max="1065" width="11" style="109" bestFit="1" customWidth="1"/>
    <col min="1066" max="1066" width="9.1328125" style="109"/>
    <col min="1067" max="1067" width="10" style="109" bestFit="1" customWidth="1"/>
    <col min="1068" max="1280" width="9.1328125" style="109"/>
    <col min="1281" max="1281" width="3.86328125" style="109" customWidth="1"/>
    <col min="1282" max="1282" width="14.86328125" style="109" customWidth="1"/>
    <col min="1283" max="1283" width="4.59765625" style="109" bestFit="1" customWidth="1"/>
    <col min="1284" max="1284" width="13" style="109" bestFit="1" customWidth="1"/>
    <col min="1285" max="1285" width="12" style="109" bestFit="1" customWidth="1"/>
    <col min="1286" max="1286" width="11" style="109" customWidth="1"/>
    <col min="1287" max="1287" width="12" style="109" customWidth="1"/>
    <col min="1288" max="1288" width="12.1328125" style="109" customWidth="1"/>
    <col min="1289" max="1289" width="11.1328125" style="109" customWidth="1"/>
    <col min="1290" max="1311" width="0" style="109" hidden="1" customWidth="1"/>
    <col min="1312" max="1312" width="12" style="109" bestFit="1" customWidth="1"/>
    <col min="1313" max="1313" width="10" style="109" bestFit="1" customWidth="1"/>
    <col min="1314" max="1314" width="12.59765625" style="109" bestFit="1" customWidth="1"/>
    <col min="1315" max="1315" width="11" style="109" bestFit="1" customWidth="1"/>
    <col min="1316" max="1316" width="12.3984375" style="109" bestFit="1" customWidth="1"/>
    <col min="1317" max="1317" width="16.59765625" style="109" bestFit="1" customWidth="1"/>
    <col min="1318" max="1318" width="13" style="109" bestFit="1" customWidth="1"/>
    <col min="1319" max="1319" width="13.3984375" style="109" bestFit="1" customWidth="1"/>
    <col min="1320" max="1320" width="11.86328125" style="109" bestFit="1" customWidth="1"/>
    <col min="1321" max="1321" width="11" style="109" bestFit="1" customWidth="1"/>
    <col min="1322" max="1322" width="9.1328125" style="109"/>
    <col min="1323" max="1323" width="10" style="109" bestFit="1" customWidth="1"/>
    <col min="1324" max="1536" width="9.1328125" style="109"/>
    <col min="1537" max="1537" width="3.86328125" style="109" customWidth="1"/>
    <col min="1538" max="1538" width="14.86328125" style="109" customWidth="1"/>
    <col min="1539" max="1539" width="4.59765625" style="109" bestFit="1" customWidth="1"/>
    <col min="1540" max="1540" width="13" style="109" bestFit="1" customWidth="1"/>
    <col min="1541" max="1541" width="12" style="109" bestFit="1" customWidth="1"/>
    <col min="1542" max="1542" width="11" style="109" customWidth="1"/>
    <col min="1543" max="1543" width="12" style="109" customWidth="1"/>
    <col min="1544" max="1544" width="12.1328125" style="109" customWidth="1"/>
    <col min="1545" max="1545" width="11.1328125" style="109" customWidth="1"/>
    <col min="1546" max="1567" width="0" style="109" hidden="1" customWidth="1"/>
    <col min="1568" max="1568" width="12" style="109" bestFit="1" customWidth="1"/>
    <col min="1569" max="1569" width="10" style="109" bestFit="1" customWidth="1"/>
    <col min="1570" max="1570" width="12.59765625" style="109" bestFit="1" customWidth="1"/>
    <col min="1571" max="1571" width="11" style="109" bestFit="1" customWidth="1"/>
    <col min="1572" max="1572" width="12.3984375" style="109" bestFit="1" customWidth="1"/>
    <col min="1573" max="1573" width="16.59765625" style="109" bestFit="1" customWidth="1"/>
    <col min="1574" max="1574" width="13" style="109" bestFit="1" customWidth="1"/>
    <col min="1575" max="1575" width="13.3984375" style="109" bestFit="1" customWidth="1"/>
    <col min="1576" max="1576" width="11.86328125" style="109" bestFit="1" customWidth="1"/>
    <col min="1577" max="1577" width="11" style="109" bestFit="1" customWidth="1"/>
    <col min="1578" max="1578" width="9.1328125" style="109"/>
    <col min="1579" max="1579" width="10" style="109" bestFit="1" customWidth="1"/>
    <col min="1580" max="1792" width="9.1328125" style="109"/>
    <col min="1793" max="1793" width="3.86328125" style="109" customWidth="1"/>
    <col min="1794" max="1794" width="14.86328125" style="109" customWidth="1"/>
    <col min="1795" max="1795" width="4.59765625" style="109" bestFit="1" customWidth="1"/>
    <col min="1796" max="1796" width="13" style="109" bestFit="1" customWidth="1"/>
    <col min="1797" max="1797" width="12" style="109" bestFit="1" customWidth="1"/>
    <col min="1798" max="1798" width="11" style="109" customWidth="1"/>
    <col min="1799" max="1799" width="12" style="109" customWidth="1"/>
    <col min="1800" max="1800" width="12.1328125" style="109" customWidth="1"/>
    <col min="1801" max="1801" width="11.1328125" style="109" customWidth="1"/>
    <col min="1802" max="1823" width="0" style="109" hidden="1" customWidth="1"/>
    <col min="1824" max="1824" width="12" style="109" bestFit="1" customWidth="1"/>
    <col min="1825" max="1825" width="10" style="109" bestFit="1" customWidth="1"/>
    <col min="1826" max="1826" width="12.59765625" style="109" bestFit="1" customWidth="1"/>
    <col min="1827" max="1827" width="11" style="109" bestFit="1" customWidth="1"/>
    <col min="1828" max="1828" width="12.3984375" style="109" bestFit="1" customWidth="1"/>
    <col min="1829" max="1829" width="16.59765625" style="109" bestFit="1" customWidth="1"/>
    <col min="1830" max="1830" width="13" style="109" bestFit="1" customWidth="1"/>
    <col min="1831" max="1831" width="13.3984375" style="109" bestFit="1" customWidth="1"/>
    <col min="1832" max="1832" width="11.86328125" style="109" bestFit="1" customWidth="1"/>
    <col min="1833" max="1833" width="11" style="109" bestFit="1" customWidth="1"/>
    <col min="1834" max="1834" width="9.1328125" style="109"/>
    <col min="1835" max="1835" width="10" style="109" bestFit="1" customWidth="1"/>
    <col min="1836" max="2048" width="9.1328125" style="109"/>
    <col min="2049" max="2049" width="3.86328125" style="109" customWidth="1"/>
    <col min="2050" max="2050" width="14.86328125" style="109" customWidth="1"/>
    <col min="2051" max="2051" width="4.59765625" style="109" bestFit="1" customWidth="1"/>
    <col min="2052" max="2052" width="13" style="109" bestFit="1" customWidth="1"/>
    <col min="2053" max="2053" width="12" style="109" bestFit="1" customWidth="1"/>
    <col min="2054" max="2054" width="11" style="109" customWidth="1"/>
    <col min="2055" max="2055" width="12" style="109" customWidth="1"/>
    <col min="2056" max="2056" width="12.1328125" style="109" customWidth="1"/>
    <col min="2057" max="2057" width="11.1328125" style="109" customWidth="1"/>
    <col min="2058" max="2079" width="0" style="109" hidden="1" customWidth="1"/>
    <col min="2080" max="2080" width="12" style="109" bestFit="1" customWidth="1"/>
    <col min="2081" max="2081" width="10" style="109" bestFit="1" customWidth="1"/>
    <col min="2082" max="2082" width="12.59765625" style="109" bestFit="1" customWidth="1"/>
    <col min="2083" max="2083" width="11" style="109" bestFit="1" customWidth="1"/>
    <col min="2084" max="2084" width="12.3984375" style="109" bestFit="1" customWidth="1"/>
    <col min="2085" max="2085" width="16.59765625" style="109" bestFit="1" customWidth="1"/>
    <col min="2086" max="2086" width="13" style="109" bestFit="1" customWidth="1"/>
    <col min="2087" max="2087" width="13.3984375" style="109" bestFit="1" customWidth="1"/>
    <col min="2088" max="2088" width="11.86328125" style="109" bestFit="1" customWidth="1"/>
    <col min="2089" max="2089" width="11" style="109" bestFit="1" customWidth="1"/>
    <col min="2090" max="2090" width="9.1328125" style="109"/>
    <col min="2091" max="2091" width="10" style="109" bestFit="1" customWidth="1"/>
    <col min="2092" max="2304" width="9.1328125" style="109"/>
    <col min="2305" max="2305" width="3.86328125" style="109" customWidth="1"/>
    <col min="2306" max="2306" width="14.86328125" style="109" customWidth="1"/>
    <col min="2307" max="2307" width="4.59765625" style="109" bestFit="1" customWidth="1"/>
    <col min="2308" max="2308" width="13" style="109" bestFit="1" customWidth="1"/>
    <col min="2309" max="2309" width="12" style="109" bestFit="1" customWidth="1"/>
    <col min="2310" max="2310" width="11" style="109" customWidth="1"/>
    <col min="2311" max="2311" width="12" style="109" customWidth="1"/>
    <col min="2312" max="2312" width="12.1328125" style="109" customWidth="1"/>
    <col min="2313" max="2313" width="11.1328125" style="109" customWidth="1"/>
    <col min="2314" max="2335" width="0" style="109" hidden="1" customWidth="1"/>
    <col min="2336" max="2336" width="12" style="109" bestFit="1" customWidth="1"/>
    <col min="2337" max="2337" width="10" style="109" bestFit="1" customWidth="1"/>
    <col min="2338" max="2338" width="12.59765625" style="109" bestFit="1" customWidth="1"/>
    <col min="2339" max="2339" width="11" style="109" bestFit="1" customWidth="1"/>
    <col min="2340" max="2340" width="12.3984375" style="109" bestFit="1" customWidth="1"/>
    <col min="2341" max="2341" width="16.59765625" style="109" bestFit="1" customWidth="1"/>
    <col min="2342" max="2342" width="13" style="109" bestFit="1" customWidth="1"/>
    <col min="2343" max="2343" width="13.3984375" style="109" bestFit="1" customWidth="1"/>
    <col min="2344" max="2344" width="11.86328125" style="109" bestFit="1" customWidth="1"/>
    <col min="2345" max="2345" width="11" style="109" bestFit="1" customWidth="1"/>
    <col min="2346" max="2346" width="9.1328125" style="109"/>
    <col min="2347" max="2347" width="10" style="109" bestFit="1" customWidth="1"/>
    <col min="2348" max="2560" width="9.1328125" style="109"/>
    <col min="2561" max="2561" width="3.86328125" style="109" customWidth="1"/>
    <col min="2562" max="2562" width="14.86328125" style="109" customWidth="1"/>
    <col min="2563" max="2563" width="4.59765625" style="109" bestFit="1" customWidth="1"/>
    <col min="2564" max="2564" width="13" style="109" bestFit="1" customWidth="1"/>
    <col min="2565" max="2565" width="12" style="109" bestFit="1" customWidth="1"/>
    <col min="2566" max="2566" width="11" style="109" customWidth="1"/>
    <col min="2567" max="2567" width="12" style="109" customWidth="1"/>
    <col min="2568" max="2568" width="12.1328125" style="109" customWidth="1"/>
    <col min="2569" max="2569" width="11.1328125" style="109" customWidth="1"/>
    <col min="2570" max="2591" width="0" style="109" hidden="1" customWidth="1"/>
    <col min="2592" max="2592" width="12" style="109" bestFit="1" customWidth="1"/>
    <col min="2593" max="2593" width="10" style="109" bestFit="1" customWidth="1"/>
    <col min="2594" max="2594" width="12.59765625" style="109" bestFit="1" customWidth="1"/>
    <col min="2595" max="2595" width="11" style="109" bestFit="1" customWidth="1"/>
    <col min="2596" max="2596" width="12.3984375" style="109" bestFit="1" customWidth="1"/>
    <col min="2597" max="2597" width="16.59765625" style="109" bestFit="1" customWidth="1"/>
    <col min="2598" max="2598" width="13" style="109" bestFit="1" customWidth="1"/>
    <col min="2599" max="2599" width="13.3984375" style="109" bestFit="1" customWidth="1"/>
    <col min="2600" max="2600" width="11.86328125" style="109" bestFit="1" customWidth="1"/>
    <col min="2601" max="2601" width="11" style="109" bestFit="1" customWidth="1"/>
    <col min="2602" max="2602" width="9.1328125" style="109"/>
    <col min="2603" max="2603" width="10" style="109" bestFit="1" customWidth="1"/>
    <col min="2604" max="2816" width="9.1328125" style="109"/>
    <col min="2817" max="2817" width="3.86328125" style="109" customWidth="1"/>
    <col min="2818" max="2818" width="14.86328125" style="109" customWidth="1"/>
    <col min="2819" max="2819" width="4.59765625" style="109" bestFit="1" customWidth="1"/>
    <col min="2820" max="2820" width="13" style="109" bestFit="1" customWidth="1"/>
    <col min="2821" max="2821" width="12" style="109" bestFit="1" customWidth="1"/>
    <col min="2822" max="2822" width="11" style="109" customWidth="1"/>
    <col min="2823" max="2823" width="12" style="109" customWidth="1"/>
    <col min="2824" max="2824" width="12.1328125" style="109" customWidth="1"/>
    <col min="2825" max="2825" width="11.1328125" style="109" customWidth="1"/>
    <col min="2826" max="2847" width="0" style="109" hidden="1" customWidth="1"/>
    <col min="2848" max="2848" width="12" style="109" bestFit="1" customWidth="1"/>
    <col min="2849" max="2849" width="10" style="109" bestFit="1" customWidth="1"/>
    <col min="2850" max="2850" width="12.59765625" style="109" bestFit="1" customWidth="1"/>
    <col min="2851" max="2851" width="11" style="109" bestFit="1" customWidth="1"/>
    <col min="2852" max="2852" width="12.3984375" style="109" bestFit="1" customWidth="1"/>
    <col min="2853" max="2853" width="16.59765625" style="109" bestFit="1" customWidth="1"/>
    <col min="2854" max="2854" width="13" style="109" bestFit="1" customWidth="1"/>
    <col min="2855" max="2855" width="13.3984375" style="109" bestFit="1" customWidth="1"/>
    <col min="2856" max="2856" width="11.86328125" style="109" bestFit="1" customWidth="1"/>
    <col min="2857" max="2857" width="11" style="109" bestFit="1" customWidth="1"/>
    <col min="2858" max="2858" width="9.1328125" style="109"/>
    <col min="2859" max="2859" width="10" style="109" bestFit="1" customWidth="1"/>
    <col min="2860" max="3072" width="9.1328125" style="109"/>
    <col min="3073" max="3073" width="3.86328125" style="109" customWidth="1"/>
    <col min="3074" max="3074" width="14.86328125" style="109" customWidth="1"/>
    <col min="3075" max="3075" width="4.59765625" style="109" bestFit="1" customWidth="1"/>
    <col min="3076" max="3076" width="13" style="109" bestFit="1" customWidth="1"/>
    <col min="3077" max="3077" width="12" style="109" bestFit="1" customWidth="1"/>
    <col min="3078" max="3078" width="11" style="109" customWidth="1"/>
    <col min="3079" max="3079" width="12" style="109" customWidth="1"/>
    <col min="3080" max="3080" width="12.1328125" style="109" customWidth="1"/>
    <col min="3081" max="3081" width="11.1328125" style="109" customWidth="1"/>
    <col min="3082" max="3103" width="0" style="109" hidden="1" customWidth="1"/>
    <col min="3104" max="3104" width="12" style="109" bestFit="1" customWidth="1"/>
    <col min="3105" max="3105" width="10" style="109" bestFit="1" customWidth="1"/>
    <col min="3106" max="3106" width="12.59765625" style="109" bestFit="1" customWidth="1"/>
    <col min="3107" max="3107" width="11" style="109" bestFit="1" customWidth="1"/>
    <col min="3108" max="3108" width="12.3984375" style="109" bestFit="1" customWidth="1"/>
    <col min="3109" max="3109" width="16.59765625" style="109" bestFit="1" customWidth="1"/>
    <col min="3110" max="3110" width="13" style="109" bestFit="1" customWidth="1"/>
    <col min="3111" max="3111" width="13.3984375" style="109" bestFit="1" customWidth="1"/>
    <col min="3112" max="3112" width="11.86328125" style="109" bestFit="1" customWidth="1"/>
    <col min="3113" max="3113" width="11" style="109" bestFit="1" customWidth="1"/>
    <col min="3114" max="3114" width="9.1328125" style="109"/>
    <col min="3115" max="3115" width="10" style="109" bestFit="1" customWidth="1"/>
    <col min="3116" max="3328" width="9.1328125" style="109"/>
    <col min="3329" max="3329" width="3.86328125" style="109" customWidth="1"/>
    <col min="3330" max="3330" width="14.86328125" style="109" customWidth="1"/>
    <col min="3331" max="3331" width="4.59765625" style="109" bestFit="1" customWidth="1"/>
    <col min="3332" max="3332" width="13" style="109" bestFit="1" customWidth="1"/>
    <col min="3333" max="3333" width="12" style="109" bestFit="1" customWidth="1"/>
    <col min="3334" max="3334" width="11" style="109" customWidth="1"/>
    <col min="3335" max="3335" width="12" style="109" customWidth="1"/>
    <col min="3336" max="3336" width="12.1328125" style="109" customWidth="1"/>
    <col min="3337" max="3337" width="11.1328125" style="109" customWidth="1"/>
    <col min="3338" max="3359" width="0" style="109" hidden="1" customWidth="1"/>
    <col min="3360" max="3360" width="12" style="109" bestFit="1" customWidth="1"/>
    <col min="3361" max="3361" width="10" style="109" bestFit="1" customWidth="1"/>
    <col min="3362" max="3362" width="12.59765625" style="109" bestFit="1" customWidth="1"/>
    <col min="3363" max="3363" width="11" style="109" bestFit="1" customWidth="1"/>
    <col min="3364" max="3364" width="12.3984375" style="109" bestFit="1" customWidth="1"/>
    <col min="3365" max="3365" width="16.59765625" style="109" bestFit="1" customWidth="1"/>
    <col min="3366" max="3366" width="13" style="109" bestFit="1" customWidth="1"/>
    <col min="3367" max="3367" width="13.3984375" style="109" bestFit="1" customWidth="1"/>
    <col min="3368" max="3368" width="11.86328125" style="109" bestFit="1" customWidth="1"/>
    <col min="3369" max="3369" width="11" style="109" bestFit="1" customWidth="1"/>
    <col min="3370" max="3370" width="9.1328125" style="109"/>
    <col min="3371" max="3371" width="10" style="109" bestFit="1" customWidth="1"/>
    <col min="3372" max="3584" width="9.1328125" style="109"/>
    <col min="3585" max="3585" width="3.86328125" style="109" customWidth="1"/>
    <col min="3586" max="3586" width="14.86328125" style="109" customWidth="1"/>
    <col min="3587" max="3587" width="4.59765625" style="109" bestFit="1" customWidth="1"/>
    <col min="3588" max="3588" width="13" style="109" bestFit="1" customWidth="1"/>
    <col min="3589" max="3589" width="12" style="109" bestFit="1" customWidth="1"/>
    <col min="3590" max="3590" width="11" style="109" customWidth="1"/>
    <col min="3591" max="3591" width="12" style="109" customWidth="1"/>
    <col min="3592" max="3592" width="12.1328125" style="109" customWidth="1"/>
    <col min="3593" max="3593" width="11.1328125" style="109" customWidth="1"/>
    <col min="3594" max="3615" width="0" style="109" hidden="1" customWidth="1"/>
    <col min="3616" max="3616" width="12" style="109" bestFit="1" customWidth="1"/>
    <col min="3617" max="3617" width="10" style="109" bestFit="1" customWidth="1"/>
    <col min="3618" max="3618" width="12.59765625" style="109" bestFit="1" customWidth="1"/>
    <col min="3619" max="3619" width="11" style="109" bestFit="1" customWidth="1"/>
    <col min="3620" max="3620" width="12.3984375" style="109" bestFit="1" customWidth="1"/>
    <col min="3621" max="3621" width="16.59765625" style="109" bestFit="1" customWidth="1"/>
    <col min="3622" max="3622" width="13" style="109" bestFit="1" customWidth="1"/>
    <col min="3623" max="3623" width="13.3984375" style="109" bestFit="1" customWidth="1"/>
    <col min="3624" max="3624" width="11.86328125" style="109" bestFit="1" customWidth="1"/>
    <col min="3625" max="3625" width="11" style="109" bestFit="1" customWidth="1"/>
    <col min="3626" max="3626" width="9.1328125" style="109"/>
    <col min="3627" max="3627" width="10" style="109" bestFit="1" customWidth="1"/>
    <col min="3628" max="3840" width="9.1328125" style="109"/>
    <col min="3841" max="3841" width="3.86328125" style="109" customWidth="1"/>
    <col min="3842" max="3842" width="14.86328125" style="109" customWidth="1"/>
    <col min="3843" max="3843" width="4.59765625" style="109" bestFit="1" customWidth="1"/>
    <col min="3844" max="3844" width="13" style="109" bestFit="1" customWidth="1"/>
    <col min="3845" max="3845" width="12" style="109" bestFit="1" customWidth="1"/>
    <col min="3846" max="3846" width="11" style="109" customWidth="1"/>
    <col min="3847" max="3847" width="12" style="109" customWidth="1"/>
    <col min="3848" max="3848" width="12.1328125" style="109" customWidth="1"/>
    <col min="3849" max="3849" width="11.1328125" style="109" customWidth="1"/>
    <col min="3850" max="3871" width="0" style="109" hidden="1" customWidth="1"/>
    <col min="3872" max="3872" width="12" style="109" bestFit="1" customWidth="1"/>
    <col min="3873" max="3873" width="10" style="109" bestFit="1" customWidth="1"/>
    <col min="3874" max="3874" width="12.59765625" style="109" bestFit="1" customWidth="1"/>
    <col min="3875" max="3875" width="11" style="109" bestFit="1" customWidth="1"/>
    <col min="3876" max="3876" width="12.3984375" style="109" bestFit="1" customWidth="1"/>
    <col min="3877" max="3877" width="16.59765625" style="109" bestFit="1" customWidth="1"/>
    <col min="3878" max="3878" width="13" style="109" bestFit="1" customWidth="1"/>
    <col min="3879" max="3879" width="13.3984375" style="109" bestFit="1" customWidth="1"/>
    <col min="3880" max="3880" width="11.86328125" style="109" bestFit="1" customWidth="1"/>
    <col min="3881" max="3881" width="11" style="109" bestFit="1" customWidth="1"/>
    <col min="3882" max="3882" width="9.1328125" style="109"/>
    <col min="3883" max="3883" width="10" style="109" bestFit="1" customWidth="1"/>
    <col min="3884" max="4096" width="9.1328125" style="109"/>
    <col min="4097" max="4097" width="3.86328125" style="109" customWidth="1"/>
    <col min="4098" max="4098" width="14.86328125" style="109" customWidth="1"/>
    <col min="4099" max="4099" width="4.59765625" style="109" bestFit="1" customWidth="1"/>
    <col min="4100" max="4100" width="13" style="109" bestFit="1" customWidth="1"/>
    <col min="4101" max="4101" width="12" style="109" bestFit="1" customWidth="1"/>
    <col min="4102" max="4102" width="11" style="109" customWidth="1"/>
    <col min="4103" max="4103" width="12" style="109" customWidth="1"/>
    <col min="4104" max="4104" width="12.1328125" style="109" customWidth="1"/>
    <col min="4105" max="4105" width="11.1328125" style="109" customWidth="1"/>
    <col min="4106" max="4127" width="0" style="109" hidden="1" customWidth="1"/>
    <col min="4128" max="4128" width="12" style="109" bestFit="1" customWidth="1"/>
    <col min="4129" max="4129" width="10" style="109" bestFit="1" customWidth="1"/>
    <col min="4130" max="4130" width="12.59765625" style="109" bestFit="1" customWidth="1"/>
    <col min="4131" max="4131" width="11" style="109" bestFit="1" customWidth="1"/>
    <col min="4132" max="4132" width="12.3984375" style="109" bestFit="1" customWidth="1"/>
    <col min="4133" max="4133" width="16.59765625" style="109" bestFit="1" customWidth="1"/>
    <col min="4134" max="4134" width="13" style="109" bestFit="1" customWidth="1"/>
    <col min="4135" max="4135" width="13.3984375" style="109" bestFit="1" customWidth="1"/>
    <col min="4136" max="4136" width="11.86328125" style="109" bestFit="1" customWidth="1"/>
    <col min="4137" max="4137" width="11" style="109" bestFit="1" customWidth="1"/>
    <col min="4138" max="4138" width="9.1328125" style="109"/>
    <col min="4139" max="4139" width="10" style="109" bestFit="1" customWidth="1"/>
    <col min="4140" max="4352" width="9.1328125" style="109"/>
    <col min="4353" max="4353" width="3.86328125" style="109" customWidth="1"/>
    <col min="4354" max="4354" width="14.86328125" style="109" customWidth="1"/>
    <col min="4355" max="4355" width="4.59765625" style="109" bestFit="1" customWidth="1"/>
    <col min="4356" max="4356" width="13" style="109" bestFit="1" customWidth="1"/>
    <col min="4357" max="4357" width="12" style="109" bestFit="1" customWidth="1"/>
    <col min="4358" max="4358" width="11" style="109" customWidth="1"/>
    <col min="4359" max="4359" width="12" style="109" customWidth="1"/>
    <col min="4360" max="4360" width="12.1328125" style="109" customWidth="1"/>
    <col min="4361" max="4361" width="11.1328125" style="109" customWidth="1"/>
    <col min="4362" max="4383" width="0" style="109" hidden="1" customWidth="1"/>
    <col min="4384" max="4384" width="12" style="109" bestFit="1" customWidth="1"/>
    <col min="4385" max="4385" width="10" style="109" bestFit="1" customWidth="1"/>
    <col min="4386" max="4386" width="12.59765625" style="109" bestFit="1" customWidth="1"/>
    <col min="4387" max="4387" width="11" style="109" bestFit="1" customWidth="1"/>
    <col min="4388" max="4388" width="12.3984375" style="109" bestFit="1" customWidth="1"/>
    <col min="4389" max="4389" width="16.59765625" style="109" bestFit="1" customWidth="1"/>
    <col min="4390" max="4390" width="13" style="109" bestFit="1" customWidth="1"/>
    <col min="4391" max="4391" width="13.3984375" style="109" bestFit="1" customWidth="1"/>
    <col min="4392" max="4392" width="11.86328125" style="109" bestFit="1" customWidth="1"/>
    <col min="4393" max="4393" width="11" style="109" bestFit="1" customWidth="1"/>
    <col min="4394" max="4394" width="9.1328125" style="109"/>
    <col min="4395" max="4395" width="10" style="109" bestFit="1" customWidth="1"/>
    <col min="4396" max="4608" width="9.1328125" style="109"/>
    <col min="4609" max="4609" width="3.86328125" style="109" customWidth="1"/>
    <col min="4610" max="4610" width="14.86328125" style="109" customWidth="1"/>
    <col min="4611" max="4611" width="4.59765625" style="109" bestFit="1" customWidth="1"/>
    <col min="4612" max="4612" width="13" style="109" bestFit="1" customWidth="1"/>
    <col min="4613" max="4613" width="12" style="109" bestFit="1" customWidth="1"/>
    <col min="4614" max="4614" width="11" style="109" customWidth="1"/>
    <col min="4615" max="4615" width="12" style="109" customWidth="1"/>
    <col min="4616" max="4616" width="12.1328125" style="109" customWidth="1"/>
    <col min="4617" max="4617" width="11.1328125" style="109" customWidth="1"/>
    <col min="4618" max="4639" width="0" style="109" hidden="1" customWidth="1"/>
    <col min="4640" max="4640" width="12" style="109" bestFit="1" customWidth="1"/>
    <col min="4641" max="4641" width="10" style="109" bestFit="1" customWidth="1"/>
    <col min="4642" max="4642" width="12.59765625" style="109" bestFit="1" customWidth="1"/>
    <col min="4643" max="4643" width="11" style="109" bestFit="1" customWidth="1"/>
    <col min="4644" max="4644" width="12.3984375" style="109" bestFit="1" customWidth="1"/>
    <col min="4645" max="4645" width="16.59765625" style="109" bestFit="1" customWidth="1"/>
    <col min="4646" max="4646" width="13" style="109" bestFit="1" customWidth="1"/>
    <col min="4647" max="4647" width="13.3984375" style="109" bestFit="1" customWidth="1"/>
    <col min="4648" max="4648" width="11.86328125" style="109" bestFit="1" customWidth="1"/>
    <col min="4649" max="4649" width="11" style="109" bestFit="1" customWidth="1"/>
    <col min="4650" max="4650" width="9.1328125" style="109"/>
    <col min="4651" max="4651" width="10" style="109" bestFit="1" customWidth="1"/>
    <col min="4652" max="4864" width="9.1328125" style="109"/>
    <col min="4865" max="4865" width="3.86328125" style="109" customWidth="1"/>
    <col min="4866" max="4866" width="14.86328125" style="109" customWidth="1"/>
    <col min="4867" max="4867" width="4.59765625" style="109" bestFit="1" customWidth="1"/>
    <col min="4868" max="4868" width="13" style="109" bestFit="1" customWidth="1"/>
    <col min="4869" max="4869" width="12" style="109" bestFit="1" customWidth="1"/>
    <col min="4870" max="4870" width="11" style="109" customWidth="1"/>
    <col min="4871" max="4871" width="12" style="109" customWidth="1"/>
    <col min="4872" max="4872" width="12.1328125" style="109" customWidth="1"/>
    <col min="4873" max="4873" width="11.1328125" style="109" customWidth="1"/>
    <col min="4874" max="4895" width="0" style="109" hidden="1" customWidth="1"/>
    <col min="4896" max="4896" width="12" style="109" bestFit="1" customWidth="1"/>
    <col min="4897" max="4897" width="10" style="109" bestFit="1" customWidth="1"/>
    <col min="4898" max="4898" width="12.59765625" style="109" bestFit="1" customWidth="1"/>
    <col min="4899" max="4899" width="11" style="109" bestFit="1" customWidth="1"/>
    <col min="4900" max="4900" width="12.3984375" style="109" bestFit="1" customWidth="1"/>
    <col min="4901" max="4901" width="16.59765625" style="109" bestFit="1" customWidth="1"/>
    <col min="4902" max="4902" width="13" style="109" bestFit="1" customWidth="1"/>
    <col min="4903" max="4903" width="13.3984375" style="109" bestFit="1" customWidth="1"/>
    <col min="4904" max="4904" width="11.86328125" style="109" bestFit="1" customWidth="1"/>
    <col min="4905" max="4905" width="11" style="109" bestFit="1" customWidth="1"/>
    <col min="4906" max="4906" width="9.1328125" style="109"/>
    <col min="4907" max="4907" width="10" style="109" bestFit="1" customWidth="1"/>
    <col min="4908" max="5120" width="9.1328125" style="109"/>
    <col min="5121" max="5121" width="3.86328125" style="109" customWidth="1"/>
    <col min="5122" max="5122" width="14.86328125" style="109" customWidth="1"/>
    <col min="5123" max="5123" width="4.59765625" style="109" bestFit="1" customWidth="1"/>
    <col min="5124" max="5124" width="13" style="109" bestFit="1" customWidth="1"/>
    <col min="5125" max="5125" width="12" style="109" bestFit="1" customWidth="1"/>
    <col min="5126" max="5126" width="11" style="109" customWidth="1"/>
    <col min="5127" max="5127" width="12" style="109" customWidth="1"/>
    <col min="5128" max="5128" width="12.1328125" style="109" customWidth="1"/>
    <col min="5129" max="5129" width="11.1328125" style="109" customWidth="1"/>
    <col min="5130" max="5151" width="0" style="109" hidden="1" customWidth="1"/>
    <col min="5152" max="5152" width="12" style="109" bestFit="1" customWidth="1"/>
    <col min="5153" max="5153" width="10" style="109" bestFit="1" customWidth="1"/>
    <col min="5154" max="5154" width="12.59765625" style="109" bestFit="1" customWidth="1"/>
    <col min="5155" max="5155" width="11" style="109" bestFit="1" customWidth="1"/>
    <col min="5156" max="5156" width="12.3984375" style="109" bestFit="1" customWidth="1"/>
    <col min="5157" max="5157" width="16.59765625" style="109" bestFit="1" customWidth="1"/>
    <col min="5158" max="5158" width="13" style="109" bestFit="1" customWidth="1"/>
    <col min="5159" max="5159" width="13.3984375" style="109" bestFit="1" customWidth="1"/>
    <col min="5160" max="5160" width="11.86328125" style="109" bestFit="1" customWidth="1"/>
    <col min="5161" max="5161" width="11" style="109" bestFit="1" customWidth="1"/>
    <col min="5162" max="5162" width="9.1328125" style="109"/>
    <col min="5163" max="5163" width="10" style="109" bestFit="1" customWidth="1"/>
    <col min="5164" max="5376" width="9.1328125" style="109"/>
    <col min="5377" max="5377" width="3.86328125" style="109" customWidth="1"/>
    <col min="5378" max="5378" width="14.86328125" style="109" customWidth="1"/>
    <col min="5379" max="5379" width="4.59765625" style="109" bestFit="1" customWidth="1"/>
    <col min="5380" max="5380" width="13" style="109" bestFit="1" customWidth="1"/>
    <col min="5381" max="5381" width="12" style="109" bestFit="1" customWidth="1"/>
    <col min="5382" max="5382" width="11" style="109" customWidth="1"/>
    <col min="5383" max="5383" width="12" style="109" customWidth="1"/>
    <col min="5384" max="5384" width="12.1328125" style="109" customWidth="1"/>
    <col min="5385" max="5385" width="11.1328125" style="109" customWidth="1"/>
    <col min="5386" max="5407" width="0" style="109" hidden="1" customWidth="1"/>
    <col min="5408" max="5408" width="12" style="109" bestFit="1" customWidth="1"/>
    <col min="5409" max="5409" width="10" style="109" bestFit="1" customWidth="1"/>
    <col min="5410" max="5410" width="12.59765625" style="109" bestFit="1" customWidth="1"/>
    <col min="5411" max="5411" width="11" style="109" bestFit="1" customWidth="1"/>
    <col min="5412" max="5412" width="12.3984375" style="109" bestFit="1" customWidth="1"/>
    <col min="5413" max="5413" width="16.59765625" style="109" bestFit="1" customWidth="1"/>
    <col min="5414" max="5414" width="13" style="109" bestFit="1" customWidth="1"/>
    <col min="5415" max="5415" width="13.3984375" style="109" bestFit="1" customWidth="1"/>
    <col min="5416" max="5416" width="11.86328125" style="109" bestFit="1" customWidth="1"/>
    <col min="5417" max="5417" width="11" style="109" bestFit="1" customWidth="1"/>
    <col min="5418" max="5418" width="9.1328125" style="109"/>
    <col min="5419" max="5419" width="10" style="109" bestFit="1" customWidth="1"/>
    <col min="5420" max="5632" width="9.1328125" style="109"/>
    <col min="5633" max="5633" width="3.86328125" style="109" customWidth="1"/>
    <col min="5634" max="5634" width="14.86328125" style="109" customWidth="1"/>
    <col min="5635" max="5635" width="4.59765625" style="109" bestFit="1" customWidth="1"/>
    <col min="5636" max="5636" width="13" style="109" bestFit="1" customWidth="1"/>
    <col min="5637" max="5637" width="12" style="109" bestFit="1" customWidth="1"/>
    <col min="5638" max="5638" width="11" style="109" customWidth="1"/>
    <col min="5639" max="5639" width="12" style="109" customWidth="1"/>
    <col min="5640" max="5640" width="12.1328125" style="109" customWidth="1"/>
    <col min="5641" max="5641" width="11.1328125" style="109" customWidth="1"/>
    <col min="5642" max="5663" width="0" style="109" hidden="1" customWidth="1"/>
    <col min="5664" max="5664" width="12" style="109" bestFit="1" customWidth="1"/>
    <col min="5665" max="5665" width="10" style="109" bestFit="1" customWidth="1"/>
    <col min="5666" max="5666" width="12.59765625" style="109" bestFit="1" customWidth="1"/>
    <col min="5667" max="5667" width="11" style="109" bestFit="1" customWidth="1"/>
    <col min="5668" max="5668" width="12.3984375" style="109" bestFit="1" customWidth="1"/>
    <col min="5669" max="5669" width="16.59765625" style="109" bestFit="1" customWidth="1"/>
    <col min="5670" max="5670" width="13" style="109" bestFit="1" customWidth="1"/>
    <col min="5671" max="5671" width="13.3984375" style="109" bestFit="1" customWidth="1"/>
    <col min="5672" max="5672" width="11.86328125" style="109" bestFit="1" customWidth="1"/>
    <col min="5673" max="5673" width="11" style="109" bestFit="1" customWidth="1"/>
    <col min="5674" max="5674" width="9.1328125" style="109"/>
    <col min="5675" max="5675" width="10" style="109" bestFit="1" customWidth="1"/>
    <col min="5676" max="5888" width="9.1328125" style="109"/>
    <col min="5889" max="5889" width="3.86328125" style="109" customWidth="1"/>
    <col min="5890" max="5890" width="14.86328125" style="109" customWidth="1"/>
    <col min="5891" max="5891" width="4.59765625" style="109" bestFit="1" customWidth="1"/>
    <col min="5892" max="5892" width="13" style="109" bestFit="1" customWidth="1"/>
    <col min="5893" max="5893" width="12" style="109" bestFit="1" customWidth="1"/>
    <col min="5894" max="5894" width="11" style="109" customWidth="1"/>
    <col min="5895" max="5895" width="12" style="109" customWidth="1"/>
    <col min="5896" max="5896" width="12.1328125" style="109" customWidth="1"/>
    <col min="5897" max="5897" width="11.1328125" style="109" customWidth="1"/>
    <col min="5898" max="5919" width="0" style="109" hidden="1" customWidth="1"/>
    <col min="5920" max="5920" width="12" style="109" bestFit="1" customWidth="1"/>
    <col min="5921" max="5921" width="10" style="109" bestFit="1" customWidth="1"/>
    <col min="5922" max="5922" width="12.59765625" style="109" bestFit="1" customWidth="1"/>
    <col min="5923" max="5923" width="11" style="109" bestFit="1" customWidth="1"/>
    <col min="5924" max="5924" width="12.3984375" style="109" bestFit="1" customWidth="1"/>
    <col min="5925" max="5925" width="16.59765625" style="109" bestFit="1" customWidth="1"/>
    <col min="5926" max="5926" width="13" style="109" bestFit="1" customWidth="1"/>
    <col min="5927" max="5927" width="13.3984375" style="109" bestFit="1" customWidth="1"/>
    <col min="5928" max="5928" width="11.86328125" style="109" bestFit="1" customWidth="1"/>
    <col min="5929" max="5929" width="11" style="109" bestFit="1" customWidth="1"/>
    <col min="5930" max="5930" width="9.1328125" style="109"/>
    <col min="5931" max="5931" width="10" style="109" bestFit="1" customWidth="1"/>
    <col min="5932" max="6144" width="9.1328125" style="109"/>
    <col min="6145" max="6145" width="3.86328125" style="109" customWidth="1"/>
    <col min="6146" max="6146" width="14.86328125" style="109" customWidth="1"/>
    <col min="6147" max="6147" width="4.59765625" style="109" bestFit="1" customWidth="1"/>
    <col min="6148" max="6148" width="13" style="109" bestFit="1" customWidth="1"/>
    <col min="6149" max="6149" width="12" style="109" bestFit="1" customWidth="1"/>
    <col min="6150" max="6150" width="11" style="109" customWidth="1"/>
    <col min="6151" max="6151" width="12" style="109" customWidth="1"/>
    <col min="6152" max="6152" width="12.1328125" style="109" customWidth="1"/>
    <col min="6153" max="6153" width="11.1328125" style="109" customWidth="1"/>
    <col min="6154" max="6175" width="0" style="109" hidden="1" customWidth="1"/>
    <col min="6176" max="6176" width="12" style="109" bestFit="1" customWidth="1"/>
    <col min="6177" max="6177" width="10" style="109" bestFit="1" customWidth="1"/>
    <col min="6178" max="6178" width="12.59765625" style="109" bestFit="1" customWidth="1"/>
    <col min="6179" max="6179" width="11" style="109" bestFit="1" customWidth="1"/>
    <col min="6180" max="6180" width="12.3984375" style="109" bestFit="1" customWidth="1"/>
    <col min="6181" max="6181" width="16.59765625" style="109" bestFit="1" customWidth="1"/>
    <col min="6182" max="6182" width="13" style="109" bestFit="1" customWidth="1"/>
    <col min="6183" max="6183" width="13.3984375" style="109" bestFit="1" customWidth="1"/>
    <col min="6184" max="6184" width="11.86328125" style="109" bestFit="1" customWidth="1"/>
    <col min="6185" max="6185" width="11" style="109" bestFit="1" customWidth="1"/>
    <col min="6186" max="6186" width="9.1328125" style="109"/>
    <col min="6187" max="6187" width="10" style="109" bestFit="1" customWidth="1"/>
    <col min="6188" max="6400" width="9.1328125" style="109"/>
    <col min="6401" max="6401" width="3.86328125" style="109" customWidth="1"/>
    <col min="6402" max="6402" width="14.86328125" style="109" customWidth="1"/>
    <col min="6403" max="6403" width="4.59765625" style="109" bestFit="1" customWidth="1"/>
    <col min="6404" max="6404" width="13" style="109" bestFit="1" customWidth="1"/>
    <col min="6405" max="6405" width="12" style="109" bestFit="1" customWidth="1"/>
    <col min="6406" max="6406" width="11" style="109" customWidth="1"/>
    <col min="6407" max="6407" width="12" style="109" customWidth="1"/>
    <col min="6408" max="6408" width="12.1328125" style="109" customWidth="1"/>
    <col min="6409" max="6409" width="11.1328125" style="109" customWidth="1"/>
    <col min="6410" max="6431" width="0" style="109" hidden="1" customWidth="1"/>
    <col min="6432" max="6432" width="12" style="109" bestFit="1" customWidth="1"/>
    <col min="6433" max="6433" width="10" style="109" bestFit="1" customWidth="1"/>
    <col min="6434" max="6434" width="12.59765625" style="109" bestFit="1" customWidth="1"/>
    <col min="6435" max="6435" width="11" style="109" bestFit="1" customWidth="1"/>
    <col min="6436" max="6436" width="12.3984375" style="109" bestFit="1" customWidth="1"/>
    <col min="6437" max="6437" width="16.59765625" style="109" bestFit="1" customWidth="1"/>
    <col min="6438" max="6438" width="13" style="109" bestFit="1" customWidth="1"/>
    <col min="6439" max="6439" width="13.3984375" style="109" bestFit="1" customWidth="1"/>
    <col min="6440" max="6440" width="11.86328125" style="109" bestFit="1" customWidth="1"/>
    <col min="6441" max="6441" width="11" style="109" bestFit="1" customWidth="1"/>
    <col min="6442" max="6442" width="9.1328125" style="109"/>
    <col min="6443" max="6443" width="10" style="109" bestFit="1" customWidth="1"/>
    <col min="6444" max="6656" width="9.1328125" style="109"/>
    <col min="6657" max="6657" width="3.86328125" style="109" customWidth="1"/>
    <col min="6658" max="6658" width="14.86328125" style="109" customWidth="1"/>
    <col min="6659" max="6659" width="4.59765625" style="109" bestFit="1" customWidth="1"/>
    <col min="6660" max="6660" width="13" style="109" bestFit="1" customWidth="1"/>
    <col min="6661" max="6661" width="12" style="109" bestFit="1" customWidth="1"/>
    <col min="6662" max="6662" width="11" style="109" customWidth="1"/>
    <col min="6663" max="6663" width="12" style="109" customWidth="1"/>
    <col min="6664" max="6664" width="12.1328125" style="109" customWidth="1"/>
    <col min="6665" max="6665" width="11.1328125" style="109" customWidth="1"/>
    <col min="6666" max="6687" width="0" style="109" hidden="1" customWidth="1"/>
    <col min="6688" max="6688" width="12" style="109" bestFit="1" customWidth="1"/>
    <col min="6689" max="6689" width="10" style="109" bestFit="1" customWidth="1"/>
    <col min="6690" max="6690" width="12.59765625" style="109" bestFit="1" customWidth="1"/>
    <col min="6691" max="6691" width="11" style="109" bestFit="1" customWidth="1"/>
    <col min="6692" max="6692" width="12.3984375" style="109" bestFit="1" customWidth="1"/>
    <col min="6693" max="6693" width="16.59765625" style="109" bestFit="1" customWidth="1"/>
    <col min="6694" max="6694" width="13" style="109" bestFit="1" customWidth="1"/>
    <col min="6695" max="6695" width="13.3984375" style="109" bestFit="1" customWidth="1"/>
    <col min="6696" max="6696" width="11.86328125" style="109" bestFit="1" customWidth="1"/>
    <col min="6697" max="6697" width="11" style="109" bestFit="1" customWidth="1"/>
    <col min="6698" max="6698" width="9.1328125" style="109"/>
    <col min="6699" max="6699" width="10" style="109" bestFit="1" customWidth="1"/>
    <col min="6700" max="6912" width="9.1328125" style="109"/>
    <col min="6913" max="6913" width="3.86328125" style="109" customWidth="1"/>
    <col min="6914" max="6914" width="14.86328125" style="109" customWidth="1"/>
    <col min="6915" max="6915" width="4.59765625" style="109" bestFit="1" customWidth="1"/>
    <col min="6916" max="6916" width="13" style="109" bestFit="1" customWidth="1"/>
    <col min="6917" max="6917" width="12" style="109" bestFit="1" customWidth="1"/>
    <col min="6918" max="6918" width="11" style="109" customWidth="1"/>
    <col min="6919" max="6919" width="12" style="109" customWidth="1"/>
    <col min="6920" max="6920" width="12.1328125" style="109" customWidth="1"/>
    <col min="6921" max="6921" width="11.1328125" style="109" customWidth="1"/>
    <col min="6922" max="6943" width="0" style="109" hidden="1" customWidth="1"/>
    <col min="6944" max="6944" width="12" style="109" bestFit="1" customWidth="1"/>
    <col min="6945" max="6945" width="10" style="109" bestFit="1" customWidth="1"/>
    <col min="6946" max="6946" width="12.59765625" style="109" bestFit="1" customWidth="1"/>
    <col min="6947" max="6947" width="11" style="109" bestFit="1" customWidth="1"/>
    <col min="6948" max="6948" width="12.3984375" style="109" bestFit="1" customWidth="1"/>
    <col min="6949" max="6949" width="16.59765625" style="109" bestFit="1" customWidth="1"/>
    <col min="6950" max="6950" width="13" style="109" bestFit="1" customWidth="1"/>
    <col min="6951" max="6951" width="13.3984375" style="109" bestFit="1" customWidth="1"/>
    <col min="6952" max="6952" width="11.86328125" style="109" bestFit="1" customWidth="1"/>
    <col min="6953" max="6953" width="11" style="109" bestFit="1" customWidth="1"/>
    <col min="6954" max="6954" width="9.1328125" style="109"/>
    <col min="6955" max="6955" width="10" style="109" bestFit="1" customWidth="1"/>
    <col min="6956" max="7168" width="9.1328125" style="109"/>
    <col min="7169" max="7169" width="3.86328125" style="109" customWidth="1"/>
    <col min="7170" max="7170" width="14.86328125" style="109" customWidth="1"/>
    <col min="7171" max="7171" width="4.59765625" style="109" bestFit="1" customWidth="1"/>
    <col min="7172" max="7172" width="13" style="109" bestFit="1" customWidth="1"/>
    <col min="7173" max="7173" width="12" style="109" bestFit="1" customWidth="1"/>
    <col min="7174" max="7174" width="11" style="109" customWidth="1"/>
    <col min="7175" max="7175" width="12" style="109" customWidth="1"/>
    <col min="7176" max="7176" width="12.1328125" style="109" customWidth="1"/>
    <col min="7177" max="7177" width="11.1328125" style="109" customWidth="1"/>
    <col min="7178" max="7199" width="0" style="109" hidden="1" customWidth="1"/>
    <col min="7200" max="7200" width="12" style="109" bestFit="1" customWidth="1"/>
    <col min="7201" max="7201" width="10" style="109" bestFit="1" customWidth="1"/>
    <col min="7202" max="7202" width="12.59765625" style="109" bestFit="1" customWidth="1"/>
    <col min="7203" max="7203" width="11" style="109" bestFit="1" customWidth="1"/>
    <col min="7204" max="7204" width="12.3984375" style="109" bestFit="1" customWidth="1"/>
    <col min="7205" max="7205" width="16.59765625" style="109" bestFit="1" customWidth="1"/>
    <col min="7206" max="7206" width="13" style="109" bestFit="1" customWidth="1"/>
    <col min="7207" max="7207" width="13.3984375" style="109" bestFit="1" customWidth="1"/>
    <col min="7208" max="7208" width="11.86328125" style="109" bestFit="1" customWidth="1"/>
    <col min="7209" max="7209" width="11" style="109" bestFit="1" customWidth="1"/>
    <col min="7210" max="7210" width="9.1328125" style="109"/>
    <col min="7211" max="7211" width="10" style="109" bestFit="1" customWidth="1"/>
    <col min="7212" max="7424" width="9.1328125" style="109"/>
    <col min="7425" max="7425" width="3.86328125" style="109" customWidth="1"/>
    <col min="7426" max="7426" width="14.86328125" style="109" customWidth="1"/>
    <col min="7427" max="7427" width="4.59765625" style="109" bestFit="1" customWidth="1"/>
    <col min="7428" max="7428" width="13" style="109" bestFit="1" customWidth="1"/>
    <col min="7429" max="7429" width="12" style="109" bestFit="1" customWidth="1"/>
    <col min="7430" max="7430" width="11" style="109" customWidth="1"/>
    <col min="7431" max="7431" width="12" style="109" customWidth="1"/>
    <col min="7432" max="7432" width="12.1328125" style="109" customWidth="1"/>
    <col min="7433" max="7433" width="11.1328125" style="109" customWidth="1"/>
    <col min="7434" max="7455" width="0" style="109" hidden="1" customWidth="1"/>
    <col min="7456" max="7456" width="12" style="109" bestFit="1" customWidth="1"/>
    <col min="7457" max="7457" width="10" style="109" bestFit="1" customWidth="1"/>
    <col min="7458" max="7458" width="12.59765625" style="109" bestFit="1" customWidth="1"/>
    <col min="7459" max="7459" width="11" style="109" bestFit="1" customWidth="1"/>
    <col min="7460" max="7460" width="12.3984375" style="109" bestFit="1" customWidth="1"/>
    <col min="7461" max="7461" width="16.59765625" style="109" bestFit="1" customWidth="1"/>
    <col min="7462" max="7462" width="13" style="109" bestFit="1" customWidth="1"/>
    <col min="7463" max="7463" width="13.3984375" style="109" bestFit="1" customWidth="1"/>
    <col min="7464" max="7464" width="11.86328125" style="109" bestFit="1" customWidth="1"/>
    <col min="7465" max="7465" width="11" style="109" bestFit="1" customWidth="1"/>
    <col min="7466" max="7466" width="9.1328125" style="109"/>
    <col min="7467" max="7467" width="10" style="109" bestFit="1" customWidth="1"/>
    <col min="7468" max="7680" width="9.1328125" style="109"/>
    <col min="7681" max="7681" width="3.86328125" style="109" customWidth="1"/>
    <col min="7682" max="7682" width="14.86328125" style="109" customWidth="1"/>
    <col min="7683" max="7683" width="4.59765625" style="109" bestFit="1" customWidth="1"/>
    <col min="7684" max="7684" width="13" style="109" bestFit="1" customWidth="1"/>
    <col min="7685" max="7685" width="12" style="109" bestFit="1" customWidth="1"/>
    <col min="7686" max="7686" width="11" style="109" customWidth="1"/>
    <col min="7687" max="7687" width="12" style="109" customWidth="1"/>
    <col min="7688" max="7688" width="12.1328125" style="109" customWidth="1"/>
    <col min="7689" max="7689" width="11.1328125" style="109" customWidth="1"/>
    <col min="7690" max="7711" width="0" style="109" hidden="1" customWidth="1"/>
    <col min="7712" max="7712" width="12" style="109" bestFit="1" customWidth="1"/>
    <col min="7713" max="7713" width="10" style="109" bestFit="1" customWidth="1"/>
    <col min="7714" max="7714" width="12.59765625" style="109" bestFit="1" customWidth="1"/>
    <col min="7715" max="7715" width="11" style="109" bestFit="1" customWidth="1"/>
    <col min="7716" max="7716" width="12.3984375" style="109" bestFit="1" customWidth="1"/>
    <col min="7717" max="7717" width="16.59765625" style="109" bestFit="1" customWidth="1"/>
    <col min="7718" max="7718" width="13" style="109" bestFit="1" customWidth="1"/>
    <col min="7719" max="7719" width="13.3984375" style="109" bestFit="1" customWidth="1"/>
    <col min="7720" max="7720" width="11.86328125" style="109" bestFit="1" customWidth="1"/>
    <col min="7721" max="7721" width="11" style="109" bestFit="1" customWidth="1"/>
    <col min="7722" max="7722" width="9.1328125" style="109"/>
    <col min="7723" max="7723" width="10" style="109" bestFit="1" customWidth="1"/>
    <col min="7724" max="7936" width="9.1328125" style="109"/>
    <col min="7937" max="7937" width="3.86328125" style="109" customWidth="1"/>
    <col min="7938" max="7938" width="14.86328125" style="109" customWidth="1"/>
    <col min="7939" max="7939" width="4.59765625" style="109" bestFit="1" customWidth="1"/>
    <col min="7940" max="7940" width="13" style="109" bestFit="1" customWidth="1"/>
    <col min="7941" max="7941" width="12" style="109" bestFit="1" customWidth="1"/>
    <col min="7942" max="7942" width="11" style="109" customWidth="1"/>
    <col min="7943" max="7943" width="12" style="109" customWidth="1"/>
    <col min="7944" max="7944" width="12.1328125" style="109" customWidth="1"/>
    <col min="7945" max="7945" width="11.1328125" style="109" customWidth="1"/>
    <col min="7946" max="7967" width="0" style="109" hidden="1" customWidth="1"/>
    <col min="7968" max="7968" width="12" style="109" bestFit="1" customWidth="1"/>
    <col min="7969" max="7969" width="10" style="109" bestFit="1" customWidth="1"/>
    <col min="7970" max="7970" width="12.59765625" style="109" bestFit="1" customWidth="1"/>
    <col min="7971" max="7971" width="11" style="109" bestFit="1" customWidth="1"/>
    <col min="7972" max="7972" width="12.3984375" style="109" bestFit="1" customWidth="1"/>
    <col min="7973" max="7973" width="16.59765625" style="109" bestFit="1" customWidth="1"/>
    <col min="7974" max="7974" width="13" style="109" bestFit="1" customWidth="1"/>
    <col min="7975" max="7975" width="13.3984375" style="109" bestFit="1" customWidth="1"/>
    <col min="7976" max="7976" width="11.86328125" style="109" bestFit="1" customWidth="1"/>
    <col min="7977" max="7977" width="11" style="109" bestFit="1" customWidth="1"/>
    <col min="7978" max="7978" width="9.1328125" style="109"/>
    <col min="7979" max="7979" width="10" style="109" bestFit="1" customWidth="1"/>
    <col min="7980" max="8192" width="9.1328125" style="109"/>
    <col min="8193" max="8193" width="3.86328125" style="109" customWidth="1"/>
    <col min="8194" max="8194" width="14.86328125" style="109" customWidth="1"/>
    <col min="8195" max="8195" width="4.59765625" style="109" bestFit="1" customWidth="1"/>
    <col min="8196" max="8196" width="13" style="109" bestFit="1" customWidth="1"/>
    <col min="8197" max="8197" width="12" style="109" bestFit="1" customWidth="1"/>
    <col min="8198" max="8198" width="11" style="109" customWidth="1"/>
    <col min="8199" max="8199" width="12" style="109" customWidth="1"/>
    <col min="8200" max="8200" width="12.1328125" style="109" customWidth="1"/>
    <col min="8201" max="8201" width="11.1328125" style="109" customWidth="1"/>
    <col min="8202" max="8223" width="0" style="109" hidden="1" customWidth="1"/>
    <col min="8224" max="8224" width="12" style="109" bestFit="1" customWidth="1"/>
    <col min="8225" max="8225" width="10" style="109" bestFit="1" customWidth="1"/>
    <col min="8226" max="8226" width="12.59765625" style="109" bestFit="1" customWidth="1"/>
    <col min="8227" max="8227" width="11" style="109" bestFit="1" customWidth="1"/>
    <col min="8228" max="8228" width="12.3984375" style="109" bestFit="1" customWidth="1"/>
    <col min="8229" max="8229" width="16.59765625" style="109" bestFit="1" customWidth="1"/>
    <col min="8230" max="8230" width="13" style="109" bestFit="1" customWidth="1"/>
    <col min="8231" max="8231" width="13.3984375" style="109" bestFit="1" customWidth="1"/>
    <col min="8232" max="8232" width="11.86328125" style="109" bestFit="1" customWidth="1"/>
    <col min="8233" max="8233" width="11" style="109" bestFit="1" customWidth="1"/>
    <col min="8234" max="8234" width="9.1328125" style="109"/>
    <col min="8235" max="8235" width="10" style="109" bestFit="1" customWidth="1"/>
    <col min="8236" max="8448" width="9.1328125" style="109"/>
    <col min="8449" max="8449" width="3.86328125" style="109" customWidth="1"/>
    <col min="8450" max="8450" width="14.86328125" style="109" customWidth="1"/>
    <col min="8451" max="8451" width="4.59765625" style="109" bestFit="1" customWidth="1"/>
    <col min="8452" max="8452" width="13" style="109" bestFit="1" customWidth="1"/>
    <col min="8453" max="8453" width="12" style="109" bestFit="1" customWidth="1"/>
    <col min="8454" max="8454" width="11" style="109" customWidth="1"/>
    <col min="8455" max="8455" width="12" style="109" customWidth="1"/>
    <col min="8456" max="8456" width="12.1328125" style="109" customWidth="1"/>
    <col min="8457" max="8457" width="11.1328125" style="109" customWidth="1"/>
    <col min="8458" max="8479" width="0" style="109" hidden="1" customWidth="1"/>
    <col min="8480" max="8480" width="12" style="109" bestFit="1" customWidth="1"/>
    <col min="8481" max="8481" width="10" style="109" bestFit="1" customWidth="1"/>
    <col min="8482" max="8482" width="12.59765625" style="109" bestFit="1" customWidth="1"/>
    <col min="8483" max="8483" width="11" style="109" bestFit="1" customWidth="1"/>
    <col min="8484" max="8484" width="12.3984375" style="109" bestFit="1" customWidth="1"/>
    <col min="8485" max="8485" width="16.59765625" style="109" bestFit="1" customWidth="1"/>
    <col min="8486" max="8486" width="13" style="109" bestFit="1" customWidth="1"/>
    <col min="8487" max="8487" width="13.3984375" style="109" bestFit="1" customWidth="1"/>
    <col min="8488" max="8488" width="11.86328125" style="109" bestFit="1" customWidth="1"/>
    <col min="8489" max="8489" width="11" style="109" bestFit="1" customWidth="1"/>
    <col min="8490" max="8490" width="9.1328125" style="109"/>
    <col min="8491" max="8491" width="10" style="109" bestFit="1" customWidth="1"/>
    <col min="8492" max="8704" width="9.1328125" style="109"/>
    <col min="8705" max="8705" width="3.86328125" style="109" customWidth="1"/>
    <col min="8706" max="8706" width="14.86328125" style="109" customWidth="1"/>
    <col min="8707" max="8707" width="4.59765625" style="109" bestFit="1" customWidth="1"/>
    <col min="8708" max="8708" width="13" style="109" bestFit="1" customWidth="1"/>
    <col min="8709" max="8709" width="12" style="109" bestFit="1" customWidth="1"/>
    <col min="8710" max="8710" width="11" style="109" customWidth="1"/>
    <col min="8711" max="8711" width="12" style="109" customWidth="1"/>
    <col min="8712" max="8712" width="12.1328125" style="109" customWidth="1"/>
    <col min="8713" max="8713" width="11.1328125" style="109" customWidth="1"/>
    <col min="8714" max="8735" width="0" style="109" hidden="1" customWidth="1"/>
    <col min="8736" max="8736" width="12" style="109" bestFit="1" customWidth="1"/>
    <col min="8737" max="8737" width="10" style="109" bestFit="1" customWidth="1"/>
    <col min="8738" max="8738" width="12.59765625" style="109" bestFit="1" customWidth="1"/>
    <col min="8739" max="8739" width="11" style="109" bestFit="1" customWidth="1"/>
    <col min="8740" max="8740" width="12.3984375" style="109" bestFit="1" customWidth="1"/>
    <col min="8741" max="8741" width="16.59765625" style="109" bestFit="1" customWidth="1"/>
    <col min="8742" max="8742" width="13" style="109" bestFit="1" customWidth="1"/>
    <col min="8743" max="8743" width="13.3984375" style="109" bestFit="1" customWidth="1"/>
    <col min="8744" max="8744" width="11.86328125" style="109" bestFit="1" customWidth="1"/>
    <col min="8745" max="8745" width="11" style="109" bestFit="1" customWidth="1"/>
    <col min="8746" max="8746" width="9.1328125" style="109"/>
    <col min="8747" max="8747" width="10" style="109" bestFit="1" customWidth="1"/>
    <col min="8748" max="8960" width="9.1328125" style="109"/>
    <col min="8961" max="8961" width="3.86328125" style="109" customWidth="1"/>
    <col min="8962" max="8962" width="14.86328125" style="109" customWidth="1"/>
    <col min="8963" max="8963" width="4.59765625" style="109" bestFit="1" customWidth="1"/>
    <col min="8964" max="8964" width="13" style="109" bestFit="1" customWidth="1"/>
    <col min="8965" max="8965" width="12" style="109" bestFit="1" customWidth="1"/>
    <col min="8966" max="8966" width="11" style="109" customWidth="1"/>
    <col min="8967" max="8967" width="12" style="109" customWidth="1"/>
    <col min="8968" max="8968" width="12.1328125" style="109" customWidth="1"/>
    <col min="8969" max="8969" width="11.1328125" style="109" customWidth="1"/>
    <col min="8970" max="8991" width="0" style="109" hidden="1" customWidth="1"/>
    <col min="8992" max="8992" width="12" style="109" bestFit="1" customWidth="1"/>
    <col min="8993" max="8993" width="10" style="109" bestFit="1" customWidth="1"/>
    <col min="8994" max="8994" width="12.59765625" style="109" bestFit="1" customWidth="1"/>
    <col min="8995" max="8995" width="11" style="109" bestFit="1" customWidth="1"/>
    <col min="8996" max="8996" width="12.3984375" style="109" bestFit="1" customWidth="1"/>
    <col min="8997" max="8997" width="16.59765625" style="109" bestFit="1" customWidth="1"/>
    <col min="8998" max="8998" width="13" style="109" bestFit="1" customWidth="1"/>
    <col min="8999" max="8999" width="13.3984375" style="109" bestFit="1" customWidth="1"/>
    <col min="9000" max="9000" width="11.86328125" style="109" bestFit="1" customWidth="1"/>
    <col min="9001" max="9001" width="11" style="109" bestFit="1" customWidth="1"/>
    <col min="9002" max="9002" width="9.1328125" style="109"/>
    <col min="9003" max="9003" width="10" style="109" bestFit="1" customWidth="1"/>
    <col min="9004" max="9216" width="9.1328125" style="109"/>
    <col min="9217" max="9217" width="3.86328125" style="109" customWidth="1"/>
    <col min="9218" max="9218" width="14.86328125" style="109" customWidth="1"/>
    <col min="9219" max="9219" width="4.59765625" style="109" bestFit="1" customWidth="1"/>
    <col min="9220" max="9220" width="13" style="109" bestFit="1" customWidth="1"/>
    <col min="9221" max="9221" width="12" style="109" bestFit="1" customWidth="1"/>
    <col min="9222" max="9222" width="11" style="109" customWidth="1"/>
    <col min="9223" max="9223" width="12" style="109" customWidth="1"/>
    <col min="9224" max="9224" width="12.1328125" style="109" customWidth="1"/>
    <col min="9225" max="9225" width="11.1328125" style="109" customWidth="1"/>
    <col min="9226" max="9247" width="0" style="109" hidden="1" customWidth="1"/>
    <col min="9248" max="9248" width="12" style="109" bestFit="1" customWidth="1"/>
    <col min="9249" max="9249" width="10" style="109" bestFit="1" customWidth="1"/>
    <col min="9250" max="9250" width="12.59765625" style="109" bestFit="1" customWidth="1"/>
    <col min="9251" max="9251" width="11" style="109" bestFit="1" customWidth="1"/>
    <col min="9252" max="9252" width="12.3984375" style="109" bestFit="1" customWidth="1"/>
    <col min="9253" max="9253" width="16.59765625" style="109" bestFit="1" customWidth="1"/>
    <col min="9254" max="9254" width="13" style="109" bestFit="1" customWidth="1"/>
    <col min="9255" max="9255" width="13.3984375" style="109" bestFit="1" customWidth="1"/>
    <col min="9256" max="9256" width="11.86328125" style="109" bestFit="1" customWidth="1"/>
    <col min="9257" max="9257" width="11" style="109" bestFit="1" customWidth="1"/>
    <col min="9258" max="9258" width="9.1328125" style="109"/>
    <col min="9259" max="9259" width="10" style="109" bestFit="1" customWidth="1"/>
    <col min="9260" max="9472" width="9.1328125" style="109"/>
    <col min="9473" max="9473" width="3.86328125" style="109" customWidth="1"/>
    <col min="9474" max="9474" width="14.86328125" style="109" customWidth="1"/>
    <col min="9475" max="9475" width="4.59765625" style="109" bestFit="1" customWidth="1"/>
    <col min="9476" max="9476" width="13" style="109" bestFit="1" customWidth="1"/>
    <col min="9477" max="9477" width="12" style="109" bestFit="1" customWidth="1"/>
    <col min="9478" max="9478" width="11" style="109" customWidth="1"/>
    <col min="9479" max="9479" width="12" style="109" customWidth="1"/>
    <col min="9480" max="9480" width="12.1328125" style="109" customWidth="1"/>
    <col min="9481" max="9481" width="11.1328125" style="109" customWidth="1"/>
    <col min="9482" max="9503" width="0" style="109" hidden="1" customWidth="1"/>
    <col min="9504" max="9504" width="12" style="109" bestFit="1" customWidth="1"/>
    <col min="9505" max="9505" width="10" style="109" bestFit="1" customWidth="1"/>
    <col min="9506" max="9506" width="12.59765625" style="109" bestFit="1" customWidth="1"/>
    <col min="9507" max="9507" width="11" style="109" bestFit="1" customWidth="1"/>
    <col min="9508" max="9508" width="12.3984375" style="109" bestFit="1" customWidth="1"/>
    <col min="9509" max="9509" width="16.59765625" style="109" bestFit="1" customWidth="1"/>
    <col min="9510" max="9510" width="13" style="109" bestFit="1" customWidth="1"/>
    <col min="9511" max="9511" width="13.3984375" style="109" bestFit="1" customWidth="1"/>
    <col min="9512" max="9512" width="11.86328125" style="109" bestFit="1" customWidth="1"/>
    <col min="9513" max="9513" width="11" style="109" bestFit="1" customWidth="1"/>
    <col min="9514" max="9514" width="9.1328125" style="109"/>
    <col min="9515" max="9515" width="10" style="109" bestFit="1" customWidth="1"/>
    <col min="9516" max="9728" width="9.1328125" style="109"/>
    <col min="9729" max="9729" width="3.86328125" style="109" customWidth="1"/>
    <col min="9730" max="9730" width="14.86328125" style="109" customWidth="1"/>
    <col min="9731" max="9731" width="4.59765625" style="109" bestFit="1" customWidth="1"/>
    <col min="9732" max="9732" width="13" style="109" bestFit="1" customWidth="1"/>
    <col min="9733" max="9733" width="12" style="109" bestFit="1" customWidth="1"/>
    <col min="9734" max="9734" width="11" style="109" customWidth="1"/>
    <col min="9735" max="9735" width="12" style="109" customWidth="1"/>
    <col min="9736" max="9736" width="12.1328125" style="109" customWidth="1"/>
    <col min="9737" max="9737" width="11.1328125" style="109" customWidth="1"/>
    <col min="9738" max="9759" width="0" style="109" hidden="1" customWidth="1"/>
    <col min="9760" max="9760" width="12" style="109" bestFit="1" customWidth="1"/>
    <col min="9761" max="9761" width="10" style="109" bestFit="1" customWidth="1"/>
    <col min="9762" max="9762" width="12.59765625" style="109" bestFit="1" customWidth="1"/>
    <col min="9763" max="9763" width="11" style="109" bestFit="1" customWidth="1"/>
    <col min="9764" max="9764" width="12.3984375" style="109" bestFit="1" customWidth="1"/>
    <col min="9765" max="9765" width="16.59765625" style="109" bestFit="1" customWidth="1"/>
    <col min="9766" max="9766" width="13" style="109" bestFit="1" customWidth="1"/>
    <col min="9767" max="9767" width="13.3984375" style="109" bestFit="1" customWidth="1"/>
    <col min="9768" max="9768" width="11.86328125" style="109" bestFit="1" customWidth="1"/>
    <col min="9769" max="9769" width="11" style="109" bestFit="1" customWidth="1"/>
    <col min="9770" max="9770" width="9.1328125" style="109"/>
    <col min="9771" max="9771" width="10" style="109" bestFit="1" customWidth="1"/>
    <col min="9772" max="9984" width="9.1328125" style="109"/>
    <col min="9985" max="9985" width="3.86328125" style="109" customWidth="1"/>
    <col min="9986" max="9986" width="14.86328125" style="109" customWidth="1"/>
    <col min="9987" max="9987" width="4.59765625" style="109" bestFit="1" customWidth="1"/>
    <col min="9988" max="9988" width="13" style="109" bestFit="1" customWidth="1"/>
    <col min="9989" max="9989" width="12" style="109" bestFit="1" customWidth="1"/>
    <col min="9990" max="9990" width="11" style="109" customWidth="1"/>
    <col min="9991" max="9991" width="12" style="109" customWidth="1"/>
    <col min="9992" max="9992" width="12.1328125" style="109" customWidth="1"/>
    <col min="9993" max="9993" width="11.1328125" style="109" customWidth="1"/>
    <col min="9994" max="10015" width="0" style="109" hidden="1" customWidth="1"/>
    <col min="10016" max="10016" width="12" style="109" bestFit="1" customWidth="1"/>
    <col min="10017" max="10017" width="10" style="109" bestFit="1" customWidth="1"/>
    <col min="10018" max="10018" width="12.59765625" style="109" bestFit="1" customWidth="1"/>
    <col min="10019" max="10019" width="11" style="109" bestFit="1" customWidth="1"/>
    <col min="10020" max="10020" width="12.3984375" style="109" bestFit="1" customWidth="1"/>
    <col min="10021" max="10021" width="16.59765625" style="109" bestFit="1" customWidth="1"/>
    <col min="10022" max="10022" width="13" style="109" bestFit="1" customWidth="1"/>
    <col min="10023" max="10023" width="13.3984375" style="109" bestFit="1" customWidth="1"/>
    <col min="10024" max="10024" width="11.86328125" style="109" bestFit="1" customWidth="1"/>
    <col min="10025" max="10025" width="11" style="109" bestFit="1" customWidth="1"/>
    <col min="10026" max="10026" width="9.1328125" style="109"/>
    <col min="10027" max="10027" width="10" style="109" bestFit="1" customWidth="1"/>
    <col min="10028" max="10240" width="9.1328125" style="109"/>
    <col min="10241" max="10241" width="3.86328125" style="109" customWidth="1"/>
    <col min="10242" max="10242" width="14.86328125" style="109" customWidth="1"/>
    <col min="10243" max="10243" width="4.59765625" style="109" bestFit="1" customWidth="1"/>
    <col min="10244" max="10244" width="13" style="109" bestFit="1" customWidth="1"/>
    <col min="10245" max="10245" width="12" style="109" bestFit="1" customWidth="1"/>
    <col min="10246" max="10246" width="11" style="109" customWidth="1"/>
    <col min="10247" max="10247" width="12" style="109" customWidth="1"/>
    <col min="10248" max="10248" width="12.1328125" style="109" customWidth="1"/>
    <col min="10249" max="10249" width="11.1328125" style="109" customWidth="1"/>
    <col min="10250" max="10271" width="0" style="109" hidden="1" customWidth="1"/>
    <col min="10272" max="10272" width="12" style="109" bestFit="1" customWidth="1"/>
    <col min="10273" max="10273" width="10" style="109" bestFit="1" customWidth="1"/>
    <col min="10274" max="10274" width="12.59765625" style="109" bestFit="1" customWidth="1"/>
    <col min="10275" max="10275" width="11" style="109" bestFit="1" customWidth="1"/>
    <col min="10276" max="10276" width="12.3984375" style="109" bestFit="1" customWidth="1"/>
    <col min="10277" max="10277" width="16.59765625" style="109" bestFit="1" customWidth="1"/>
    <col min="10278" max="10278" width="13" style="109" bestFit="1" customWidth="1"/>
    <col min="10279" max="10279" width="13.3984375" style="109" bestFit="1" customWidth="1"/>
    <col min="10280" max="10280" width="11.86328125" style="109" bestFit="1" customWidth="1"/>
    <col min="10281" max="10281" width="11" style="109" bestFit="1" customWidth="1"/>
    <col min="10282" max="10282" width="9.1328125" style="109"/>
    <col min="10283" max="10283" width="10" style="109" bestFit="1" customWidth="1"/>
    <col min="10284" max="10496" width="9.1328125" style="109"/>
    <col min="10497" max="10497" width="3.86328125" style="109" customWidth="1"/>
    <col min="10498" max="10498" width="14.86328125" style="109" customWidth="1"/>
    <col min="10499" max="10499" width="4.59765625" style="109" bestFit="1" customWidth="1"/>
    <col min="10500" max="10500" width="13" style="109" bestFit="1" customWidth="1"/>
    <col min="10501" max="10501" width="12" style="109" bestFit="1" customWidth="1"/>
    <col min="10502" max="10502" width="11" style="109" customWidth="1"/>
    <col min="10503" max="10503" width="12" style="109" customWidth="1"/>
    <col min="10504" max="10504" width="12.1328125" style="109" customWidth="1"/>
    <col min="10505" max="10505" width="11.1328125" style="109" customWidth="1"/>
    <col min="10506" max="10527" width="0" style="109" hidden="1" customWidth="1"/>
    <col min="10528" max="10528" width="12" style="109" bestFit="1" customWidth="1"/>
    <col min="10529" max="10529" width="10" style="109" bestFit="1" customWidth="1"/>
    <col min="10530" max="10530" width="12.59765625" style="109" bestFit="1" customWidth="1"/>
    <col min="10531" max="10531" width="11" style="109" bestFit="1" customWidth="1"/>
    <col min="10532" max="10532" width="12.3984375" style="109" bestFit="1" customWidth="1"/>
    <col min="10533" max="10533" width="16.59765625" style="109" bestFit="1" customWidth="1"/>
    <col min="10534" max="10534" width="13" style="109" bestFit="1" customWidth="1"/>
    <col min="10535" max="10535" width="13.3984375" style="109" bestFit="1" customWidth="1"/>
    <col min="10536" max="10536" width="11.86328125" style="109" bestFit="1" customWidth="1"/>
    <col min="10537" max="10537" width="11" style="109" bestFit="1" customWidth="1"/>
    <col min="10538" max="10538" width="9.1328125" style="109"/>
    <col min="10539" max="10539" width="10" style="109" bestFit="1" customWidth="1"/>
    <col min="10540" max="10752" width="9.1328125" style="109"/>
    <col min="10753" max="10753" width="3.86328125" style="109" customWidth="1"/>
    <col min="10754" max="10754" width="14.86328125" style="109" customWidth="1"/>
    <col min="10755" max="10755" width="4.59765625" style="109" bestFit="1" customWidth="1"/>
    <col min="10756" max="10756" width="13" style="109" bestFit="1" customWidth="1"/>
    <col min="10757" max="10757" width="12" style="109" bestFit="1" customWidth="1"/>
    <col min="10758" max="10758" width="11" style="109" customWidth="1"/>
    <col min="10759" max="10759" width="12" style="109" customWidth="1"/>
    <col min="10760" max="10760" width="12.1328125" style="109" customWidth="1"/>
    <col min="10761" max="10761" width="11.1328125" style="109" customWidth="1"/>
    <col min="10762" max="10783" width="0" style="109" hidden="1" customWidth="1"/>
    <col min="10784" max="10784" width="12" style="109" bestFit="1" customWidth="1"/>
    <col min="10785" max="10785" width="10" style="109" bestFit="1" customWidth="1"/>
    <col min="10786" max="10786" width="12.59765625" style="109" bestFit="1" customWidth="1"/>
    <col min="10787" max="10787" width="11" style="109" bestFit="1" customWidth="1"/>
    <col min="10788" max="10788" width="12.3984375" style="109" bestFit="1" customWidth="1"/>
    <col min="10789" max="10789" width="16.59765625" style="109" bestFit="1" customWidth="1"/>
    <col min="10790" max="10790" width="13" style="109" bestFit="1" customWidth="1"/>
    <col min="10791" max="10791" width="13.3984375" style="109" bestFit="1" customWidth="1"/>
    <col min="10792" max="10792" width="11.86328125" style="109" bestFit="1" customWidth="1"/>
    <col min="10793" max="10793" width="11" style="109" bestFit="1" customWidth="1"/>
    <col min="10794" max="10794" width="9.1328125" style="109"/>
    <col min="10795" max="10795" width="10" style="109" bestFit="1" customWidth="1"/>
    <col min="10796" max="11008" width="9.1328125" style="109"/>
    <col min="11009" max="11009" width="3.86328125" style="109" customWidth="1"/>
    <col min="11010" max="11010" width="14.86328125" style="109" customWidth="1"/>
    <col min="11011" max="11011" width="4.59765625" style="109" bestFit="1" customWidth="1"/>
    <col min="11012" max="11012" width="13" style="109" bestFit="1" customWidth="1"/>
    <col min="11013" max="11013" width="12" style="109" bestFit="1" customWidth="1"/>
    <col min="11014" max="11014" width="11" style="109" customWidth="1"/>
    <col min="11015" max="11015" width="12" style="109" customWidth="1"/>
    <col min="11016" max="11016" width="12.1328125" style="109" customWidth="1"/>
    <col min="11017" max="11017" width="11.1328125" style="109" customWidth="1"/>
    <col min="11018" max="11039" width="0" style="109" hidden="1" customWidth="1"/>
    <col min="11040" max="11040" width="12" style="109" bestFit="1" customWidth="1"/>
    <col min="11041" max="11041" width="10" style="109" bestFit="1" customWidth="1"/>
    <col min="11042" max="11042" width="12.59765625" style="109" bestFit="1" customWidth="1"/>
    <col min="11043" max="11043" width="11" style="109" bestFit="1" customWidth="1"/>
    <col min="11044" max="11044" width="12.3984375" style="109" bestFit="1" customWidth="1"/>
    <col min="11045" max="11045" width="16.59765625" style="109" bestFit="1" customWidth="1"/>
    <col min="11046" max="11046" width="13" style="109" bestFit="1" customWidth="1"/>
    <col min="11047" max="11047" width="13.3984375" style="109" bestFit="1" customWidth="1"/>
    <col min="11048" max="11048" width="11.86328125" style="109" bestFit="1" customWidth="1"/>
    <col min="11049" max="11049" width="11" style="109" bestFit="1" customWidth="1"/>
    <col min="11050" max="11050" width="9.1328125" style="109"/>
    <col min="11051" max="11051" width="10" style="109" bestFit="1" customWidth="1"/>
    <col min="11052" max="11264" width="9.1328125" style="109"/>
    <col min="11265" max="11265" width="3.86328125" style="109" customWidth="1"/>
    <col min="11266" max="11266" width="14.86328125" style="109" customWidth="1"/>
    <col min="11267" max="11267" width="4.59765625" style="109" bestFit="1" customWidth="1"/>
    <col min="11268" max="11268" width="13" style="109" bestFit="1" customWidth="1"/>
    <col min="11269" max="11269" width="12" style="109" bestFit="1" customWidth="1"/>
    <col min="11270" max="11270" width="11" style="109" customWidth="1"/>
    <col min="11271" max="11271" width="12" style="109" customWidth="1"/>
    <col min="11272" max="11272" width="12.1328125" style="109" customWidth="1"/>
    <col min="11273" max="11273" width="11.1328125" style="109" customWidth="1"/>
    <col min="11274" max="11295" width="0" style="109" hidden="1" customWidth="1"/>
    <col min="11296" max="11296" width="12" style="109" bestFit="1" customWidth="1"/>
    <col min="11297" max="11297" width="10" style="109" bestFit="1" customWidth="1"/>
    <col min="11298" max="11298" width="12.59765625" style="109" bestFit="1" customWidth="1"/>
    <col min="11299" max="11299" width="11" style="109" bestFit="1" customWidth="1"/>
    <col min="11300" max="11300" width="12.3984375" style="109" bestFit="1" customWidth="1"/>
    <col min="11301" max="11301" width="16.59765625" style="109" bestFit="1" customWidth="1"/>
    <col min="11302" max="11302" width="13" style="109" bestFit="1" customWidth="1"/>
    <col min="11303" max="11303" width="13.3984375" style="109" bestFit="1" customWidth="1"/>
    <col min="11304" max="11304" width="11.86328125" style="109" bestFit="1" customWidth="1"/>
    <col min="11305" max="11305" width="11" style="109" bestFit="1" customWidth="1"/>
    <col min="11306" max="11306" width="9.1328125" style="109"/>
    <col min="11307" max="11307" width="10" style="109" bestFit="1" customWidth="1"/>
    <col min="11308" max="11520" width="9.1328125" style="109"/>
    <col min="11521" max="11521" width="3.86328125" style="109" customWidth="1"/>
    <col min="11522" max="11522" width="14.86328125" style="109" customWidth="1"/>
    <col min="11523" max="11523" width="4.59765625" style="109" bestFit="1" customWidth="1"/>
    <col min="11524" max="11524" width="13" style="109" bestFit="1" customWidth="1"/>
    <col min="11525" max="11525" width="12" style="109" bestFit="1" customWidth="1"/>
    <col min="11526" max="11526" width="11" style="109" customWidth="1"/>
    <col min="11527" max="11527" width="12" style="109" customWidth="1"/>
    <col min="11528" max="11528" width="12.1328125" style="109" customWidth="1"/>
    <col min="11529" max="11529" width="11.1328125" style="109" customWidth="1"/>
    <col min="11530" max="11551" width="0" style="109" hidden="1" customWidth="1"/>
    <col min="11552" max="11552" width="12" style="109" bestFit="1" customWidth="1"/>
    <col min="11553" max="11553" width="10" style="109" bestFit="1" customWidth="1"/>
    <col min="11554" max="11554" width="12.59765625" style="109" bestFit="1" customWidth="1"/>
    <col min="11555" max="11555" width="11" style="109" bestFit="1" customWidth="1"/>
    <col min="11556" max="11556" width="12.3984375" style="109" bestFit="1" customWidth="1"/>
    <col min="11557" max="11557" width="16.59765625" style="109" bestFit="1" customWidth="1"/>
    <col min="11558" max="11558" width="13" style="109" bestFit="1" customWidth="1"/>
    <col min="11559" max="11559" width="13.3984375" style="109" bestFit="1" customWidth="1"/>
    <col min="11560" max="11560" width="11.86328125" style="109" bestFit="1" customWidth="1"/>
    <col min="11561" max="11561" width="11" style="109" bestFit="1" customWidth="1"/>
    <col min="11562" max="11562" width="9.1328125" style="109"/>
    <col min="11563" max="11563" width="10" style="109" bestFit="1" customWidth="1"/>
    <col min="11564" max="11776" width="9.1328125" style="109"/>
    <col min="11777" max="11777" width="3.86328125" style="109" customWidth="1"/>
    <col min="11778" max="11778" width="14.86328125" style="109" customWidth="1"/>
    <col min="11779" max="11779" width="4.59765625" style="109" bestFit="1" customWidth="1"/>
    <col min="11780" max="11780" width="13" style="109" bestFit="1" customWidth="1"/>
    <col min="11781" max="11781" width="12" style="109" bestFit="1" customWidth="1"/>
    <col min="11782" max="11782" width="11" style="109" customWidth="1"/>
    <col min="11783" max="11783" width="12" style="109" customWidth="1"/>
    <col min="11784" max="11784" width="12.1328125" style="109" customWidth="1"/>
    <col min="11785" max="11785" width="11.1328125" style="109" customWidth="1"/>
    <col min="11786" max="11807" width="0" style="109" hidden="1" customWidth="1"/>
    <col min="11808" max="11808" width="12" style="109" bestFit="1" customWidth="1"/>
    <col min="11809" max="11809" width="10" style="109" bestFit="1" customWidth="1"/>
    <col min="11810" max="11810" width="12.59765625" style="109" bestFit="1" customWidth="1"/>
    <col min="11811" max="11811" width="11" style="109" bestFit="1" customWidth="1"/>
    <col min="11812" max="11812" width="12.3984375" style="109" bestFit="1" customWidth="1"/>
    <col min="11813" max="11813" width="16.59765625" style="109" bestFit="1" customWidth="1"/>
    <col min="11814" max="11814" width="13" style="109" bestFit="1" customWidth="1"/>
    <col min="11815" max="11815" width="13.3984375" style="109" bestFit="1" customWidth="1"/>
    <col min="11816" max="11816" width="11.86328125" style="109" bestFit="1" customWidth="1"/>
    <col min="11817" max="11817" width="11" style="109" bestFit="1" customWidth="1"/>
    <col min="11818" max="11818" width="9.1328125" style="109"/>
    <col min="11819" max="11819" width="10" style="109" bestFit="1" customWidth="1"/>
    <col min="11820" max="12032" width="9.1328125" style="109"/>
    <col min="12033" max="12033" width="3.86328125" style="109" customWidth="1"/>
    <col min="12034" max="12034" width="14.86328125" style="109" customWidth="1"/>
    <col min="12035" max="12035" width="4.59765625" style="109" bestFit="1" customWidth="1"/>
    <col min="12036" max="12036" width="13" style="109" bestFit="1" customWidth="1"/>
    <col min="12037" max="12037" width="12" style="109" bestFit="1" customWidth="1"/>
    <col min="12038" max="12038" width="11" style="109" customWidth="1"/>
    <col min="12039" max="12039" width="12" style="109" customWidth="1"/>
    <col min="12040" max="12040" width="12.1328125" style="109" customWidth="1"/>
    <col min="12041" max="12041" width="11.1328125" style="109" customWidth="1"/>
    <col min="12042" max="12063" width="0" style="109" hidden="1" customWidth="1"/>
    <col min="12064" max="12064" width="12" style="109" bestFit="1" customWidth="1"/>
    <col min="12065" max="12065" width="10" style="109" bestFit="1" customWidth="1"/>
    <col min="12066" max="12066" width="12.59765625" style="109" bestFit="1" customWidth="1"/>
    <col min="12067" max="12067" width="11" style="109" bestFit="1" customWidth="1"/>
    <col min="12068" max="12068" width="12.3984375" style="109" bestFit="1" customWidth="1"/>
    <col min="12069" max="12069" width="16.59765625" style="109" bestFit="1" customWidth="1"/>
    <col min="12070" max="12070" width="13" style="109" bestFit="1" customWidth="1"/>
    <col min="12071" max="12071" width="13.3984375" style="109" bestFit="1" customWidth="1"/>
    <col min="12072" max="12072" width="11.86328125" style="109" bestFit="1" customWidth="1"/>
    <col min="12073" max="12073" width="11" style="109" bestFit="1" customWidth="1"/>
    <col min="12074" max="12074" width="9.1328125" style="109"/>
    <col min="12075" max="12075" width="10" style="109" bestFit="1" customWidth="1"/>
    <col min="12076" max="12288" width="9.1328125" style="109"/>
    <col min="12289" max="12289" width="3.86328125" style="109" customWidth="1"/>
    <col min="12290" max="12290" width="14.86328125" style="109" customWidth="1"/>
    <col min="12291" max="12291" width="4.59765625" style="109" bestFit="1" customWidth="1"/>
    <col min="12292" max="12292" width="13" style="109" bestFit="1" customWidth="1"/>
    <col min="12293" max="12293" width="12" style="109" bestFit="1" customWidth="1"/>
    <col min="12294" max="12294" width="11" style="109" customWidth="1"/>
    <col min="12295" max="12295" width="12" style="109" customWidth="1"/>
    <col min="12296" max="12296" width="12.1328125" style="109" customWidth="1"/>
    <col min="12297" max="12297" width="11.1328125" style="109" customWidth="1"/>
    <col min="12298" max="12319" width="0" style="109" hidden="1" customWidth="1"/>
    <col min="12320" max="12320" width="12" style="109" bestFit="1" customWidth="1"/>
    <col min="12321" max="12321" width="10" style="109" bestFit="1" customWidth="1"/>
    <col min="12322" max="12322" width="12.59765625" style="109" bestFit="1" customWidth="1"/>
    <col min="12323" max="12323" width="11" style="109" bestFit="1" customWidth="1"/>
    <col min="12324" max="12324" width="12.3984375" style="109" bestFit="1" customWidth="1"/>
    <col min="12325" max="12325" width="16.59765625" style="109" bestFit="1" customWidth="1"/>
    <col min="12326" max="12326" width="13" style="109" bestFit="1" customWidth="1"/>
    <col min="12327" max="12327" width="13.3984375" style="109" bestFit="1" customWidth="1"/>
    <col min="12328" max="12328" width="11.86328125" style="109" bestFit="1" customWidth="1"/>
    <col min="12329" max="12329" width="11" style="109" bestFit="1" customWidth="1"/>
    <col min="12330" max="12330" width="9.1328125" style="109"/>
    <col min="12331" max="12331" width="10" style="109" bestFit="1" customWidth="1"/>
    <col min="12332" max="12544" width="9.1328125" style="109"/>
    <col min="12545" max="12545" width="3.86328125" style="109" customWidth="1"/>
    <col min="12546" max="12546" width="14.86328125" style="109" customWidth="1"/>
    <col min="12547" max="12547" width="4.59765625" style="109" bestFit="1" customWidth="1"/>
    <col min="12548" max="12548" width="13" style="109" bestFit="1" customWidth="1"/>
    <col min="12549" max="12549" width="12" style="109" bestFit="1" customWidth="1"/>
    <col min="12550" max="12550" width="11" style="109" customWidth="1"/>
    <col min="12551" max="12551" width="12" style="109" customWidth="1"/>
    <col min="12552" max="12552" width="12.1328125" style="109" customWidth="1"/>
    <col min="12553" max="12553" width="11.1328125" style="109" customWidth="1"/>
    <col min="12554" max="12575" width="0" style="109" hidden="1" customWidth="1"/>
    <col min="12576" max="12576" width="12" style="109" bestFit="1" customWidth="1"/>
    <col min="12577" max="12577" width="10" style="109" bestFit="1" customWidth="1"/>
    <col min="12578" max="12578" width="12.59765625" style="109" bestFit="1" customWidth="1"/>
    <col min="12579" max="12579" width="11" style="109" bestFit="1" customWidth="1"/>
    <col min="12580" max="12580" width="12.3984375" style="109" bestFit="1" customWidth="1"/>
    <col min="12581" max="12581" width="16.59765625" style="109" bestFit="1" customWidth="1"/>
    <col min="12582" max="12582" width="13" style="109" bestFit="1" customWidth="1"/>
    <col min="12583" max="12583" width="13.3984375" style="109" bestFit="1" customWidth="1"/>
    <col min="12584" max="12584" width="11.86328125" style="109" bestFit="1" customWidth="1"/>
    <col min="12585" max="12585" width="11" style="109" bestFit="1" customWidth="1"/>
    <col min="12586" max="12586" width="9.1328125" style="109"/>
    <col min="12587" max="12587" width="10" style="109" bestFit="1" customWidth="1"/>
    <col min="12588" max="12800" width="9.1328125" style="109"/>
    <col min="12801" max="12801" width="3.86328125" style="109" customWidth="1"/>
    <col min="12802" max="12802" width="14.86328125" style="109" customWidth="1"/>
    <col min="12803" max="12803" width="4.59765625" style="109" bestFit="1" customWidth="1"/>
    <col min="12804" max="12804" width="13" style="109" bestFit="1" customWidth="1"/>
    <col min="12805" max="12805" width="12" style="109" bestFit="1" customWidth="1"/>
    <col min="12806" max="12806" width="11" style="109" customWidth="1"/>
    <col min="12807" max="12807" width="12" style="109" customWidth="1"/>
    <col min="12808" max="12808" width="12.1328125" style="109" customWidth="1"/>
    <col min="12809" max="12809" width="11.1328125" style="109" customWidth="1"/>
    <col min="12810" max="12831" width="0" style="109" hidden="1" customWidth="1"/>
    <col min="12832" max="12832" width="12" style="109" bestFit="1" customWidth="1"/>
    <col min="12833" max="12833" width="10" style="109" bestFit="1" customWidth="1"/>
    <col min="12834" max="12834" width="12.59765625" style="109" bestFit="1" customWidth="1"/>
    <col min="12835" max="12835" width="11" style="109" bestFit="1" customWidth="1"/>
    <col min="12836" max="12836" width="12.3984375" style="109" bestFit="1" customWidth="1"/>
    <col min="12837" max="12837" width="16.59765625" style="109" bestFit="1" customWidth="1"/>
    <col min="12838" max="12838" width="13" style="109" bestFit="1" customWidth="1"/>
    <col min="12839" max="12839" width="13.3984375" style="109" bestFit="1" customWidth="1"/>
    <col min="12840" max="12840" width="11.86328125" style="109" bestFit="1" customWidth="1"/>
    <col min="12841" max="12841" width="11" style="109" bestFit="1" customWidth="1"/>
    <col min="12842" max="12842" width="9.1328125" style="109"/>
    <col min="12843" max="12843" width="10" style="109" bestFit="1" customWidth="1"/>
    <col min="12844" max="13056" width="9.1328125" style="109"/>
    <col min="13057" max="13057" width="3.86328125" style="109" customWidth="1"/>
    <col min="13058" max="13058" width="14.86328125" style="109" customWidth="1"/>
    <col min="13059" max="13059" width="4.59765625" style="109" bestFit="1" customWidth="1"/>
    <col min="13060" max="13060" width="13" style="109" bestFit="1" customWidth="1"/>
    <col min="13061" max="13061" width="12" style="109" bestFit="1" customWidth="1"/>
    <col min="13062" max="13062" width="11" style="109" customWidth="1"/>
    <col min="13063" max="13063" width="12" style="109" customWidth="1"/>
    <col min="13064" max="13064" width="12.1328125" style="109" customWidth="1"/>
    <col min="13065" max="13065" width="11.1328125" style="109" customWidth="1"/>
    <col min="13066" max="13087" width="0" style="109" hidden="1" customWidth="1"/>
    <col min="13088" max="13088" width="12" style="109" bestFit="1" customWidth="1"/>
    <col min="13089" max="13089" width="10" style="109" bestFit="1" customWidth="1"/>
    <col min="13090" max="13090" width="12.59765625" style="109" bestFit="1" customWidth="1"/>
    <col min="13091" max="13091" width="11" style="109" bestFit="1" customWidth="1"/>
    <col min="13092" max="13092" width="12.3984375" style="109" bestFit="1" customWidth="1"/>
    <col min="13093" max="13093" width="16.59765625" style="109" bestFit="1" customWidth="1"/>
    <col min="13094" max="13094" width="13" style="109" bestFit="1" customWidth="1"/>
    <col min="13095" max="13095" width="13.3984375" style="109" bestFit="1" customWidth="1"/>
    <col min="13096" max="13096" width="11.86328125" style="109" bestFit="1" customWidth="1"/>
    <col min="13097" max="13097" width="11" style="109" bestFit="1" customWidth="1"/>
    <col min="13098" max="13098" width="9.1328125" style="109"/>
    <col min="13099" max="13099" width="10" style="109" bestFit="1" customWidth="1"/>
    <col min="13100" max="13312" width="9.1328125" style="109"/>
    <col min="13313" max="13313" width="3.86328125" style="109" customWidth="1"/>
    <col min="13314" max="13314" width="14.86328125" style="109" customWidth="1"/>
    <col min="13315" max="13315" width="4.59765625" style="109" bestFit="1" customWidth="1"/>
    <col min="13316" max="13316" width="13" style="109" bestFit="1" customWidth="1"/>
    <col min="13317" max="13317" width="12" style="109" bestFit="1" customWidth="1"/>
    <col min="13318" max="13318" width="11" style="109" customWidth="1"/>
    <col min="13319" max="13319" width="12" style="109" customWidth="1"/>
    <col min="13320" max="13320" width="12.1328125" style="109" customWidth="1"/>
    <col min="13321" max="13321" width="11.1328125" style="109" customWidth="1"/>
    <col min="13322" max="13343" width="0" style="109" hidden="1" customWidth="1"/>
    <col min="13344" max="13344" width="12" style="109" bestFit="1" customWidth="1"/>
    <col min="13345" max="13345" width="10" style="109" bestFit="1" customWidth="1"/>
    <col min="13346" max="13346" width="12.59765625" style="109" bestFit="1" customWidth="1"/>
    <col min="13347" max="13347" width="11" style="109" bestFit="1" customWidth="1"/>
    <col min="13348" max="13348" width="12.3984375" style="109" bestFit="1" customWidth="1"/>
    <col min="13349" max="13349" width="16.59765625" style="109" bestFit="1" customWidth="1"/>
    <col min="13350" max="13350" width="13" style="109" bestFit="1" customWidth="1"/>
    <col min="13351" max="13351" width="13.3984375" style="109" bestFit="1" customWidth="1"/>
    <col min="13352" max="13352" width="11.86328125" style="109" bestFit="1" customWidth="1"/>
    <col min="13353" max="13353" width="11" style="109" bestFit="1" customWidth="1"/>
    <col min="13354" max="13354" width="9.1328125" style="109"/>
    <col min="13355" max="13355" width="10" style="109" bestFit="1" customWidth="1"/>
    <col min="13356" max="13568" width="9.1328125" style="109"/>
    <col min="13569" max="13569" width="3.86328125" style="109" customWidth="1"/>
    <col min="13570" max="13570" width="14.86328125" style="109" customWidth="1"/>
    <col min="13571" max="13571" width="4.59765625" style="109" bestFit="1" customWidth="1"/>
    <col min="13572" max="13572" width="13" style="109" bestFit="1" customWidth="1"/>
    <col min="13573" max="13573" width="12" style="109" bestFit="1" customWidth="1"/>
    <col min="13574" max="13574" width="11" style="109" customWidth="1"/>
    <col min="13575" max="13575" width="12" style="109" customWidth="1"/>
    <col min="13576" max="13576" width="12.1328125" style="109" customWidth="1"/>
    <col min="13577" max="13577" width="11.1328125" style="109" customWidth="1"/>
    <col min="13578" max="13599" width="0" style="109" hidden="1" customWidth="1"/>
    <col min="13600" max="13600" width="12" style="109" bestFit="1" customWidth="1"/>
    <col min="13601" max="13601" width="10" style="109" bestFit="1" customWidth="1"/>
    <col min="13602" max="13602" width="12.59765625" style="109" bestFit="1" customWidth="1"/>
    <col min="13603" max="13603" width="11" style="109" bestFit="1" customWidth="1"/>
    <col min="13604" max="13604" width="12.3984375" style="109" bestFit="1" customWidth="1"/>
    <col min="13605" max="13605" width="16.59765625" style="109" bestFit="1" customWidth="1"/>
    <col min="13606" max="13606" width="13" style="109" bestFit="1" customWidth="1"/>
    <col min="13607" max="13607" width="13.3984375" style="109" bestFit="1" customWidth="1"/>
    <col min="13608" max="13608" width="11.86328125" style="109" bestFit="1" customWidth="1"/>
    <col min="13609" max="13609" width="11" style="109" bestFit="1" customWidth="1"/>
    <col min="13610" max="13610" width="9.1328125" style="109"/>
    <col min="13611" max="13611" width="10" style="109" bestFit="1" customWidth="1"/>
    <col min="13612" max="13824" width="9.1328125" style="109"/>
    <col min="13825" max="13825" width="3.86328125" style="109" customWidth="1"/>
    <col min="13826" max="13826" width="14.86328125" style="109" customWidth="1"/>
    <col min="13827" max="13827" width="4.59765625" style="109" bestFit="1" customWidth="1"/>
    <col min="13828" max="13828" width="13" style="109" bestFit="1" customWidth="1"/>
    <col min="13829" max="13829" width="12" style="109" bestFit="1" customWidth="1"/>
    <col min="13830" max="13830" width="11" style="109" customWidth="1"/>
    <col min="13831" max="13831" width="12" style="109" customWidth="1"/>
    <col min="13832" max="13832" width="12.1328125" style="109" customWidth="1"/>
    <col min="13833" max="13833" width="11.1328125" style="109" customWidth="1"/>
    <col min="13834" max="13855" width="0" style="109" hidden="1" customWidth="1"/>
    <col min="13856" max="13856" width="12" style="109" bestFit="1" customWidth="1"/>
    <col min="13857" max="13857" width="10" style="109" bestFit="1" customWidth="1"/>
    <col min="13858" max="13858" width="12.59765625" style="109" bestFit="1" customWidth="1"/>
    <col min="13859" max="13859" width="11" style="109" bestFit="1" customWidth="1"/>
    <col min="13860" max="13860" width="12.3984375" style="109" bestFit="1" customWidth="1"/>
    <col min="13861" max="13861" width="16.59765625" style="109" bestFit="1" customWidth="1"/>
    <col min="13862" max="13862" width="13" style="109" bestFit="1" customWidth="1"/>
    <col min="13863" max="13863" width="13.3984375" style="109" bestFit="1" customWidth="1"/>
    <col min="13864" max="13864" width="11.86328125" style="109" bestFit="1" customWidth="1"/>
    <col min="13865" max="13865" width="11" style="109" bestFit="1" customWidth="1"/>
    <col min="13866" max="13866" width="9.1328125" style="109"/>
    <col min="13867" max="13867" width="10" style="109" bestFit="1" customWidth="1"/>
    <col min="13868" max="14080" width="9.1328125" style="109"/>
    <col min="14081" max="14081" width="3.86328125" style="109" customWidth="1"/>
    <col min="14082" max="14082" width="14.86328125" style="109" customWidth="1"/>
    <col min="14083" max="14083" width="4.59765625" style="109" bestFit="1" customWidth="1"/>
    <col min="14084" max="14084" width="13" style="109" bestFit="1" customWidth="1"/>
    <col min="14085" max="14085" width="12" style="109" bestFit="1" customWidth="1"/>
    <col min="14086" max="14086" width="11" style="109" customWidth="1"/>
    <col min="14087" max="14087" width="12" style="109" customWidth="1"/>
    <col min="14088" max="14088" width="12.1328125" style="109" customWidth="1"/>
    <col min="14089" max="14089" width="11.1328125" style="109" customWidth="1"/>
    <col min="14090" max="14111" width="0" style="109" hidden="1" customWidth="1"/>
    <col min="14112" max="14112" width="12" style="109" bestFit="1" customWidth="1"/>
    <col min="14113" max="14113" width="10" style="109" bestFit="1" customWidth="1"/>
    <col min="14114" max="14114" width="12.59765625" style="109" bestFit="1" customWidth="1"/>
    <col min="14115" max="14115" width="11" style="109" bestFit="1" customWidth="1"/>
    <col min="14116" max="14116" width="12.3984375" style="109" bestFit="1" customWidth="1"/>
    <col min="14117" max="14117" width="16.59765625" style="109" bestFit="1" customWidth="1"/>
    <col min="14118" max="14118" width="13" style="109" bestFit="1" customWidth="1"/>
    <col min="14119" max="14119" width="13.3984375" style="109" bestFit="1" customWidth="1"/>
    <col min="14120" max="14120" width="11.86328125" style="109" bestFit="1" customWidth="1"/>
    <col min="14121" max="14121" width="11" style="109" bestFit="1" customWidth="1"/>
    <col min="14122" max="14122" width="9.1328125" style="109"/>
    <col min="14123" max="14123" width="10" style="109" bestFit="1" customWidth="1"/>
    <col min="14124" max="14336" width="9.1328125" style="109"/>
    <col min="14337" max="14337" width="3.86328125" style="109" customWidth="1"/>
    <col min="14338" max="14338" width="14.86328125" style="109" customWidth="1"/>
    <col min="14339" max="14339" width="4.59765625" style="109" bestFit="1" customWidth="1"/>
    <col min="14340" max="14340" width="13" style="109" bestFit="1" customWidth="1"/>
    <col min="14341" max="14341" width="12" style="109" bestFit="1" customWidth="1"/>
    <col min="14342" max="14342" width="11" style="109" customWidth="1"/>
    <col min="14343" max="14343" width="12" style="109" customWidth="1"/>
    <col min="14344" max="14344" width="12.1328125" style="109" customWidth="1"/>
    <col min="14345" max="14345" width="11.1328125" style="109" customWidth="1"/>
    <col min="14346" max="14367" width="0" style="109" hidden="1" customWidth="1"/>
    <col min="14368" max="14368" width="12" style="109" bestFit="1" customWidth="1"/>
    <col min="14369" max="14369" width="10" style="109" bestFit="1" customWidth="1"/>
    <col min="14370" max="14370" width="12.59765625" style="109" bestFit="1" customWidth="1"/>
    <col min="14371" max="14371" width="11" style="109" bestFit="1" customWidth="1"/>
    <col min="14372" max="14372" width="12.3984375" style="109" bestFit="1" customWidth="1"/>
    <col min="14373" max="14373" width="16.59765625" style="109" bestFit="1" customWidth="1"/>
    <col min="14374" max="14374" width="13" style="109" bestFit="1" customWidth="1"/>
    <col min="14375" max="14375" width="13.3984375" style="109" bestFit="1" customWidth="1"/>
    <col min="14376" max="14376" width="11.86328125" style="109" bestFit="1" customWidth="1"/>
    <col min="14377" max="14377" width="11" style="109" bestFit="1" customWidth="1"/>
    <col min="14378" max="14378" width="9.1328125" style="109"/>
    <col min="14379" max="14379" width="10" style="109" bestFit="1" customWidth="1"/>
    <col min="14380" max="14592" width="9.1328125" style="109"/>
    <col min="14593" max="14593" width="3.86328125" style="109" customWidth="1"/>
    <col min="14594" max="14594" width="14.86328125" style="109" customWidth="1"/>
    <col min="14595" max="14595" width="4.59765625" style="109" bestFit="1" customWidth="1"/>
    <col min="14596" max="14596" width="13" style="109" bestFit="1" customWidth="1"/>
    <col min="14597" max="14597" width="12" style="109" bestFit="1" customWidth="1"/>
    <col min="14598" max="14598" width="11" style="109" customWidth="1"/>
    <col min="14599" max="14599" width="12" style="109" customWidth="1"/>
    <col min="14600" max="14600" width="12.1328125" style="109" customWidth="1"/>
    <col min="14601" max="14601" width="11.1328125" style="109" customWidth="1"/>
    <col min="14602" max="14623" width="0" style="109" hidden="1" customWidth="1"/>
    <col min="14624" max="14624" width="12" style="109" bestFit="1" customWidth="1"/>
    <col min="14625" max="14625" width="10" style="109" bestFit="1" customWidth="1"/>
    <col min="14626" max="14626" width="12.59765625" style="109" bestFit="1" customWidth="1"/>
    <col min="14627" max="14627" width="11" style="109" bestFit="1" customWidth="1"/>
    <col min="14628" max="14628" width="12.3984375" style="109" bestFit="1" customWidth="1"/>
    <col min="14629" max="14629" width="16.59765625" style="109" bestFit="1" customWidth="1"/>
    <col min="14630" max="14630" width="13" style="109" bestFit="1" customWidth="1"/>
    <col min="14631" max="14631" width="13.3984375" style="109" bestFit="1" customWidth="1"/>
    <col min="14632" max="14632" width="11.86328125" style="109" bestFit="1" customWidth="1"/>
    <col min="14633" max="14633" width="11" style="109" bestFit="1" customWidth="1"/>
    <col min="14634" max="14634" width="9.1328125" style="109"/>
    <col min="14635" max="14635" width="10" style="109" bestFit="1" customWidth="1"/>
    <col min="14636" max="14848" width="9.1328125" style="109"/>
    <col min="14849" max="14849" width="3.86328125" style="109" customWidth="1"/>
    <col min="14850" max="14850" width="14.86328125" style="109" customWidth="1"/>
    <col min="14851" max="14851" width="4.59765625" style="109" bestFit="1" customWidth="1"/>
    <col min="14852" max="14852" width="13" style="109" bestFit="1" customWidth="1"/>
    <col min="14853" max="14853" width="12" style="109" bestFit="1" customWidth="1"/>
    <col min="14854" max="14854" width="11" style="109" customWidth="1"/>
    <col min="14855" max="14855" width="12" style="109" customWidth="1"/>
    <col min="14856" max="14856" width="12.1328125" style="109" customWidth="1"/>
    <col min="14857" max="14857" width="11.1328125" style="109" customWidth="1"/>
    <col min="14858" max="14879" width="0" style="109" hidden="1" customWidth="1"/>
    <col min="14880" max="14880" width="12" style="109" bestFit="1" customWidth="1"/>
    <col min="14881" max="14881" width="10" style="109" bestFit="1" customWidth="1"/>
    <col min="14882" max="14882" width="12.59765625" style="109" bestFit="1" customWidth="1"/>
    <col min="14883" max="14883" width="11" style="109" bestFit="1" customWidth="1"/>
    <col min="14884" max="14884" width="12.3984375" style="109" bestFit="1" customWidth="1"/>
    <col min="14885" max="14885" width="16.59765625" style="109" bestFit="1" customWidth="1"/>
    <col min="14886" max="14886" width="13" style="109" bestFit="1" customWidth="1"/>
    <col min="14887" max="14887" width="13.3984375" style="109" bestFit="1" customWidth="1"/>
    <col min="14888" max="14888" width="11.86328125" style="109" bestFit="1" customWidth="1"/>
    <col min="14889" max="14889" width="11" style="109" bestFit="1" customWidth="1"/>
    <col min="14890" max="14890" width="9.1328125" style="109"/>
    <col min="14891" max="14891" width="10" style="109" bestFit="1" customWidth="1"/>
    <col min="14892" max="15104" width="9.1328125" style="109"/>
    <col min="15105" max="15105" width="3.86328125" style="109" customWidth="1"/>
    <col min="15106" max="15106" width="14.86328125" style="109" customWidth="1"/>
    <col min="15107" max="15107" width="4.59765625" style="109" bestFit="1" customWidth="1"/>
    <col min="15108" max="15108" width="13" style="109" bestFit="1" customWidth="1"/>
    <col min="15109" max="15109" width="12" style="109" bestFit="1" customWidth="1"/>
    <col min="15110" max="15110" width="11" style="109" customWidth="1"/>
    <col min="15111" max="15111" width="12" style="109" customWidth="1"/>
    <col min="15112" max="15112" width="12.1328125" style="109" customWidth="1"/>
    <col min="15113" max="15113" width="11.1328125" style="109" customWidth="1"/>
    <col min="15114" max="15135" width="0" style="109" hidden="1" customWidth="1"/>
    <col min="15136" max="15136" width="12" style="109" bestFit="1" customWidth="1"/>
    <col min="15137" max="15137" width="10" style="109" bestFit="1" customWidth="1"/>
    <col min="15138" max="15138" width="12.59765625" style="109" bestFit="1" customWidth="1"/>
    <col min="15139" max="15139" width="11" style="109" bestFit="1" customWidth="1"/>
    <col min="15140" max="15140" width="12.3984375" style="109" bestFit="1" customWidth="1"/>
    <col min="15141" max="15141" width="16.59765625" style="109" bestFit="1" customWidth="1"/>
    <col min="15142" max="15142" width="13" style="109" bestFit="1" customWidth="1"/>
    <col min="15143" max="15143" width="13.3984375" style="109" bestFit="1" customWidth="1"/>
    <col min="15144" max="15144" width="11.86328125" style="109" bestFit="1" customWidth="1"/>
    <col min="15145" max="15145" width="11" style="109" bestFit="1" customWidth="1"/>
    <col min="15146" max="15146" width="9.1328125" style="109"/>
    <col min="15147" max="15147" width="10" style="109" bestFit="1" customWidth="1"/>
    <col min="15148" max="15360" width="9.1328125" style="109"/>
    <col min="15361" max="15361" width="3.86328125" style="109" customWidth="1"/>
    <col min="15362" max="15362" width="14.86328125" style="109" customWidth="1"/>
    <col min="15363" max="15363" width="4.59765625" style="109" bestFit="1" customWidth="1"/>
    <col min="15364" max="15364" width="13" style="109" bestFit="1" customWidth="1"/>
    <col min="15365" max="15365" width="12" style="109" bestFit="1" customWidth="1"/>
    <col min="15366" max="15366" width="11" style="109" customWidth="1"/>
    <col min="15367" max="15367" width="12" style="109" customWidth="1"/>
    <col min="15368" max="15368" width="12.1328125" style="109" customWidth="1"/>
    <col min="15369" max="15369" width="11.1328125" style="109" customWidth="1"/>
    <col min="15370" max="15391" width="0" style="109" hidden="1" customWidth="1"/>
    <col min="15392" max="15392" width="12" style="109" bestFit="1" customWidth="1"/>
    <col min="15393" max="15393" width="10" style="109" bestFit="1" customWidth="1"/>
    <col min="15394" max="15394" width="12.59765625" style="109" bestFit="1" customWidth="1"/>
    <col min="15395" max="15395" width="11" style="109" bestFit="1" customWidth="1"/>
    <col min="15396" max="15396" width="12.3984375" style="109" bestFit="1" customWidth="1"/>
    <col min="15397" max="15397" width="16.59765625" style="109" bestFit="1" customWidth="1"/>
    <col min="15398" max="15398" width="13" style="109" bestFit="1" customWidth="1"/>
    <col min="15399" max="15399" width="13.3984375" style="109" bestFit="1" customWidth="1"/>
    <col min="15400" max="15400" width="11.86328125" style="109" bestFit="1" customWidth="1"/>
    <col min="15401" max="15401" width="11" style="109" bestFit="1" customWidth="1"/>
    <col min="15402" max="15402" width="9.1328125" style="109"/>
    <col min="15403" max="15403" width="10" style="109" bestFit="1" customWidth="1"/>
    <col min="15404" max="15616" width="9.1328125" style="109"/>
    <col min="15617" max="15617" width="3.86328125" style="109" customWidth="1"/>
    <col min="15618" max="15618" width="14.86328125" style="109" customWidth="1"/>
    <col min="15619" max="15619" width="4.59765625" style="109" bestFit="1" customWidth="1"/>
    <col min="15620" max="15620" width="13" style="109" bestFit="1" customWidth="1"/>
    <col min="15621" max="15621" width="12" style="109" bestFit="1" customWidth="1"/>
    <col min="15622" max="15622" width="11" style="109" customWidth="1"/>
    <col min="15623" max="15623" width="12" style="109" customWidth="1"/>
    <col min="15624" max="15624" width="12.1328125" style="109" customWidth="1"/>
    <col min="15625" max="15625" width="11.1328125" style="109" customWidth="1"/>
    <col min="15626" max="15647" width="0" style="109" hidden="1" customWidth="1"/>
    <col min="15648" max="15648" width="12" style="109" bestFit="1" customWidth="1"/>
    <col min="15649" max="15649" width="10" style="109" bestFit="1" customWidth="1"/>
    <col min="15650" max="15650" width="12.59765625" style="109" bestFit="1" customWidth="1"/>
    <col min="15651" max="15651" width="11" style="109" bestFit="1" customWidth="1"/>
    <col min="15652" max="15652" width="12.3984375" style="109" bestFit="1" customWidth="1"/>
    <col min="15653" max="15653" width="16.59765625" style="109" bestFit="1" customWidth="1"/>
    <col min="15654" max="15654" width="13" style="109" bestFit="1" customWidth="1"/>
    <col min="15655" max="15655" width="13.3984375" style="109" bestFit="1" customWidth="1"/>
    <col min="15656" max="15656" width="11.86328125" style="109" bestFit="1" customWidth="1"/>
    <col min="15657" max="15657" width="11" style="109" bestFit="1" customWidth="1"/>
    <col min="15658" max="15658" width="9.1328125" style="109"/>
    <col min="15659" max="15659" width="10" style="109" bestFit="1" customWidth="1"/>
    <col min="15660" max="15872" width="9.1328125" style="109"/>
    <col min="15873" max="15873" width="3.86328125" style="109" customWidth="1"/>
    <col min="15874" max="15874" width="14.86328125" style="109" customWidth="1"/>
    <col min="15875" max="15875" width="4.59765625" style="109" bestFit="1" customWidth="1"/>
    <col min="15876" max="15876" width="13" style="109" bestFit="1" customWidth="1"/>
    <col min="15877" max="15877" width="12" style="109" bestFit="1" customWidth="1"/>
    <col min="15878" max="15878" width="11" style="109" customWidth="1"/>
    <col min="15879" max="15879" width="12" style="109" customWidth="1"/>
    <col min="15880" max="15880" width="12.1328125" style="109" customWidth="1"/>
    <col min="15881" max="15881" width="11.1328125" style="109" customWidth="1"/>
    <col min="15882" max="15903" width="0" style="109" hidden="1" customWidth="1"/>
    <col min="15904" max="15904" width="12" style="109" bestFit="1" customWidth="1"/>
    <col min="15905" max="15905" width="10" style="109" bestFit="1" customWidth="1"/>
    <col min="15906" max="15906" width="12.59765625" style="109" bestFit="1" customWidth="1"/>
    <col min="15907" max="15907" width="11" style="109" bestFit="1" customWidth="1"/>
    <col min="15908" max="15908" width="12.3984375" style="109" bestFit="1" customWidth="1"/>
    <col min="15909" max="15909" width="16.59765625" style="109" bestFit="1" customWidth="1"/>
    <col min="15910" max="15910" width="13" style="109" bestFit="1" customWidth="1"/>
    <col min="15911" max="15911" width="13.3984375" style="109" bestFit="1" customWidth="1"/>
    <col min="15912" max="15912" width="11.86328125" style="109" bestFit="1" customWidth="1"/>
    <col min="15913" max="15913" width="11" style="109" bestFit="1" customWidth="1"/>
    <col min="15914" max="15914" width="9.1328125" style="109"/>
    <col min="15915" max="15915" width="10" style="109" bestFit="1" customWidth="1"/>
    <col min="15916" max="16128" width="9.1328125" style="109"/>
    <col min="16129" max="16129" width="3.86328125" style="109" customWidth="1"/>
    <col min="16130" max="16130" width="14.86328125" style="109" customWidth="1"/>
    <col min="16131" max="16131" width="4.59765625" style="109" bestFit="1" customWidth="1"/>
    <col min="16132" max="16132" width="13" style="109" bestFit="1" customWidth="1"/>
    <col min="16133" max="16133" width="12" style="109" bestFit="1" customWidth="1"/>
    <col min="16134" max="16134" width="11" style="109" customWidth="1"/>
    <col min="16135" max="16135" width="12" style="109" customWidth="1"/>
    <col min="16136" max="16136" width="12.1328125" style="109" customWidth="1"/>
    <col min="16137" max="16137" width="11.1328125" style="109" customWidth="1"/>
    <col min="16138" max="16159" width="0" style="109" hidden="1" customWidth="1"/>
    <col min="16160" max="16160" width="12" style="109" bestFit="1" customWidth="1"/>
    <col min="16161" max="16161" width="10" style="109" bestFit="1" customWidth="1"/>
    <col min="16162" max="16162" width="12.59765625" style="109" bestFit="1" customWidth="1"/>
    <col min="16163" max="16163" width="11" style="109" bestFit="1" customWidth="1"/>
    <col min="16164" max="16164" width="12.3984375" style="109" bestFit="1" customWidth="1"/>
    <col min="16165" max="16165" width="16.59765625" style="109" bestFit="1" customWidth="1"/>
    <col min="16166" max="16166" width="13" style="109" bestFit="1" customWidth="1"/>
    <col min="16167" max="16167" width="13.3984375" style="109" bestFit="1" customWidth="1"/>
    <col min="16168" max="16168" width="11.86328125" style="109" bestFit="1" customWidth="1"/>
    <col min="16169" max="16169" width="11" style="109" bestFit="1" customWidth="1"/>
    <col min="16170" max="16170" width="9.1328125" style="109"/>
    <col min="16171" max="16171" width="10" style="109" bestFit="1" customWidth="1"/>
    <col min="16172" max="16384" width="9.1328125" style="109"/>
  </cols>
  <sheetData>
    <row r="1" spans="1:44">
      <c r="AM1" s="110" t="s">
        <v>278</v>
      </c>
    </row>
    <row r="2" spans="1:44">
      <c r="AM2" s="110" t="s">
        <v>279</v>
      </c>
    </row>
    <row r="3" spans="1:44">
      <c r="AM3" s="110" t="s">
        <v>280</v>
      </c>
    </row>
    <row r="4" spans="1:44">
      <c r="AM4" s="110" t="s">
        <v>283</v>
      </c>
    </row>
    <row r="6" spans="1:44">
      <c r="B6" s="108"/>
      <c r="S6" s="110"/>
      <c r="AM6" s="110" t="s">
        <v>251</v>
      </c>
    </row>
    <row r="7" spans="1:44">
      <c r="A7" s="224" t="s">
        <v>140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4"/>
      <c r="AB7" s="224"/>
      <c r="AC7" s="224"/>
      <c r="AD7" s="224"/>
      <c r="AE7" s="224"/>
      <c r="AF7" s="224"/>
      <c r="AG7" s="224"/>
      <c r="AH7" s="224"/>
      <c r="AI7" s="224"/>
      <c r="AJ7" s="224"/>
      <c r="AK7" s="224"/>
      <c r="AL7" s="224"/>
      <c r="AM7" s="224"/>
    </row>
    <row r="8" spans="1:44">
      <c r="A8" s="224" t="s">
        <v>171</v>
      </c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224"/>
      <c r="AD8" s="224"/>
      <c r="AE8" s="224"/>
      <c r="AF8" s="224"/>
      <c r="AG8" s="224"/>
      <c r="AH8" s="224"/>
      <c r="AI8" s="224"/>
      <c r="AJ8" s="224"/>
      <c r="AK8" s="224"/>
      <c r="AL8" s="224"/>
      <c r="AM8" s="224"/>
    </row>
    <row r="9" spans="1:44">
      <c r="A9" s="224" t="s">
        <v>141</v>
      </c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24"/>
      <c r="AI9" s="224"/>
      <c r="AJ9" s="224"/>
      <c r="AK9" s="224"/>
      <c r="AL9" s="224"/>
      <c r="AM9" s="224"/>
    </row>
    <row r="10" spans="1:44" ht="12.75" customHeight="1">
      <c r="B10" s="113"/>
      <c r="AJ10" s="114"/>
      <c r="AK10" s="114"/>
      <c r="AL10" s="114"/>
    </row>
    <row r="11" spans="1:44">
      <c r="I11" s="114"/>
      <c r="J11" s="114"/>
      <c r="K11" s="114">
        <f t="shared" ref="K11:AE11" si="0">+J11+1</f>
        <v>1</v>
      </c>
      <c r="L11" s="114">
        <f t="shared" si="0"/>
        <v>2</v>
      </c>
      <c r="M11" s="114">
        <f t="shared" si="0"/>
        <v>3</v>
      </c>
      <c r="N11" s="114">
        <f t="shared" si="0"/>
        <v>4</v>
      </c>
      <c r="O11" s="114">
        <f t="shared" si="0"/>
        <v>5</v>
      </c>
      <c r="P11" s="114">
        <f t="shared" si="0"/>
        <v>6</v>
      </c>
      <c r="Q11" s="114">
        <f t="shared" si="0"/>
        <v>7</v>
      </c>
      <c r="R11" s="114">
        <f>+Q11+1</f>
        <v>8</v>
      </c>
      <c r="S11" s="114">
        <f t="shared" si="0"/>
        <v>9</v>
      </c>
      <c r="T11" s="114">
        <f t="shared" si="0"/>
        <v>10</v>
      </c>
      <c r="U11" s="114">
        <f t="shared" si="0"/>
        <v>11</v>
      </c>
      <c r="V11" s="114">
        <f t="shared" si="0"/>
        <v>12</v>
      </c>
      <c r="W11" s="114">
        <f t="shared" si="0"/>
        <v>13</v>
      </c>
      <c r="X11" s="114">
        <f t="shared" si="0"/>
        <v>14</v>
      </c>
      <c r="Y11" s="114">
        <f t="shared" si="0"/>
        <v>15</v>
      </c>
      <c r="Z11" s="114">
        <f t="shared" si="0"/>
        <v>16</v>
      </c>
      <c r="AA11" s="114">
        <f t="shared" si="0"/>
        <v>17</v>
      </c>
      <c r="AB11" s="114">
        <f t="shared" si="0"/>
        <v>18</v>
      </c>
      <c r="AC11" s="114">
        <f t="shared" si="0"/>
        <v>19</v>
      </c>
      <c r="AD11" s="114">
        <f t="shared" si="0"/>
        <v>20</v>
      </c>
      <c r="AE11" s="114">
        <f t="shared" si="0"/>
        <v>21</v>
      </c>
      <c r="AF11" s="114" t="s">
        <v>172</v>
      </c>
      <c r="AG11" s="114"/>
      <c r="AI11" s="114"/>
      <c r="AJ11" s="114" t="s">
        <v>30</v>
      </c>
      <c r="AK11" s="114" t="s">
        <v>31</v>
      </c>
      <c r="AL11" s="114" t="s">
        <v>85</v>
      </c>
      <c r="AM11" s="114" t="s">
        <v>31</v>
      </c>
      <c r="AN11" s="111"/>
      <c r="AQ11" s="138">
        <v>0.38900000000000001</v>
      </c>
      <c r="AR11" s="109" t="s">
        <v>214</v>
      </c>
    </row>
    <row r="12" spans="1:44">
      <c r="A12" s="114" t="s">
        <v>173</v>
      </c>
      <c r="B12" s="113" t="s">
        <v>174</v>
      </c>
      <c r="D12" s="114" t="s">
        <v>175</v>
      </c>
      <c r="E12" s="114" t="s">
        <v>176</v>
      </c>
      <c r="F12" s="114">
        <v>2018</v>
      </c>
      <c r="G12" s="114">
        <f>+F12+1</f>
        <v>2019</v>
      </c>
      <c r="H12" s="114">
        <f>+G12+1</f>
        <v>2020</v>
      </c>
      <c r="I12" s="114">
        <f>+H12+1</f>
        <v>2021</v>
      </c>
      <c r="J12" s="114">
        <v>2022</v>
      </c>
      <c r="K12" s="114" t="s">
        <v>178</v>
      </c>
      <c r="L12" s="114" t="s">
        <v>179</v>
      </c>
      <c r="M12" s="114" t="s">
        <v>180</v>
      </c>
      <c r="N12" s="114" t="s">
        <v>181</v>
      </c>
      <c r="O12" s="114" t="s">
        <v>182</v>
      </c>
      <c r="P12" s="114" t="s">
        <v>183</v>
      </c>
      <c r="Q12" s="114" t="s">
        <v>184</v>
      </c>
      <c r="R12" s="114" t="s">
        <v>185</v>
      </c>
      <c r="S12" s="114" t="s">
        <v>186</v>
      </c>
      <c r="T12" s="114" t="s">
        <v>187</v>
      </c>
      <c r="U12" s="114" t="s">
        <v>188</v>
      </c>
      <c r="V12" s="114" t="s">
        <v>189</v>
      </c>
      <c r="W12" s="114" t="s">
        <v>190</v>
      </c>
      <c r="X12" s="114" t="s">
        <v>191</v>
      </c>
      <c r="Y12" s="114" t="s">
        <v>192</v>
      </c>
      <c r="Z12" s="114" t="s">
        <v>193</v>
      </c>
      <c r="AA12" s="114" t="s">
        <v>194</v>
      </c>
      <c r="AB12" s="114" t="s">
        <v>195</v>
      </c>
      <c r="AC12" s="114" t="s">
        <v>196</v>
      </c>
      <c r="AD12" s="114" t="s">
        <v>197</v>
      </c>
      <c r="AE12" s="114" t="s">
        <v>198</v>
      </c>
      <c r="AF12" s="114" t="s">
        <v>25</v>
      </c>
      <c r="AG12" s="114" t="s">
        <v>199</v>
      </c>
      <c r="AH12" s="114" t="s">
        <v>200</v>
      </c>
      <c r="AI12" s="114"/>
      <c r="AJ12" s="114" t="s">
        <v>215</v>
      </c>
      <c r="AK12" s="114" t="s">
        <v>202</v>
      </c>
      <c r="AL12" s="114" t="s">
        <v>203</v>
      </c>
      <c r="AM12" s="114" t="s">
        <v>204</v>
      </c>
      <c r="AN12" s="111"/>
      <c r="AQ12" s="138">
        <v>0.2495</v>
      </c>
      <c r="AR12" s="109" t="s">
        <v>216</v>
      </c>
    </row>
    <row r="13" spans="1:44" ht="15">
      <c r="A13" s="112" t="s">
        <v>5</v>
      </c>
      <c r="B13" s="116" t="s">
        <v>205</v>
      </c>
      <c r="C13" s="112" t="s">
        <v>24</v>
      </c>
      <c r="D13" s="112" t="s">
        <v>20</v>
      </c>
      <c r="E13" s="112" t="s">
        <v>20</v>
      </c>
      <c r="F13" s="112" t="s">
        <v>20</v>
      </c>
      <c r="G13" s="112" t="s">
        <v>20</v>
      </c>
      <c r="H13" s="112" t="s">
        <v>20</v>
      </c>
      <c r="I13" s="112" t="s">
        <v>20</v>
      </c>
      <c r="J13" s="112" t="s">
        <v>20</v>
      </c>
      <c r="K13" s="112" t="s">
        <v>20</v>
      </c>
      <c r="L13" s="112" t="s">
        <v>20</v>
      </c>
      <c r="M13" s="112" t="s">
        <v>20</v>
      </c>
      <c r="N13" s="112" t="s">
        <v>20</v>
      </c>
      <c r="O13" s="112" t="s">
        <v>20</v>
      </c>
      <c r="P13" s="112" t="s">
        <v>20</v>
      </c>
      <c r="Q13" s="112" t="s">
        <v>20</v>
      </c>
      <c r="R13" s="112" t="s">
        <v>20</v>
      </c>
      <c r="S13" s="112" t="s">
        <v>20</v>
      </c>
      <c r="T13" s="112" t="s">
        <v>20</v>
      </c>
      <c r="U13" s="112" t="s">
        <v>20</v>
      </c>
      <c r="V13" s="112" t="s">
        <v>20</v>
      </c>
      <c r="W13" s="112" t="s">
        <v>20</v>
      </c>
      <c r="X13" s="112" t="s">
        <v>20</v>
      </c>
      <c r="Y13" s="112" t="s">
        <v>20</v>
      </c>
      <c r="Z13" s="112" t="s">
        <v>20</v>
      </c>
      <c r="AA13" s="112" t="s">
        <v>20</v>
      </c>
      <c r="AB13" s="112" t="s">
        <v>20</v>
      </c>
      <c r="AC13" s="112" t="s">
        <v>20</v>
      </c>
      <c r="AD13" s="112" t="s">
        <v>20</v>
      </c>
      <c r="AE13" s="112" t="s">
        <v>20</v>
      </c>
      <c r="AF13" s="112" t="s">
        <v>0</v>
      </c>
      <c r="AG13" s="112" t="s">
        <v>27</v>
      </c>
      <c r="AH13" s="112" t="s">
        <v>0</v>
      </c>
      <c r="AI13" s="112" t="s">
        <v>29</v>
      </c>
      <c r="AJ13" s="139" t="s">
        <v>217</v>
      </c>
      <c r="AK13" s="112" t="s">
        <v>206</v>
      </c>
      <c r="AL13" s="112" t="s">
        <v>152</v>
      </c>
      <c r="AM13" s="112" t="s">
        <v>207</v>
      </c>
      <c r="AN13" s="111"/>
    </row>
    <row r="14" spans="1:44">
      <c r="A14" s="112"/>
      <c r="B14" s="118">
        <v>-1</v>
      </c>
      <c r="C14" s="118">
        <f>+B14-1</f>
        <v>-2</v>
      </c>
      <c r="D14" s="118">
        <f>C14-1</f>
        <v>-3</v>
      </c>
      <c r="E14" s="118">
        <f>D14-1</f>
        <v>-4</v>
      </c>
      <c r="F14" s="118">
        <f>+D14-1</f>
        <v>-4</v>
      </c>
      <c r="G14" s="118">
        <f t="shared" ref="G14:AH14" si="1">+F14-1</f>
        <v>-5</v>
      </c>
      <c r="H14" s="118">
        <f t="shared" si="1"/>
        <v>-6</v>
      </c>
      <c r="I14" s="118">
        <f t="shared" si="1"/>
        <v>-7</v>
      </c>
      <c r="J14" s="118">
        <f t="shared" si="1"/>
        <v>-8</v>
      </c>
      <c r="K14" s="118">
        <f t="shared" si="1"/>
        <v>-9</v>
      </c>
      <c r="L14" s="118">
        <f t="shared" si="1"/>
        <v>-10</v>
      </c>
      <c r="M14" s="118">
        <f t="shared" si="1"/>
        <v>-11</v>
      </c>
      <c r="N14" s="118">
        <f t="shared" si="1"/>
        <v>-12</v>
      </c>
      <c r="O14" s="118">
        <f t="shared" si="1"/>
        <v>-13</v>
      </c>
      <c r="P14" s="118">
        <f t="shared" si="1"/>
        <v>-14</v>
      </c>
      <c r="Q14" s="118">
        <f t="shared" si="1"/>
        <v>-15</v>
      </c>
      <c r="R14" s="118">
        <f>+Q14-1</f>
        <v>-16</v>
      </c>
      <c r="S14" s="118">
        <f t="shared" si="1"/>
        <v>-17</v>
      </c>
      <c r="T14" s="118">
        <f t="shared" si="1"/>
        <v>-18</v>
      </c>
      <c r="U14" s="118">
        <f t="shared" si="1"/>
        <v>-19</v>
      </c>
      <c r="V14" s="118">
        <f t="shared" si="1"/>
        <v>-20</v>
      </c>
      <c r="W14" s="118">
        <f t="shared" si="1"/>
        <v>-21</v>
      </c>
      <c r="X14" s="118">
        <f t="shared" si="1"/>
        <v>-22</v>
      </c>
      <c r="Y14" s="118">
        <f t="shared" si="1"/>
        <v>-23</v>
      </c>
      <c r="Z14" s="118">
        <f t="shared" si="1"/>
        <v>-24</v>
      </c>
      <c r="AA14" s="118">
        <f t="shared" si="1"/>
        <v>-25</v>
      </c>
      <c r="AB14" s="118">
        <f t="shared" si="1"/>
        <v>-26</v>
      </c>
      <c r="AC14" s="118">
        <f t="shared" si="1"/>
        <v>-27</v>
      </c>
      <c r="AD14" s="118">
        <f t="shared" si="1"/>
        <v>-28</v>
      </c>
      <c r="AE14" s="118">
        <f t="shared" si="1"/>
        <v>-29</v>
      </c>
      <c r="AF14" s="118">
        <f>H14-1</f>
        <v>-7</v>
      </c>
      <c r="AG14" s="118">
        <f t="shared" si="1"/>
        <v>-8</v>
      </c>
      <c r="AH14" s="118">
        <f t="shared" si="1"/>
        <v>-9</v>
      </c>
      <c r="AI14" s="118">
        <f>+AH14-1</f>
        <v>-10</v>
      </c>
      <c r="AJ14" s="118">
        <f>+AI14-1</f>
        <v>-11</v>
      </c>
      <c r="AK14" s="118">
        <f>+AJ14-1</f>
        <v>-12</v>
      </c>
      <c r="AL14" s="118">
        <f>+AK14-1</f>
        <v>-13</v>
      </c>
      <c r="AM14" s="118">
        <f>+AL14-1</f>
        <v>-14</v>
      </c>
      <c r="AN14" s="111"/>
    </row>
    <row r="15" spans="1:44">
      <c r="A15" s="112"/>
      <c r="B15" s="119"/>
      <c r="C15" s="114"/>
      <c r="D15" s="115" t="s">
        <v>142</v>
      </c>
      <c r="E15" s="115" t="s">
        <v>142</v>
      </c>
      <c r="F15" s="115" t="s">
        <v>142</v>
      </c>
      <c r="G15" s="115" t="s">
        <v>142</v>
      </c>
      <c r="H15" s="115" t="s">
        <v>142</v>
      </c>
      <c r="I15" s="115" t="s">
        <v>142</v>
      </c>
      <c r="J15" s="115" t="s">
        <v>142</v>
      </c>
      <c r="K15" s="115" t="s">
        <v>142</v>
      </c>
      <c r="L15" s="115" t="s">
        <v>142</v>
      </c>
      <c r="M15" s="115" t="s">
        <v>142</v>
      </c>
      <c r="N15" s="115" t="s">
        <v>142</v>
      </c>
      <c r="O15" s="115" t="s">
        <v>142</v>
      </c>
      <c r="P15" s="115" t="s">
        <v>142</v>
      </c>
      <c r="Q15" s="115" t="s">
        <v>142</v>
      </c>
      <c r="R15" s="115" t="s">
        <v>142</v>
      </c>
      <c r="S15" s="115" t="s">
        <v>142</v>
      </c>
      <c r="T15" s="115" t="s">
        <v>142</v>
      </c>
      <c r="U15" s="115" t="s">
        <v>142</v>
      </c>
      <c r="V15" s="115" t="s">
        <v>142</v>
      </c>
      <c r="W15" s="115" t="s">
        <v>142</v>
      </c>
      <c r="X15" s="115" t="s">
        <v>142</v>
      </c>
      <c r="Y15" s="115" t="s">
        <v>142</v>
      </c>
      <c r="Z15" s="115" t="s">
        <v>142</v>
      </c>
      <c r="AA15" s="115" t="s">
        <v>142</v>
      </c>
      <c r="AB15" s="115" t="s">
        <v>142</v>
      </c>
      <c r="AC15" s="115" t="s">
        <v>142</v>
      </c>
      <c r="AD15" s="115" t="s">
        <v>142</v>
      </c>
      <c r="AE15" s="115" t="s">
        <v>142</v>
      </c>
      <c r="AF15" s="115" t="s">
        <v>142</v>
      </c>
      <c r="AG15" s="114" t="s">
        <v>142</v>
      </c>
      <c r="AH15" s="115" t="s">
        <v>142</v>
      </c>
      <c r="AI15" s="115" t="s">
        <v>142</v>
      </c>
      <c r="AJ15" s="115" t="s">
        <v>142</v>
      </c>
      <c r="AK15" s="115" t="s">
        <v>142</v>
      </c>
      <c r="AL15" s="115" t="s">
        <v>142</v>
      </c>
      <c r="AM15" s="115" t="s">
        <v>142</v>
      </c>
      <c r="AN15" s="111"/>
    </row>
    <row r="16" spans="1:44">
      <c r="A16" s="112"/>
      <c r="B16" s="120"/>
      <c r="C16" s="121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N16" s="111"/>
    </row>
    <row r="17" spans="1:47" ht="12.75">
      <c r="A17" s="107">
        <v>1</v>
      </c>
      <c r="B17" s="109" t="s">
        <v>218</v>
      </c>
      <c r="C17" s="121"/>
      <c r="D17" s="123" t="e">
        <f>SUM(#REF!)-SUM(#REF!)+SUM(#REF!)-SUM(#REF!)</f>
        <v>#REF!</v>
      </c>
      <c r="E17" s="123" t="e">
        <f>SUM(#REF!)-SUM(#REF!)+SUM(#REF!)-SUM(#REF!)</f>
        <v>#REF!</v>
      </c>
      <c r="F17" s="123" t="e">
        <f>'Plant &amp; Book Depr Form 2.0'!#REF!+'Plant &amp; Book Depr Form 2.0'!#REF!</f>
        <v>#REF!</v>
      </c>
      <c r="G17" s="123" t="e">
        <f>+'Plant &amp; Book Depr Form 2.0'!#REF!+'Plant &amp; Book Depr Form 2.0'!#REF!</f>
        <v>#REF!</v>
      </c>
      <c r="H17" s="123" t="e">
        <f>'Plant &amp; Book Depr Form 2.0'!#REF!+'Plant &amp; Book Depr Form 2.0'!#REF!</f>
        <v>#REF!</v>
      </c>
      <c r="I17" s="123" t="e">
        <f>+'Plant &amp; Book Depr Form 2.0'!#REF!+'Plant &amp; Book Depr Form 2.0'!#REF!+'Plant &amp; Book Depr Form 2.0'!#REF!</f>
        <v>#REF!</v>
      </c>
      <c r="J17" s="123">
        <f>'Plant &amp; Book Depr Form 2.0'!H19+'Plant &amp; Book Depr Form 2.0'!H20+'Plant &amp; Book Depr Form 2.0'!H23</f>
        <v>38990679.861000001</v>
      </c>
      <c r="K17" s="123" t="e">
        <f>#REF!+#REF!</f>
        <v>#REF!</v>
      </c>
      <c r="L17" s="123" t="e">
        <f>#REF!+#REF!</f>
        <v>#REF!</v>
      </c>
      <c r="M17" s="123" t="e">
        <f>#REF!+#REF!</f>
        <v>#REF!</v>
      </c>
      <c r="N17" s="123" t="e">
        <f>#REF!+#REF!</f>
        <v>#REF!</v>
      </c>
      <c r="O17" s="123" t="e">
        <f>#REF!+#REF!</f>
        <v>#REF!</v>
      </c>
      <c r="P17" s="123" t="e">
        <f>#REF!+#REF!</f>
        <v>#REF!</v>
      </c>
      <c r="Q17" s="123" t="e">
        <f>#REF!+#REF!</f>
        <v>#REF!</v>
      </c>
      <c r="R17" s="123" t="e">
        <f>#REF!+#REF!</f>
        <v>#REF!</v>
      </c>
      <c r="S17" s="123" t="e">
        <f>#REF!+#REF!</f>
        <v>#REF!</v>
      </c>
      <c r="T17" s="123" t="e">
        <f>#REF!+#REF!</f>
        <v>#REF!</v>
      </c>
      <c r="U17" s="123" t="e">
        <f>#REF!+#REF!</f>
        <v>#REF!</v>
      </c>
      <c r="V17" s="123" t="e">
        <f>#REF!+#REF!</f>
        <v>#REF!</v>
      </c>
      <c r="W17" s="123" t="e">
        <f>#REF!+#REF!</f>
        <v>#REF!</v>
      </c>
      <c r="X17" s="123" t="e">
        <f>#REF!+#REF!</f>
        <v>#REF!</v>
      </c>
      <c r="Y17" s="123" t="e">
        <f>#REF!+#REF!</f>
        <v>#REF!</v>
      </c>
      <c r="Z17" s="123" t="e">
        <f>#REF!+#REF!</f>
        <v>#REF!</v>
      </c>
      <c r="AA17" s="123" t="e">
        <f>#REF!+#REF!</f>
        <v>#REF!</v>
      </c>
      <c r="AB17" s="123" t="e">
        <f>#REF!+#REF!</f>
        <v>#REF!</v>
      </c>
      <c r="AC17" s="123" t="e">
        <f>#REF!+#REF!</f>
        <v>#REF!</v>
      </c>
      <c r="AD17" s="123" t="e">
        <f>#REF!+#REF!</f>
        <v>#REF!</v>
      </c>
      <c r="AE17" s="123" t="e">
        <f>#REF!+#REF!</f>
        <v>#REF!</v>
      </c>
      <c r="AH17" s="124"/>
      <c r="AN17" s="111"/>
    </row>
    <row r="18" spans="1:47" ht="13.5" customHeight="1" thickBot="1">
      <c r="A18" s="112"/>
      <c r="B18" s="120"/>
      <c r="C18" s="121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  <c r="AC18" s="225"/>
      <c r="AD18" s="225"/>
      <c r="AE18" s="225"/>
      <c r="AF18" s="225"/>
      <c r="AG18" s="225"/>
      <c r="AN18" s="111" t="s">
        <v>209</v>
      </c>
    </row>
    <row r="19" spans="1:47" ht="13.5" customHeight="1">
      <c r="A19" s="107">
        <f>A17+1</f>
        <v>2</v>
      </c>
      <c r="B19" s="122" t="s">
        <v>219</v>
      </c>
      <c r="C19" s="121"/>
      <c r="D19" s="125">
        <f t="shared" ref="D19:J19" si="2">D58+D57</f>
        <v>0.59405828999999999</v>
      </c>
      <c r="E19" s="125">
        <f t="shared" si="2"/>
        <v>0.59405828999999999</v>
      </c>
      <c r="F19" s="125">
        <f t="shared" si="2"/>
        <v>0.28813816000000003</v>
      </c>
      <c r="G19" s="125">
        <f t="shared" si="2"/>
        <v>0.35897878</v>
      </c>
      <c r="H19" s="125">
        <f t="shared" si="2"/>
        <v>0.35897878</v>
      </c>
      <c r="I19" s="125">
        <f t="shared" si="2"/>
        <v>0.35897878</v>
      </c>
      <c r="J19" s="125">
        <f t="shared" si="2"/>
        <v>0.35897878</v>
      </c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N19" s="111"/>
      <c r="AQ19" s="124"/>
    </row>
    <row r="20" spans="1:47" ht="13.5" customHeight="1" thickBot="1">
      <c r="B20" s="122"/>
      <c r="C20" s="121"/>
      <c r="D20" s="125"/>
      <c r="E20" s="125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N20" s="111"/>
    </row>
    <row r="21" spans="1:47">
      <c r="A21" s="107">
        <f>A19+1</f>
        <v>3</v>
      </c>
      <c r="B21" s="126">
        <v>3.7500000000000089E-2</v>
      </c>
      <c r="C21" s="107">
        <v>1</v>
      </c>
      <c r="D21" s="127">
        <v>1446706</v>
      </c>
      <c r="E21" s="127">
        <v>7455623</v>
      </c>
      <c r="AF21" s="127">
        <f>SUM(D21:G21)</f>
        <v>8902329</v>
      </c>
      <c r="AG21" s="127">
        <v>1177207.1538461538</v>
      </c>
      <c r="AH21" s="127">
        <v>55212.968203525634</v>
      </c>
      <c r="AI21" s="124">
        <f>AF21+AG21-AH21</f>
        <v>10024323.185642628</v>
      </c>
      <c r="AJ21" s="127">
        <f>ROUND($AQ$11*AI21,0)</f>
        <v>3899462</v>
      </c>
      <c r="AK21" s="140">
        <v>-1034612.4117770559</v>
      </c>
      <c r="AL21" s="127">
        <v>0</v>
      </c>
      <c r="AM21" s="127">
        <f>+AJ21+AK21+AL21</f>
        <v>2864849.5882229442</v>
      </c>
      <c r="AN21" s="111" t="str">
        <f t="shared" ref="AN21:AN43" si="3">IF(AM21&gt;0,"DTL","DTA")</f>
        <v>DTL</v>
      </c>
      <c r="AO21" s="127"/>
      <c r="AP21" s="128" t="s">
        <v>210</v>
      </c>
      <c r="AQ21" s="129" t="s">
        <v>211</v>
      </c>
      <c r="AR21" s="129"/>
      <c r="AS21" s="130"/>
      <c r="AT21" s="126"/>
      <c r="AU21" s="131"/>
    </row>
    <row r="22" spans="1:47" ht="12" thickBot="1">
      <c r="A22" s="107">
        <f>A21+1</f>
        <v>4</v>
      </c>
      <c r="B22" s="126">
        <v>7.2190000000000004E-2</v>
      </c>
      <c r="C22" s="107">
        <f>+C21+1</f>
        <v>2</v>
      </c>
      <c r="D22" s="127">
        <v>69583</v>
      </c>
      <c r="E22" s="127">
        <v>358597</v>
      </c>
      <c r="F22" s="127">
        <v>6976634</v>
      </c>
      <c r="AF22" s="127">
        <f>SUM(D22:G22)</f>
        <v>7404814</v>
      </c>
      <c r="AG22" s="127">
        <v>1290694.28</v>
      </c>
      <c r="AH22" s="127">
        <v>515514</v>
      </c>
      <c r="AI22" s="124">
        <f t="shared" ref="AI22:AI43" si="4">AF22+AG22-AH22</f>
        <v>8179994.2799999993</v>
      </c>
      <c r="AJ22" s="127">
        <f>ROUND($AQ$12*AI22,0)</f>
        <v>2040909</v>
      </c>
      <c r="AK22" s="141">
        <v>22420.233753070792</v>
      </c>
      <c r="AL22" s="127">
        <v>0</v>
      </c>
      <c r="AM22" s="127">
        <f>AM21+AJ22+AK22+AL22</f>
        <v>4928178.8219760153</v>
      </c>
      <c r="AN22" s="111" t="str">
        <f t="shared" si="3"/>
        <v>DTL</v>
      </c>
      <c r="AP22" s="132"/>
      <c r="AQ22" s="133" t="s">
        <v>212</v>
      </c>
      <c r="AR22" s="133"/>
      <c r="AS22" s="134"/>
      <c r="AT22" s="126"/>
      <c r="AU22" s="131"/>
    </row>
    <row r="23" spans="1:47">
      <c r="A23" s="107">
        <f t="shared" ref="A23:A47" si="5">A22+1</f>
        <v>5</v>
      </c>
      <c r="B23" s="126">
        <v>6.6769999999999996E-2</v>
      </c>
      <c r="C23" s="107">
        <f t="shared" ref="C23:C42" si="6">+C22+1</f>
        <v>3</v>
      </c>
      <c r="D23" s="127">
        <v>64359</v>
      </c>
      <c r="E23" s="127">
        <v>331674</v>
      </c>
      <c r="F23" s="127">
        <v>1138776</v>
      </c>
      <c r="G23" s="127">
        <v>13286595</v>
      </c>
      <c r="AF23" s="127">
        <f>SUM(D23:G23)</f>
        <v>14821404</v>
      </c>
      <c r="AG23" s="127">
        <v>1272690.1219999997</v>
      </c>
      <c r="AH23" s="127">
        <v>1074081</v>
      </c>
      <c r="AI23" s="124">
        <f t="shared" si="4"/>
        <v>15020013.122</v>
      </c>
      <c r="AJ23" s="127">
        <f t="shared" ref="AJ23:AJ43" si="7">ROUND($AQ$12*AI23,0)</f>
        <v>3747493</v>
      </c>
      <c r="AK23" s="141">
        <v>4262.831621273981</v>
      </c>
      <c r="AL23" s="127">
        <v>0</v>
      </c>
      <c r="AM23" s="127">
        <f t="shared" ref="AM23:AM43" si="8">AM22+AJ23+AK23+AL23</f>
        <v>8679934.6535972897</v>
      </c>
      <c r="AN23" s="111" t="str">
        <f t="shared" si="3"/>
        <v>DTL</v>
      </c>
      <c r="AT23" s="126"/>
      <c r="AU23" s="131"/>
    </row>
    <row r="24" spans="1:47">
      <c r="A24" s="107">
        <f t="shared" si="5"/>
        <v>6</v>
      </c>
      <c r="B24" s="126">
        <v>6.1769999999999999E-2</v>
      </c>
      <c r="C24" s="107">
        <f t="shared" si="6"/>
        <v>4</v>
      </c>
      <c r="D24" s="127">
        <v>59539</v>
      </c>
      <c r="E24" s="127">
        <v>306837</v>
      </c>
      <c r="F24" s="127">
        <v>1053277</v>
      </c>
      <c r="G24" s="127">
        <v>1605259</v>
      </c>
      <c r="H24" s="127">
        <v>13735438</v>
      </c>
      <c r="AF24" s="127">
        <f>SUM(D24:H24)</f>
        <v>16760350</v>
      </c>
      <c r="AG24" s="127">
        <v>1515895.9316439645</v>
      </c>
      <c r="AH24" s="127">
        <v>1748148</v>
      </c>
      <c r="AI24" s="124">
        <f t="shared" si="4"/>
        <v>16528097.931643963</v>
      </c>
      <c r="AJ24" s="127">
        <f>ROUND($AQ$12*AI24,0)</f>
        <v>4123760</v>
      </c>
      <c r="AK24" s="127">
        <v>0</v>
      </c>
      <c r="AL24" s="127">
        <v>0</v>
      </c>
      <c r="AM24" s="127">
        <f t="shared" si="8"/>
        <v>12803694.65359729</v>
      </c>
      <c r="AN24" s="111" t="str">
        <f t="shared" si="3"/>
        <v>DTL</v>
      </c>
      <c r="AT24" s="126"/>
      <c r="AU24" s="131"/>
    </row>
    <row r="25" spans="1:47">
      <c r="A25" s="107">
        <f t="shared" si="5"/>
        <v>7</v>
      </c>
      <c r="B25" s="126">
        <v>5.713E-2</v>
      </c>
      <c r="C25" s="107">
        <f t="shared" si="6"/>
        <v>5</v>
      </c>
      <c r="D25" s="127">
        <v>55067</v>
      </c>
      <c r="E25" s="127">
        <v>283788</v>
      </c>
      <c r="F25" s="127">
        <v>974404</v>
      </c>
      <c r="G25" s="127">
        <v>1484736</v>
      </c>
      <c r="H25" s="127">
        <v>1659487</v>
      </c>
      <c r="I25" s="127">
        <v>14944932</v>
      </c>
      <c r="AF25" s="127">
        <f>SUM(D25:I25)</f>
        <v>19402414</v>
      </c>
      <c r="AG25" s="127">
        <v>1440483.554256405</v>
      </c>
      <c r="AH25" s="127">
        <v>2558597</v>
      </c>
      <c r="AI25" s="124">
        <f t="shared" si="4"/>
        <v>18284300.554256406</v>
      </c>
      <c r="AJ25" s="127">
        <f t="shared" si="7"/>
        <v>4561933</v>
      </c>
      <c r="AK25" s="127">
        <v>0</v>
      </c>
      <c r="AL25" s="140">
        <v>-2994587.8083820255</v>
      </c>
      <c r="AM25" s="127">
        <f t="shared" si="8"/>
        <v>14371039.845215263</v>
      </c>
      <c r="AN25" s="111" t="str">
        <f t="shared" si="3"/>
        <v>DTL</v>
      </c>
      <c r="AT25" s="126"/>
      <c r="AU25" s="131"/>
    </row>
    <row r="26" spans="1:47">
      <c r="A26" s="107">
        <f t="shared" si="5"/>
        <v>8</v>
      </c>
      <c r="B26" s="126">
        <v>5.2850000000000001E-2</v>
      </c>
      <c r="C26" s="107">
        <f t="shared" si="6"/>
        <v>6</v>
      </c>
      <c r="D26" s="127">
        <v>50941</v>
      </c>
      <c r="E26" s="127">
        <v>262528</v>
      </c>
      <c r="F26" s="127">
        <v>901209</v>
      </c>
      <c r="G26" s="127">
        <v>1373553</v>
      </c>
      <c r="H26" s="127">
        <v>1534893</v>
      </c>
      <c r="I26" s="127">
        <v>1805615</v>
      </c>
      <c r="J26" s="127">
        <f>ROUND((J$17)*J$19,0)+ROUND((J$17-(J$17*J$19))*$B21,0)</f>
        <v>14934096</v>
      </c>
      <c r="AF26" s="127">
        <f>SUM(D26:J26)</f>
        <v>20862835</v>
      </c>
      <c r="AG26" s="127">
        <f>'Plant &amp; Book Depr Form 2.0'!H44+'Plant &amp; Book Depr Form 2.0'!H45+'Plant &amp; Book Depr Form 2.0'!H48</f>
        <v>1440483</v>
      </c>
      <c r="AH26" s="127">
        <f>+'202201 Bk Depr Form 2.1'!P53+'202202 Bk Depr Form 2.2'!P53+'202203 Bk Depr Form 2.3'!P53+'202204 Bk Depr Form 2.4'!P53+'202205 Bk Depr Form 2.5'!P53+'202206 Bk Depr Form 2.6'!P53+'202207 Bk Depr Form 2.7'!P53+'202208 Bk Depr Form 2.8'!P53+'202209 Bk Depr Form 2.9'!P53+'202210 Bk Depr Form 2.10'!P53+'202211 Bk Depr Form 2.11'!P53+'202212 Bk Depr Form 2.12'!P53</f>
        <v>3350968.8287649229</v>
      </c>
      <c r="AI26" s="124">
        <f t="shared" si="4"/>
        <v>18952349.171235077</v>
      </c>
      <c r="AJ26" s="127">
        <f t="shared" si="7"/>
        <v>4728611</v>
      </c>
      <c r="AK26" s="127">
        <v>0</v>
      </c>
      <c r="AL26" s="127">
        <v>0</v>
      </c>
      <c r="AM26" s="127">
        <f t="shared" si="8"/>
        <v>19099650.845215261</v>
      </c>
      <c r="AN26" s="111" t="str">
        <f t="shared" si="3"/>
        <v>DTL</v>
      </c>
      <c r="AT26" s="126"/>
      <c r="AU26" s="131"/>
    </row>
    <row r="27" spans="1:47">
      <c r="A27" s="107">
        <f t="shared" si="5"/>
        <v>9</v>
      </c>
      <c r="B27" s="126">
        <v>4.888E-2</v>
      </c>
      <c r="C27" s="107">
        <f t="shared" si="6"/>
        <v>7</v>
      </c>
      <c r="D27" s="127">
        <v>47115</v>
      </c>
      <c r="E27" s="127">
        <v>242807</v>
      </c>
      <c r="F27" s="127">
        <v>833693</v>
      </c>
      <c r="G27" s="127">
        <v>1270376</v>
      </c>
      <c r="H27" s="127">
        <v>1419954</v>
      </c>
      <c r="I27" s="127">
        <v>1670050</v>
      </c>
      <c r="J27" s="127">
        <f>ROUND((J$17-(J$17*J$19))*$B22,0)</f>
        <v>1804306</v>
      </c>
      <c r="AF27" s="127">
        <f t="shared" ref="AF27:AF46" si="9">SUM(D27:J27)</f>
        <v>7288301</v>
      </c>
      <c r="AG27" s="127"/>
      <c r="AH27" s="127">
        <f t="shared" ref="AH27:AH45" si="10">AH26</f>
        <v>3350968.8287649229</v>
      </c>
      <c r="AI27" s="124">
        <f t="shared" si="4"/>
        <v>3937332.1712350771</v>
      </c>
      <c r="AJ27" s="127">
        <f t="shared" si="7"/>
        <v>982364</v>
      </c>
      <c r="AK27" s="127">
        <v>0</v>
      </c>
      <c r="AL27" s="127">
        <v>0</v>
      </c>
      <c r="AM27" s="127">
        <f t="shared" si="8"/>
        <v>20082014.845215261</v>
      </c>
      <c r="AN27" s="111" t="str">
        <f t="shared" si="3"/>
        <v>DTL</v>
      </c>
      <c r="AT27" s="126"/>
      <c r="AU27" s="131"/>
    </row>
    <row r="28" spans="1:47">
      <c r="A28" s="107">
        <f t="shared" si="5"/>
        <v>10</v>
      </c>
      <c r="B28" s="126">
        <v>4.5220000000000003E-2</v>
      </c>
      <c r="C28" s="107">
        <f t="shared" si="6"/>
        <v>8</v>
      </c>
      <c r="D28" s="127">
        <v>43587</v>
      </c>
      <c r="E28" s="127">
        <v>224626</v>
      </c>
      <c r="F28" s="127">
        <v>771068</v>
      </c>
      <c r="G28" s="127">
        <v>1175203</v>
      </c>
      <c r="H28" s="127">
        <v>1313291</v>
      </c>
      <c r="I28" s="127">
        <v>1544990</v>
      </c>
      <c r="J28" s="127">
        <f t="shared" ref="J28:J46" si="11">ROUND((J$17-(J$17*J$19))*$B23,0)</f>
        <v>1668840</v>
      </c>
      <c r="AF28" s="127">
        <f t="shared" si="9"/>
        <v>6741605</v>
      </c>
      <c r="AG28" s="127"/>
      <c r="AH28" s="127">
        <f t="shared" si="10"/>
        <v>3350968.8287649229</v>
      </c>
      <c r="AI28" s="124">
        <f t="shared" si="4"/>
        <v>3390636.1712350771</v>
      </c>
      <c r="AJ28" s="127">
        <f t="shared" si="7"/>
        <v>845964</v>
      </c>
      <c r="AK28" s="127">
        <v>0</v>
      </c>
      <c r="AL28" s="127">
        <v>0</v>
      </c>
      <c r="AM28" s="127">
        <f t="shared" si="8"/>
        <v>20927978.845215261</v>
      </c>
      <c r="AN28" s="111" t="str">
        <f t="shared" si="3"/>
        <v>DTL</v>
      </c>
      <c r="AT28" s="126"/>
      <c r="AU28" s="131"/>
    </row>
    <row r="29" spans="1:47">
      <c r="A29" s="107">
        <f t="shared" si="5"/>
        <v>11</v>
      </c>
      <c r="B29" s="126">
        <v>4.462E-2</v>
      </c>
      <c r="C29" s="107">
        <f t="shared" si="6"/>
        <v>9</v>
      </c>
      <c r="D29" s="127">
        <v>43009</v>
      </c>
      <c r="E29" s="127">
        <v>221646</v>
      </c>
      <c r="F29" s="127">
        <v>713332</v>
      </c>
      <c r="G29" s="127">
        <v>1086924</v>
      </c>
      <c r="H29" s="127">
        <v>1214904</v>
      </c>
      <c r="I29" s="127">
        <v>1428935</v>
      </c>
      <c r="J29" s="127">
        <f t="shared" si="11"/>
        <v>1543870</v>
      </c>
      <c r="AF29" s="127">
        <f t="shared" si="9"/>
        <v>6252620</v>
      </c>
      <c r="AG29" s="127"/>
      <c r="AH29" s="127">
        <f t="shared" si="10"/>
        <v>3350968.8287649229</v>
      </c>
      <c r="AI29" s="124">
        <f t="shared" si="4"/>
        <v>2901651.1712350771</v>
      </c>
      <c r="AJ29" s="127">
        <f t="shared" si="7"/>
        <v>723962</v>
      </c>
      <c r="AK29" s="127">
        <v>0</v>
      </c>
      <c r="AL29" s="127">
        <v>0</v>
      </c>
      <c r="AM29" s="127">
        <f t="shared" si="8"/>
        <v>21651940.845215261</v>
      </c>
      <c r="AN29" s="111" t="str">
        <f t="shared" si="3"/>
        <v>DTL</v>
      </c>
      <c r="AT29" s="126"/>
      <c r="AU29" s="131"/>
    </row>
    <row r="30" spans="1:47">
      <c r="A30" s="107">
        <f t="shared" si="5"/>
        <v>12</v>
      </c>
      <c r="B30" s="126">
        <v>4.4609999999999997E-2</v>
      </c>
      <c r="C30" s="107">
        <f t="shared" si="6"/>
        <v>10</v>
      </c>
      <c r="D30" s="127">
        <v>42999</v>
      </c>
      <c r="E30" s="127">
        <v>221596</v>
      </c>
      <c r="F30" s="127">
        <v>703868</v>
      </c>
      <c r="G30" s="127">
        <v>1005538</v>
      </c>
      <c r="H30" s="127">
        <v>1123642</v>
      </c>
      <c r="I30" s="127">
        <v>1321884</v>
      </c>
      <c r="J30" s="127">
        <f t="shared" si="11"/>
        <v>1427899</v>
      </c>
      <c r="K30" s="127"/>
      <c r="AF30" s="127">
        <f t="shared" si="9"/>
        <v>5847426</v>
      </c>
      <c r="AG30" s="127"/>
      <c r="AH30" s="127">
        <f t="shared" si="10"/>
        <v>3350968.8287649229</v>
      </c>
      <c r="AI30" s="124">
        <f t="shared" si="4"/>
        <v>2496457.1712350771</v>
      </c>
      <c r="AJ30" s="127">
        <f t="shared" si="7"/>
        <v>622866</v>
      </c>
      <c r="AK30" s="127">
        <v>0</v>
      </c>
      <c r="AL30" s="127">
        <v>0</v>
      </c>
      <c r="AM30" s="127">
        <f t="shared" si="8"/>
        <v>22274806.845215261</v>
      </c>
      <c r="AN30" s="111" t="str">
        <f t="shared" si="3"/>
        <v>DTL</v>
      </c>
      <c r="AT30" s="126"/>
      <c r="AU30" s="131"/>
    </row>
    <row r="31" spans="1:47">
      <c r="A31" s="107">
        <f t="shared" si="5"/>
        <v>13</v>
      </c>
      <c r="B31" s="126">
        <v>4.462E-2</v>
      </c>
      <c r="C31" s="107">
        <f t="shared" si="6"/>
        <v>11</v>
      </c>
      <c r="D31" s="127">
        <v>43009</v>
      </c>
      <c r="E31" s="127">
        <v>221646</v>
      </c>
      <c r="F31" s="127">
        <v>703710</v>
      </c>
      <c r="G31" s="127">
        <v>992196</v>
      </c>
      <c r="H31" s="127">
        <v>1039507</v>
      </c>
      <c r="I31" s="127">
        <v>1222586</v>
      </c>
      <c r="J31" s="127">
        <f t="shared" si="11"/>
        <v>1320925</v>
      </c>
      <c r="K31" s="127"/>
      <c r="L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>
        <f t="shared" si="9"/>
        <v>5543579</v>
      </c>
      <c r="AG31" s="127"/>
      <c r="AH31" s="127">
        <f t="shared" si="10"/>
        <v>3350968.8287649229</v>
      </c>
      <c r="AI31" s="124">
        <f t="shared" si="4"/>
        <v>2192610.1712350771</v>
      </c>
      <c r="AJ31" s="127">
        <f t="shared" si="7"/>
        <v>547056</v>
      </c>
      <c r="AK31" s="127">
        <v>0</v>
      </c>
      <c r="AL31" s="127">
        <v>0</v>
      </c>
      <c r="AM31" s="127">
        <f t="shared" si="8"/>
        <v>22821862.845215261</v>
      </c>
      <c r="AN31" s="111" t="str">
        <f t="shared" si="3"/>
        <v>DTL</v>
      </c>
      <c r="AT31" s="126"/>
      <c r="AU31" s="131"/>
    </row>
    <row r="32" spans="1:47">
      <c r="A32" s="107">
        <f t="shared" si="5"/>
        <v>14</v>
      </c>
      <c r="B32" s="126">
        <v>4.4609999999999997E-2</v>
      </c>
      <c r="C32" s="107">
        <f t="shared" si="6"/>
        <v>12</v>
      </c>
      <c r="D32" s="127">
        <v>42999</v>
      </c>
      <c r="E32" s="127">
        <v>221596</v>
      </c>
      <c r="F32" s="127">
        <v>703868</v>
      </c>
      <c r="G32" s="127">
        <v>991974</v>
      </c>
      <c r="H32" s="127">
        <v>1025714</v>
      </c>
      <c r="I32" s="127">
        <v>1131042</v>
      </c>
      <c r="J32" s="127">
        <f t="shared" si="11"/>
        <v>1221700</v>
      </c>
      <c r="K32" s="127"/>
      <c r="L32" s="127"/>
      <c r="M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>
        <f t="shared" si="9"/>
        <v>5338893</v>
      </c>
      <c r="AG32" s="127"/>
      <c r="AH32" s="127">
        <f t="shared" si="10"/>
        <v>3350968.8287649229</v>
      </c>
      <c r="AI32" s="124">
        <f t="shared" si="4"/>
        <v>1987924.1712350771</v>
      </c>
      <c r="AJ32" s="127">
        <f t="shared" si="7"/>
        <v>495987</v>
      </c>
      <c r="AK32" s="127">
        <v>0</v>
      </c>
      <c r="AL32" s="127">
        <v>0</v>
      </c>
      <c r="AM32" s="127">
        <f t="shared" si="8"/>
        <v>23317849.845215261</v>
      </c>
      <c r="AN32" s="111" t="str">
        <f t="shared" si="3"/>
        <v>DTL</v>
      </c>
      <c r="AT32" s="126"/>
      <c r="AU32" s="131"/>
    </row>
    <row r="33" spans="1:47">
      <c r="A33" s="107">
        <f t="shared" si="5"/>
        <v>15</v>
      </c>
      <c r="B33" s="126">
        <v>4.462E-2</v>
      </c>
      <c r="C33" s="107">
        <f t="shared" si="6"/>
        <v>13</v>
      </c>
      <c r="D33" s="127">
        <v>43009</v>
      </c>
      <c r="E33" s="127">
        <v>221646</v>
      </c>
      <c r="F33" s="127">
        <v>703710</v>
      </c>
      <c r="G33" s="127">
        <v>992196</v>
      </c>
      <c r="H33" s="127">
        <v>1025484</v>
      </c>
      <c r="I33" s="127">
        <v>1116035</v>
      </c>
      <c r="J33" s="127">
        <f t="shared" si="11"/>
        <v>1130222</v>
      </c>
      <c r="K33" s="127"/>
      <c r="L33" s="127"/>
      <c r="M33" s="127"/>
      <c r="N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>
        <f t="shared" si="9"/>
        <v>5232302</v>
      </c>
      <c r="AG33" s="127"/>
      <c r="AH33" s="127">
        <f t="shared" si="10"/>
        <v>3350968.8287649229</v>
      </c>
      <c r="AI33" s="124">
        <f t="shared" si="4"/>
        <v>1881333.1712350771</v>
      </c>
      <c r="AJ33" s="127">
        <f t="shared" si="7"/>
        <v>469393</v>
      </c>
      <c r="AK33" s="127">
        <v>0</v>
      </c>
      <c r="AL33" s="127">
        <v>0</v>
      </c>
      <c r="AM33" s="127">
        <f t="shared" si="8"/>
        <v>23787242.845215261</v>
      </c>
      <c r="AN33" s="111" t="str">
        <f t="shared" si="3"/>
        <v>DTL</v>
      </c>
      <c r="AT33" s="126"/>
      <c r="AU33" s="131"/>
    </row>
    <row r="34" spans="1:47">
      <c r="A34" s="107">
        <f t="shared" si="5"/>
        <v>16</v>
      </c>
      <c r="B34" s="126">
        <v>4.4609999999999997E-2</v>
      </c>
      <c r="C34" s="107">
        <f t="shared" si="6"/>
        <v>14</v>
      </c>
      <c r="D34" s="127">
        <v>42999</v>
      </c>
      <c r="E34" s="127">
        <v>221596</v>
      </c>
      <c r="F34" s="127">
        <v>703868</v>
      </c>
      <c r="G34" s="127">
        <v>991974</v>
      </c>
      <c r="H34" s="127">
        <v>1025714</v>
      </c>
      <c r="I34" s="127">
        <v>1115785</v>
      </c>
      <c r="J34" s="127">
        <f t="shared" si="11"/>
        <v>1115226</v>
      </c>
      <c r="K34" s="127"/>
      <c r="L34" s="127"/>
      <c r="M34" s="127"/>
      <c r="N34" s="127"/>
      <c r="O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>
        <f t="shared" si="9"/>
        <v>5217162</v>
      </c>
      <c r="AG34" s="127"/>
      <c r="AH34" s="127">
        <f t="shared" si="10"/>
        <v>3350968.8287649229</v>
      </c>
      <c r="AI34" s="124">
        <f t="shared" si="4"/>
        <v>1866193.1712350771</v>
      </c>
      <c r="AJ34" s="127">
        <f t="shared" si="7"/>
        <v>465615</v>
      </c>
      <c r="AK34" s="127">
        <v>0</v>
      </c>
      <c r="AL34" s="127">
        <v>0</v>
      </c>
      <c r="AM34" s="127">
        <f t="shared" si="8"/>
        <v>24252857.845215261</v>
      </c>
      <c r="AN34" s="111" t="str">
        <f t="shared" si="3"/>
        <v>DTL</v>
      </c>
      <c r="AT34" s="126"/>
      <c r="AU34" s="131"/>
    </row>
    <row r="35" spans="1:47">
      <c r="A35" s="107">
        <f t="shared" si="5"/>
        <v>17</v>
      </c>
      <c r="B35" s="126">
        <v>4.462E-2</v>
      </c>
      <c r="C35" s="107">
        <f t="shared" si="6"/>
        <v>15</v>
      </c>
      <c r="D35" s="127">
        <v>43009</v>
      </c>
      <c r="E35" s="127">
        <v>221646</v>
      </c>
      <c r="F35" s="127">
        <v>703710</v>
      </c>
      <c r="G35" s="127">
        <v>992196</v>
      </c>
      <c r="H35" s="127">
        <v>1025484</v>
      </c>
      <c r="I35" s="127">
        <v>1116035</v>
      </c>
      <c r="J35" s="127">
        <f t="shared" si="11"/>
        <v>1114976</v>
      </c>
      <c r="K35" s="127"/>
      <c r="L35" s="127"/>
      <c r="M35" s="127"/>
      <c r="N35" s="127"/>
      <c r="O35" s="127"/>
      <c r="P35" s="127"/>
      <c r="AF35" s="127">
        <f t="shared" si="9"/>
        <v>5217056</v>
      </c>
      <c r="AG35" s="127"/>
      <c r="AH35" s="127">
        <f t="shared" si="10"/>
        <v>3350968.8287649229</v>
      </c>
      <c r="AI35" s="124">
        <f t="shared" si="4"/>
        <v>1866087.1712350771</v>
      </c>
      <c r="AJ35" s="127">
        <f t="shared" si="7"/>
        <v>465589</v>
      </c>
      <c r="AK35" s="127">
        <v>0</v>
      </c>
      <c r="AL35" s="127">
        <v>0</v>
      </c>
      <c r="AM35" s="127">
        <f t="shared" si="8"/>
        <v>24718446.845215261</v>
      </c>
      <c r="AN35" s="111" t="str">
        <f t="shared" si="3"/>
        <v>DTL</v>
      </c>
      <c r="AT35" s="126"/>
      <c r="AU35" s="131"/>
    </row>
    <row r="36" spans="1:47">
      <c r="A36" s="107">
        <f t="shared" si="5"/>
        <v>18</v>
      </c>
      <c r="B36" s="126">
        <v>4.4609999999999997E-2</v>
      </c>
      <c r="C36" s="107">
        <f t="shared" si="6"/>
        <v>16</v>
      </c>
      <c r="D36" s="127">
        <v>42999</v>
      </c>
      <c r="E36" s="127">
        <v>221596</v>
      </c>
      <c r="F36" s="127">
        <v>703868</v>
      </c>
      <c r="G36" s="127">
        <v>991974</v>
      </c>
      <c r="H36" s="127">
        <v>1025714</v>
      </c>
      <c r="I36" s="127">
        <v>1115785</v>
      </c>
      <c r="J36" s="127">
        <f t="shared" si="11"/>
        <v>1115226</v>
      </c>
      <c r="K36" s="127"/>
      <c r="L36" s="127"/>
      <c r="M36" s="127"/>
      <c r="N36" s="127"/>
      <c r="O36" s="127"/>
      <c r="P36" s="127"/>
      <c r="Q36" s="127"/>
      <c r="AF36" s="127">
        <f t="shared" si="9"/>
        <v>5217162</v>
      </c>
      <c r="AG36" s="127"/>
      <c r="AH36" s="127">
        <f t="shared" si="10"/>
        <v>3350968.8287649229</v>
      </c>
      <c r="AI36" s="124">
        <f t="shared" si="4"/>
        <v>1866193.1712350771</v>
      </c>
      <c r="AJ36" s="127">
        <f t="shared" si="7"/>
        <v>465615</v>
      </c>
      <c r="AK36" s="127">
        <v>0</v>
      </c>
      <c r="AL36" s="127">
        <v>0</v>
      </c>
      <c r="AM36" s="127">
        <f t="shared" si="8"/>
        <v>25184061.845215261</v>
      </c>
      <c r="AN36" s="111" t="str">
        <f t="shared" si="3"/>
        <v>DTL</v>
      </c>
      <c r="AT36" s="126"/>
      <c r="AU36" s="131"/>
    </row>
    <row r="37" spans="1:47">
      <c r="A37" s="107">
        <f t="shared" si="5"/>
        <v>19</v>
      </c>
      <c r="B37" s="126">
        <v>4.462E-2</v>
      </c>
      <c r="C37" s="107">
        <f t="shared" si="6"/>
        <v>17</v>
      </c>
      <c r="D37" s="127">
        <v>43009</v>
      </c>
      <c r="E37" s="127">
        <v>221646</v>
      </c>
      <c r="F37" s="127">
        <v>703710</v>
      </c>
      <c r="G37" s="127">
        <v>992196</v>
      </c>
      <c r="H37" s="127">
        <v>1025484</v>
      </c>
      <c r="I37" s="127">
        <v>1116035</v>
      </c>
      <c r="J37" s="127">
        <f t="shared" si="11"/>
        <v>1114976</v>
      </c>
      <c r="K37" s="127"/>
      <c r="L37" s="127"/>
      <c r="M37" s="127"/>
      <c r="N37" s="127"/>
      <c r="O37" s="127"/>
      <c r="P37" s="127"/>
      <c r="Q37" s="127"/>
      <c r="R37" s="127"/>
      <c r="AF37" s="127">
        <f t="shared" si="9"/>
        <v>5217056</v>
      </c>
      <c r="AG37" s="127"/>
      <c r="AH37" s="127">
        <f t="shared" si="10"/>
        <v>3350968.8287649229</v>
      </c>
      <c r="AI37" s="124">
        <f t="shared" si="4"/>
        <v>1866087.1712350771</v>
      </c>
      <c r="AJ37" s="127">
        <f t="shared" si="7"/>
        <v>465589</v>
      </c>
      <c r="AK37" s="127">
        <v>0</v>
      </c>
      <c r="AL37" s="127">
        <v>0</v>
      </c>
      <c r="AM37" s="127">
        <f t="shared" si="8"/>
        <v>25649650.845215261</v>
      </c>
      <c r="AN37" s="111" t="str">
        <f t="shared" si="3"/>
        <v>DTL</v>
      </c>
      <c r="AT37" s="126"/>
      <c r="AU37" s="131"/>
    </row>
    <row r="38" spans="1:47">
      <c r="A38" s="107">
        <f t="shared" si="5"/>
        <v>20</v>
      </c>
      <c r="B38" s="126">
        <v>4.4609999999999997E-2</v>
      </c>
      <c r="C38" s="107">
        <f t="shared" si="6"/>
        <v>18</v>
      </c>
      <c r="D38" s="127">
        <v>42999</v>
      </c>
      <c r="E38" s="127">
        <v>221596</v>
      </c>
      <c r="F38" s="127">
        <v>703868</v>
      </c>
      <c r="G38" s="127">
        <v>991974</v>
      </c>
      <c r="H38" s="127">
        <v>1025714</v>
      </c>
      <c r="I38" s="127">
        <v>1115785</v>
      </c>
      <c r="J38" s="127">
        <f t="shared" si="11"/>
        <v>1115226</v>
      </c>
      <c r="K38" s="127"/>
      <c r="L38" s="127"/>
      <c r="M38" s="127"/>
      <c r="N38" s="127"/>
      <c r="O38" s="127"/>
      <c r="P38" s="127"/>
      <c r="Q38" s="127"/>
      <c r="R38" s="127"/>
      <c r="S38" s="127"/>
      <c r="AF38" s="127">
        <f t="shared" si="9"/>
        <v>5217162</v>
      </c>
      <c r="AG38" s="127"/>
      <c r="AH38" s="127">
        <f t="shared" si="10"/>
        <v>3350968.8287649229</v>
      </c>
      <c r="AI38" s="124">
        <f t="shared" si="4"/>
        <v>1866193.1712350771</v>
      </c>
      <c r="AJ38" s="127">
        <f t="shared" si="7"/>
        <v>465615</v>
      </c>
      <c r="AK38" s="127">
        <v>0</v>
      </c>
      <c r="AL38" s="127">
        <v>0</v>
      </c>
      <c r="AM38" s="127">
        <f t="shared" si="8"/>
        <v>26115265.845215261</v>
      </c>
      <c r="AN38" s="111" t="str">
        <f t="shared" si="3"/>
        <v>DTL</v>
      </c>
      <c r="AT38" s="126"/>
      <c r="AU38" s="131"/>
    </row>
    <row r="39" spans="1:47">
      <c r="A39" s="107">
        <f t="shared" si="5"/>
        <v>21</v>
      </c>
      <c r="B39" s="126">
        <v>4.462E-2</v>
      </c>
      <c r="C39" s="107">
        <f t="shared" si="6"/>
        <v>19</v>
      </c>
      <c r="D39" s="127">
        <v>43009</v>
      </c>
      <c r="E39" s="127">
        <v>221646</v>
      </c>
      <c r="F39" s="127">
        <v>703710</v>
      </c>
      <c r="G39" s="127">
        <v>992196</v>
      </c>
      <c r="H39" s="127">
        <v>1025484</v>
      </c>
      <c r="I39" s="127">
        <v>1116035</v>
      </c>
      <c r="J39" s="127">
        <f t="shared" si="11"/>
        <v>1114976</v>
      </c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F39" s="127">
        <f t="shared" si="9"/>
        <v>5217056</v>
      </c>
      <c r="AG39" s="127"/>
      <c r="AH39" s="127">
        <f t="shared" si="10"/>
        <v>3350968.8287649229</v>
      </c>
      <c r="AI39" s="124">
        <f t="shared" si="4"/>
        <v>1866087.1712350771</v>
      </c>
      <c r="AJ39" s="127">
        <f t="shared" si="7"/>
        <v>465589</v>
      </c>
      <c r="AK39" s="127">
        <v>0</v>
      </c>
      <c r="AL39" s="127">
        <v>0</v>
      </c>
      <c r="AM39" s="127">
        <f t="shared" si="8"/>
        <v>26580854.845215261</v>
      </c>
      <c r="AN39" s="111" t="str">
        <f t="shared" si="3"/>
        <v>DTL</v>
      </c>
      <c r="AT39" s="126"/>
      <c r="AU39" s="131"/>
    </row>
    <row r="40" spans="1:47">
      <c r="A40" s="107">
        <f t="shared" si="5"/>
        <v>22</v>
      </c>
      <c r="B40" s="126">
        <v>4.4609999999999997E-2</v>
      </c>
      <c r="C40" s="107">
        <f t="shared" si="6"/>
        <v>20</v>
      </c>
      <c r="D40" s="127">
        <v>42999</v>
      </c>
      <c r="E40" s="127">
        <v>221596</v>
      </c>
      <c r="F40" s="127">
        <v>703868</v>
      </c>
      <c r="G40" s="127">
        <v>991974</v>
      </c>
      <c r="H40" s="127">
        <v>1025714</v>
      </c>
      <c r="I40" s="127">
        <v>1115785</v>
      </c>
      <c r="J40" s="127">
        <f t="shared" si="11"/>
        <v>1115226</v>
      </c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>
        <f t="shared" si="9"/>
        <v>5217162</v>
      </c>
      <c r="AG40" s="127"/>
      <c r="AH40" s="127">
        <f t="shared" si="10"/>
        <v>3350968.8287649229</v>
      </c>
      <c r="AI40" s="124">
        <f t="shared" si="4"/>
        <v>1866193.1712350771</v>
      </c>
      <c r="AJ40" s="127">
        <f t="shared" si="7"/>
        <v>465615</v>
      </c>
      <c r="AK40" s="127">
        <v>0</v>
      </c>
      <c r="AL40" s="127">
        <v>0</v>
      </c>
      <c r="AM40" s="127">
        <f t="shared" si="8"/>
        <v>27046469.845215261</v>
      </c>
      <c r="AN40" s="111" t="str">
        <f t="shared" si="3"/>
        <v>DTL</v>
      </c>
      <c r="AT40" s="126"/>
      <c r="AU40" s="131"/>
    </row>
    <row r="41" spans="1:47">
      <c r="A41" s="107">
        <f t="shared" si="5"/>
        <v>23</v>
      </c>
      <c r="B41" s="126">
        <v>2.231E-2</v>
      </c>
      <c r="C41" s="107">
        <f t="shared" si="6"/>
        <v>21</v>
      </c>
      <c r="D41" s="127">
        <v>21504</v>
      </c>
      <c r="E41" s="127">
        <v>110823</v>
      </c>
      <c r="F41" s="127">
        <v>703710</v>
      </c>
      <c r="G41" s="127">
        <v>992196</v>
      </c>
      <c r="H41" s="127">
        <v>1025484</v>
      </c>
      <c r="I41" s="127">
        <v>1116035</v>
      </c>
      <c r="J41" s="127">
        <f t="shared" si="11"/>
        <v>1114976</v>
      </c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>
        <f t="shared" si="9"/>
        <v>5084728</v>
      </c>
      <c r="AG41" s="127"/>
      <c r="AH41" s="127">
        <f t="shared" si="10"/>
        <v>3350968.8287649229</v>
      </c>
      <c r="AI41" s="124">
        <f t="shared" si="4"/>
        <v>1733759.1712350771</v>
      </c>
      <c r="AJ41" s="127">
        <f t="shared" si="7"/>
        <v>432573</v>
      </c>
      <c r="AK41" s="127">
        <v>0</v>
      </c>
      <c r="AL41" s="127">
        <v>0</v>
      </c>
      <c r="AM41" s="127">
        <f t="shared" si="8"/>
        <v>27479042.845215261</v>
      </c>
      <c r="AN41" s="111" t="str">
        <f t="shared" si="3"/>
        <v>DTL</v>
      </c>
      <c r="AT41" s="126"/>
      <c r="AU41" s="131"/>
    </row>
    <row r="42" spans="1:47">
      <c r="A42" s="107">
        <f t="shared" si="5"/>
        <v>24</v>
      </c>
      <c r="B42" s="126"/>
      <c r="C42" s="107">
        <f t="shared" si="6"/>
        <v>22</v>
      </c>
      <c r="F42" s="127">
        <v>351934</v>
      </c>
      <c r="G42" s="127">
        <v>991974</v>
      </c>
      <c r="H42" s="127">
        <v>1025714</v>
      </c>
      <c r="I42" s="127">
        <v>1115785</v>
      </c>
      <c r="J42" s="127">
        <f t="shared" si="11"/>
        <v>1115226</v>
      </c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>
        <f>SUM(F42:J42)</f>
        <v>4600633</v>
      </c>
      <c r="AH42" s="127">
        <f t="shared" si="10"/>
        <v>3350968.8287649229</v>
      </c>
      <c r="AI42" s="124">
        <f t="shared" si="4"/>
        <v>1249664.1712350771</v>
      </c>
      <c r="AJ42" s="127">
        <f t="shared" si="7"/>
        <v>311791</v>
      </c>
      <c r="AK42" s="127">
        <v>0</v>
      </c>
      <c r="AL42" s="127">
        <v>0</v>
      </c>
      <c r="AM42" s="127">
        <f t="shared" si="8"/>
        <v>27790833.845215261</v>
      </c>
      <c r="AN42" s="111" t="str">
        <f t="shared" si="3"/>
        <v>DTL</v>
      </c>
    </row>
    <row r="43" spans="1:47">
      <c r="A43" s="107">
        <f t="shared" si="5"/>
        <v>25</v>
      </c>
      <c r="B43" s="126"/>
      <c r="C43" s="107"/>
      <c r="F43" s="127"/>
      <c r="G43" s="127">
        <v>496098</v>
      </c>
      <c r="H43" s="127">
        <v>1025484</v>
      </c>
      <c r="I43" s="127">
        <v>1116035</v>
      </c>
      <c r="J43" s="127">
        <f t="shared" si="11"/>
        <v>1114976</v>
      </c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>
        <f>SUM(G43:J43)</f>
        <v>3752593</v>
      </c>
      <c r="AH43" s="127">
        <f t="shared" si="10"/>
        <v>3350968.8287649229</v>
      </c>
      <c r="AI43" s="124">
        <f t="shared" si="4"/>
        <v>401624.17123507708</v>
      </c>
      <c r="AJ43" s="127">
        <f t="shared" si="7"/>
        <v>100205</v>
      </c>
      <c r="AK43" s="127">
        <v>0</v>
      </c>
      <c r="AL43" s="127">
        <v>0</v>
      </c>
      <c r="AM43" s="127">
        <f t="shared" si="8"/>
        <v>27891038.845215261</v>
      </c>
      <c r="AN43" s="111" t="str">
        <f t="shared" si="3"/>
        <v>DTL</v>
      </c>
    </row>
    <row r="44" spans="1:47">
      <c r="A44" s="107">
        <f t="shared" si="5"/>
        <v>26</v>
      </c>
      <c r="B44" s="126"/>
      <c r="C44" s="107"/>
      <c r="F44" s="127"/>
      <c r="G44" s="127"/>
      <c r="H44" s="127">
        <v>512857</v>
      </c>
      <c r="I44" s="127">
        <v>1115785</v>
      </c>
      <c r="J44" s="127">
        <f t="shared" si="11"/>
        <v>1115226</v>
      </c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>
        <f>SUM(H44:J44)</f>
        <v>2743868</v>
      </c>
      <c r="AH44" s="127">
        <f t="shared" si="10"/>
        <v>3350968.8287649229</v>
      </c>
      <c r="AI44" s="124">
        <f>AF44+AG44-AH44</f>
        <v>-607100.82876492292</v>
      </c>
      <c r="AJ44" s="127">
        <f>ROUND($AQ$12*AI44,0)</f>
        <v>-151472</v>
      </c>
      <c r="AK44" s="127">
        <v>0</v>
      </c>
      <c r="AL44" s="127">
        <v>0</v>
      </c>
      <c r="AM44" s="127">
        <f>AM43+AJ44+AK44+AL44</f>
        <v>27739566.845215261</v>
      </c>
      <c r="AN44" s="111" t="str">
        <f>IF(AM44&gt;0,"DTL","DTA")</f>
        <v>DTL</v>
      </c>
    </row>
    <row r="45" spans="1:47">
      <c r="A45" s="107">
        <f t="shared" si="5"/>
        <v>27</v>
      </c>
      <c r="B45" s="126"/>
      <c r="C45" s="107"/>
      <c r="F45" s="127"/>
      <c r="G45" s="127"/>
      <c r="H45" s="127"/>
      <c r="I45" s="127">
        <v>558017</v>
      </c>
      <c r="J45" s="127">
        <f t="shared" si="11"/>
        <v>1114976</v>
      </c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>
        <f>SUM(I45:J45)</f>
        <v>1672993</v>
      </c>
      <c r="AH45" s="127">
        <f t="shared" si="10"/>
        <v>3350968.8287649229</v>
      </c>
      <c r="AI45" s="124">
        <f t="shared" ref="AI45" si="12">AF45+AG45-AH45</f>
        <v>-1677975.8287649229</v>
      </c>
      <c r="AJ45" s="127">
        <f t="shared" ref="AJ45" si="13">ROUND($AQ$12*AI45,0)</f>
        <v>-418655</v>
      </c>
      <c r="AK45" s="127">
        <v>0</v>
      </c>
      <c r="AL45" s="127">
        <v>0</v>
      </c>
      <c r="AM45" s="127">
        <f t="shared" ref="AM45" si="14">AM44+AJ45+AK45+AL45</f>
        <v>27320911.845215261</v>
      </c>
      <c r="AN45" s="111" t="str">
        <f t="shared" ref="AN45" si="15">IF(AM45&gt;0,"DTL","DTA")</f>
        <v>DTL</v>
      </c>
    </row>
    <row r="46" spans="1:47">
      <c r="A46" s="107">
        <f t="shared" si="5"/>
        <v>28</v>
      </c>
      <c r="B46" s="126"/>
      <c r="C46" s="107"/>
      <c r="F46" s="127"/>
      <c r="G46" s="127"/>
      <c r="H46" s="127"/>
      <c r="I46" s="127"/>
      <c r="J46" s="127">
        <f t="shared" si="11"/>
        <v>557613</v>
      </c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>
        <f t="shared" si="9"/>
        <v>557613</v>
      </c>
      <c r="AH46" s="127"/>
      <c r="AI46" s="124"/>
      <c r="AJ46" s="127"/>
      <c r="AK46" s="127"/>
      <c r="AL46" s="127"/>
      <c r="AM46" s="127"/>
      <c r="AN46" s="111"/>
    </row>
    <row r="47" spans="1:47">
      <c r="A47" s="107">
        <f t="shared" si="5"/>
        <v>29</v>
      </c>
      <c r="D47" s="124">
        <f>SUM(D21:D42)-2</f>
        <v>2374447</v>
      </c>
      <c r="E47" s="124">
        <f>SUM(E21:E42)-2</f>
        <v>12236753</v>
      </c>
      <c r="F47" s="124">
        <f>SUM(F21:F42)-4</f>
        <v>22159791</v>
      </c>
      <c r="G47" s="124">
        <f>SUM(G21:G43)</f>
        <v>34689302</v>
      </c>
      <c r="H47" s="124">
        <f>SUM(H21:H45)</f>
        <v>35861161</v>
      </c>
      <c r="I47" s="124">
        <f>SUM(I21:I45)</f>
        <v>39018971</v>
      </c>
      <c r="J47" s="124">
        <f>SUM(J21:J46)</f>
        <v>38990683</v>
      </c>
      <c r="K47" s="124">
        <f t="shared" ref="K47:AE47" si="16">SUM(K21:K43)</f>
        <v>0</v>
      </c>
      <c r="L47" s="124">
        <f t="shared" si="16"/>
        <v>0</v>
      </c>
      <c r="M47" s="124">
        <f t="shared" si="16"/>
        <v>0</v>
      </c>
      <c r="N47" s="124">
        <f t="shared" si="16"/>
        <v>0</v>
      </c>
      <c r="O47" s="124">
        <f t="shared" si="16"/>
        <v>0</v>
      </c>
      <c r="P47" s="124">
        <f t="shared" si="16"/>
        <v>0</v>
      </c>
      <c r="Q47" s="124">
        <f t="shared" si="16"/>
        <v>0</v>
      </c>
      <c r="R47" s="124">
        <f t="shared" si="16"/>
        <v>0</v>
      </c>
      <c r="S47" s="124">
        <f t="shared" si="16"/>
        <v>0</v>
      </c>
      <c r="T47" s="124">
        <f t="shared" si="16"/>
        <v>0</v>
      </c>
      <c r="U47" s="124">
        <f t="shared" si="16"/>
        <v>0</v>
      </c>
      <c r="V47" s="124">
        <f t="shared" si="16"/>
        <v>0</v>
      </c>
      <c r="W47" s="124">
        <f t="shared" si="16"/>
        <v>0</v>
      </c>
      <c r="X47" s="124">
        <f t="shared" si="16"/>
        <v>0</v>
      </c>
      <c r="Y47" s="124">
        <f t="shared" si="16"/>
        <v>0</v>
      </c>
      <c r="Z47" s="124">
        <f t="shared" si="16"/>
        <v>0</v>
      </c>
      <c r="AA47" s="124">
        <f t="shared" si="16"/>
        <v>0</v>
      </c>
      <c r="AB47" s="124">
        <f t="shared" si="16"/>
        <v>0</v>
      </c>
      <c r="AC47" s="124">
        <f t="shared" si="16"/>
        <v>0</v>
      </c>
      <c r="AD47" s="124">
        <f t="shared" si="16"/>
        <v>0</v>
      </c>
      <c r="AE47" s="124">
        <f t="shared" si="16"/>
        <v>0</v>
      </c>
      <c r="AF47" s="124">
        <f>SUM(AF21:AF44)</f>
        <v>183100510</v>
      </c>
      <c r="AG47" s="124">
        <f>SUM(AG21:AG44)</f>
        <v>8137454.0417465232</v>
      </c>
      <c r="AH47" s="124">
        <f>SUM(AH21:AH44)</f>
        <v>69619960.714737058</v>
      </c>
      <c r="AI47" s="127"/>
      <c r="AJ47" s="127"/>
      <c r="AK47" s="127"/>
      <c r="AL47" s="127"/>
      <c r="AM47" s="124"/>
      <c r="AN47" s="124"/>
    </row>
    <row r="48" spans="1:47"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7"/>
      <c r="AG48" s="124"/>
      <c r="AH48" s="127"/>
      <c r="AI48" s="127"/>
      <c r="AJ48" s="127"/>
      <c r="AK48" s="127"/>
      <c r="AL48" s="127"/>
      <c r="AM48" s="124"/>
      <c r="AN48" s="124"/>
    </row>
    <row r="49" spans="1:40">
      <c r="A49" s="135" t="s">
        <v>134</v>
      </c>
      <c r="F49" s="124"/>
      <c r="AF49" s="124"/>
      <c r="AG49" s="124"/>
      <c r="AH49" s="127"/>
      <c r="AI49" s="127"/>
      <c r="AJ49" s="136"/>
      <c r="AK49" s="136"/>
      <c r="AL49" s="136"/>
      <c r="AM49" s="124"/>
      <c r="AN49" s="124"/>
    </row>
    <row r="50" spans="1:40">
      <c r="A50" s="135" t="s">
        <v>220</v>
      </c>
      <c r="AH50" s="124"/>
      <c r="AI50" s="127"/>
      <c r="AJ50" s="127"/>
      <c r="AK50" s="127"/>
      <c r="AL50" s="127"/>
    </row>
    <row r="51" spans="1:40">
      <c r="A51" s="135" t="s">
        <v>221</v>
      </c>
      <c r="AH51" s="124"/>
      <c r="AI51" s="127"/>
      <c r="AJ51" s="127"/>
      <c r="AK51" s="127"/>
      <c r="AL51" s="127"/>
    </row>
    <row r="52" spans="1:40">
      <c r="A52" s="135" t="s">
        <v>222</v>
      </c>
      <c r="AH52" s="124"/>
      <c r="AI52" s="127"/>
      <c r="AJ52" s="127"/>
      <c r="AK52" s="127"/>
      <c r="AL52" s="127"/>
    </row>
    <row r="53" spans="1:40">
      <c r="D53" s="142">
        <v>2017</v>
      </c>
      <c r="E53" s="142">
        <v>2017</v>
      </c>
      <c r="F53" s="142">
        <v>2018</v>
      </c>
      <c r="G53" s="142">
        <v>2019</v>
      </c>
      <c r="H53" s="142">
        <v>2020</v>
      </c>
      <c r="I53" s="142">
        <v>2021</v>
      </c>
      <c r="J53" s="142">
        <v>2022</v>
      </c>
      <c r="AH53" s="124"/>
      <c r="AI53" s="127"/>
      <c r="AJ53" s="127"/>
      <c r="AK53" s="127"/>
      <c r="AL53" s="127"/>
      <c r="AM53" s="143"/>
    </row>
    <row r="54" spans="1:40">
      <c r="B54" s="144" t="s">
        <v>223</v>
      </c>
      <c r="D54" s="145">
        <v>0.1542</v>
      </c>
      <c r="E54" s="145">
        <v>0.1542</v>
      </c>
      <c r="F54" s="145">
        <v>0.25840000000000002</v>
      </c>
      <c r="G54" s="146">
        <v>0.3322</v>
      </c>
      <c r="H54" s="146">
        <v>0.3322</v>
      </c>
      <c r="I54" s="146">
        <v>0.3322</v>
      </c>
      <c r="J54" s="214">
        <v>0.3322</v>
      </c>
      <c r="AH54" s="124"/>
      <c r="AI54" s="127"/>
      <c r="AJ54" s="127"/>
      <c r="AK54" s="127"/>
      <c r="AL54" s="127"/>
      <c r="AM54" s="143"/>
    </row>
    <row r="55" spans="1:40">
      <c r="B55" s="144" t="s">
        <v>224</v>
      </c>
      <c r="D55" s="145">
        <v>4.0099999999999997E-2</v>
      </c>
      <c r="E55" s="145">
        <v>4.0099999999999997E-2</v>
      </c>
      <c r="F55" s="145">
        <v>4.0099999999999997E-2</v>
      </c>
      <c r="G55" s="146">
        <v>4.0099999999999997E-2</v>
      </c>
      <c r="H55" s="146">
        <v>4.0099999999999997E-2</v>
      </c>
      <c r="I55" s="146">
        <v>4.0099999999999997E-2</v>
      </c>
      <c r="J55" s="214">
        <v>4.0099999999999997E-2</v>
      </c>
      <c r="AG55" s="108" t="s">
        <v>225</v>
      </c>
      <c r="AM55" s="124"/>
    </row>
    <row r="56" spans="1:40">
      <c r="D56" s="147">
        <f>(1-D54)*D55</f>
        <v>3.3916579999999995E-2</v>
      </c>
      <c r="E56" s="147">
        <f>(1-E54)*E55</f>
        <v>3.3916579999999995E-2</v>
      </c>
      <c r="F56" s="147">
        <f t="shared" ref="F56:AE56" si="17">(1-F54)*F55</f>
        <v>2.973816E-2</v>
      </c>
      <c r="G56" s="147">
        <f t="shared" si="17"/>
        <v>2.6778779999999995E-2</v>
      </c>
      <c r="H56" s="147">
        <f>(1-H54)*H55</f>
        <v>2.6778779999999995E-2</v>
      </c>
      <c r="I56" s="147">
        <f>(1-I54)*I55</f>
        <v>2.6778779999999995E-2</v>
      </c>
      <c r="J56" s="147">
        <f>(1-J54)*J55</f>
        <v>2.6778779999999995E-2</v>
      </c>
      <c r="K56" s="147">
        <f t="shared" si="17"/>
        <v>0</v>
      </c>
      <c r="L56" s="147">
        <f t="shared" si="17"/>
        <v>0</v>
      </c>
      <c r="M56" s="147">
        <f t="shared" si="17"/>
        <v>0</v>
      </c>
      <c r="N56" s="147">
        <f t="shared" si="17"/>
        <v>0</v>
      </c>
      <c r="O56" s="147">
        <f t="shared" si="17"/>
        <v>0</v>
      </c>
      <c r="P56" s="147">
        <f t="shared" si="17"/>
        <v>0</v>
      </c>
      <c r="Q56" s="147">
        <f t="shared" si="17"/>
        <v>0</v>
      </c>
      <c r="R56" s="147">
        <f t="shared" si="17"/>
        <v>0</v>
      </c>
      <c r="S56" s="147">
        <f t="shared" si="17"/>
        <v>0</v>
      </c>
      <c r="T56" s="147">
        <f t="shared" si="17"/>
        <v>0</v>
      </c>
      <c r="U56" s="147">
        <f t="shared" si="17"/>
        <v>0</v>
      </c>
      <c r="V56" s="147">
        <f t="shared" si="17"/>
        <v>0</v>
      </c>
      <c r="W56" s="147">
        <f t="shared" si="17"/>
        <v>0</v>
      </c>
      <c r="X56" s="147">
        <f t="shared" si="17"/>
        <v>0</v>
      </c>
      <c r="Y56" s="147">
        <f t="shared" si="17"/>
        <v>0</v>
      </c>
      <c r="Z56" s="147">
        <f t="shared" si="17"/>
        <v>0</v>
      </c>
      <c r="AA56" s="147">
        <f t="shared" si="17"/>
        <v>0</v>
      </c>
      <c r="AB56" s="147">
        <f t="shared" si="17"/>
        <v>0</v>
      </c>
      <c r="AC56" s="147">
        <f t="shared" si="17"/>
        <v>0</v>
      </c>
      <c r="AD56" s="147">
        <f t="shared" si="17"/>
        <v>0</v>
      </c>
      <c r="AE56" s="147">
        <f t="shared" si="17"/>
        <v>0</v>
      </c>
      <c r="AJ56" s="107" t="s">
        <v>226</v>
      </c>
      <c r="AM56" s="124"/>
    </row>
    <row r="57" spans="1:40">
      <c r="B57" s="144" t="s">
        <v>227</v>
      </c>
      <c r="D57" s="147">
        <f>(1-D54-D56)*0.5</f>
        <v>0.40594171000000001</v>
      </c>
      <c r="E57" s="147">
        <f>(1-E54-E56)*0.5</f>
        <v>0.40594171000000001</v>
      </c>
      <c r="F57" s="147">
        <f>(1-F54-F56)*0</f>
        <v>0</v>
      </c>
      <c r="G57" s="147">
        <f>(1-G54-G56)*0</f>
        <v>0</v>
      </c>
      <c r="H57" s="147">
        <f>(1-H54-H56)*0</f>
        <v>0</v>
      </c>
      <c r="I57" s="147">
        <f>(1-I54-I56)*0</f>
        <v>0</v>
      </c>
      <c r="J57" s="147">
        <f>(1-J54-J56)*0</f>
        <v>0</v>
      </c>
      <c r="AG57" s="107"/>
      <c r="AH57" s="107"/>
      <c r="AI57" s="107" t="s">
        <v>228</v>
      </c>
      <c r="AJ57" s="107" t="s">
        <v>229</v>
      </c>
      <c r="AK57" s="107" t="s">
        <v>230</v>
      </c>
      <c r="AL57" s="107"/>
      <c r="AM57" s="107" t="s">
        <v>3</v>
      </c>
      <c r="AN57" s="107" t="s">
        <v>118</v>
      </c>
    </row>
    <row r="58" spans="1:40">
      <c r="B58" s="148"/>
      <c r="D58" s="147">
        <f t="shared" ref="D58:I58" si="18">D54+D56</f>
        <v>0.18811658000000001</v>
      </c>
      <c r="E58" s="147">
        <f t="shared" si="18"/>
        <v>0.18811658000000001</v>
      </c>
      <c r="F58" s="147">
        <f t="shared" si="18"/>
        <v>0.28813816000000003</v>
      </c>
      <c r="G58" s="147">
        <f t="shared" si="18"/>
        <v>0.35897878</v>
      </c>
      <c r="H58" s="147">
        <f t="shared" si="18"/>
        <v>0.35897878</v>
      </c>
      <c r="I58" s="147">
        <f t="shared" si="18"/>
        <v>0.35897878</v>
      </c>
      <c r="J58" s="147">
        <f t="shared" ref="J58" si="19">J54+J56</f>
        <v>0.35897878</v>
      </c>
      <c r="AG58" s="149" t="s">
        <v>24</v>
      </c>
      <c r="AH58" s="149" t="s">
        <v>231</v>
      </c>
      <c r="AI58" s="149" t="s">
        <v>232</v>
      </c>
      <c r="AJ58" s="149" t="s">
        <v>76</v>
      </c>
      <c r="AK58" s="149" t="s">
        <v>85</v>
      </c>
      <c r="AL58" s="149"/>
      <c r="AM58" s="149" t="s">
        <v>233</v>
      </c>
      <c r="AN58" s="149" t="s">
        <v>233</v>
      </c>
    </row>
    <row r="59" spans="1:40">
      <c r="D59" s="137"/>
      <c r="E59" s="137"/>
      <c r="F59" s="137"/>
      <c r="AG59" s="109">
        <v>2017</v>
      </c>
      <c r="AH59" s="127" t="e">
        <f>('Tax Depr Form 2.14 p.2'!$D$17+$E$17)*'Tax Depr Form 2.14 p.2'!B21</f>
        <v>#REF!</v>
      </c>
      <c r="AI59" s="124" t="e">
        <f>'Tax Depr Form 2.14 p.2'!D21+E21-AH59</f>
        <v>#REF!</v>
      </c>
      <c r="AJ59" s="127" t="e">
        <f>AI59*0.06</f>
        <v>#REF!</v>
      </c>
      <c r="AK59" s="127" t="e">
        <f>-AJ59*0.35</f>
        <v>#REF!</v>
      </c>
      <c r="AL59" s="127"/>
      <c r="AM59" s="124" t="e">
        <f t="shared" ref="AM59:AM79" si="20">AK59+AJ59</f>
        <v>#REF!</v>
      </c>
      <c r="AN59" s="124" t="e">
        <f>AM59</f>
        <v>#REF!</v>
      </c>
    </row>
    <row r="60" spans="1:40">
      <c r="D60" s="137"/>
      <c r="E60" s="137"/>
      <c r="F60" s="137"/>
      <c r="AG60" s="109">
        <v>2018</v>
      </c>
      <c r="AH60" s="127" t="e">
        <f>('Tax Depr Form 2.14 p.2'!$D$17+$E$17)*'Tax Depr Form 2.14 p.2'!B22</f>
        <v>#REF!</v>
      </c>
      <c r="AI60" s="124" t="e">
        <f>'Tax Depr Form 2.14 p.2'!D22+E22-AH60</f>
        <v>#REF!</v>
      </c>
      <c r="AJ60" s="127" t="e">
        <f>AI60*0.05</f>
        <v>#REF!</v>
      </c>
      <c r="AK60" s="127" t="e">
        <f t="shared" ref="AK60:AK79" si="21">-AJ60*0.21</f>
        <v>#REF!</v>
      </c>
      <c r="AL60" s="127"/>
      <c r="AM60" s="124" t="e">
        <f t="shared" si="20"/>
        <v>#REF!</v>
      </c>
      <c r="AN60" s="124" t="e">
        <f t="shared" ref="AN60:AN79" si="22">AM60+AN59</f>
        <v>#REF!</v>
      </c>
    </row>
    <row r="61" spans="1:40">
      <c r="AG61" s="109">
        <v>2019</v>
      </c>
      <c r="AH61" s="127" t="e">
        <f>('Tax Depr Form 2.14 p.2'!$D$17+$E$17)*'Tax Depr Form 2.14 p.2'!B23</f>
        <v>#REF!</v>
      </c>
      <c r="AI61" s="124" t="e">
        <f>'Tax Depr Form 2.14 p.2'!D23+E23-AH61</f>
        <v>#REF!</v>
      </c>
      <c r="AJ61" s="127" t="e">
        <f t="shared" ref="AJ61:AJ79" si="23">AI61*0.05</f>
        <v>#REF!</v>
      </c>
      <c r="AK61" s="127" t="e">
        <f t="shared" si="21"/>
        <v>#REF!</v>
      </c>
      <c r="AL61" s="127"/>
      <c r="AM61" s="124" t="e">
        <f t="shared" si="20"/>
        <v>#REF!</v>
      </c>
      <c r="AN61" s="124" t="e">
        <f t="shared" si="22"/>
        <v>#REF!</v>
      </c>
    </row>
    <row r="62" spans="1:40">
      <c r="AG62" s="109">
        <v>2020</v>
      </c>
      <c r="AH62" s="127" t="e">
        <f>('Tax Depr Form 2.14 p.2'!$D$17+$E$17)*'Tax Depr Form 2.14 p.2'!B24</f>
        <v>#REF!</v>
      </c>
      <c r="AI62" s="124" t="e">
        <f>'Tax Depr Form 2.14 p.2'!D24+E24-AH62</f>
        <v>#REF!</v>
      </c>
      <c r="AJ62" s="127" t="e">
        <f t="shared" si="23"/>
        <v>#REF!</v>
      </c>
      <c r="AK62" s="127" t="e">
        <f t="shared" si="21"/>
        <v>#REF!</v>
      </c>
      <c r="AL62" s="127"/>
      <c r="AM62" s="124" t="e">
        <f t="shared" si="20"/>
        <v>#REF!</v>
      </c>
      <c r="AN62" s="124" t="e">
        <f t="shared" si="22"/>
        <v>#REF!</v>
      </c>
    </row>
    <row r="63" spans="1:40">
      <c r="AG63" s="109">
        <v>2021</v>
      </c>
      <c r="AH63" s="127" t="e">
        <f>('Tax Depr Form 2.14 p.2'!$D$17+$E$17)*'Tax Depr Form 2.14 p.2'!B25</f>
        <v>#REF!</v>
      </c>
      <c r="AI63" s="124" t="e">
        <f>'Tax Depr Form 2.14 p.2'!D25+E25-AH63</f>
        <v>#REF!</v>
      </c>
      <c r="AJ63" s="127" t="e">
        <f t="shared" si="23"/>
        <v>#REF!</v>
      </c>
      <c r="AK63" s="127" t="e">
        <f t="shared" si="21"/>
        <v>#REF!</v>
      </c>
      <c r="AL63" s="127"/>
      <c r="AM63" s="124" t="e">
        <f t="shared" si="20"/>
        <v>#REF!</v>
      </c>
      <c r="AN63" s="124" t="e">
        <f t="shared" si="22"/>
        <v>#REF!</v>
      </c>
    </row>
    <row r="64" spans="1:40">
      <c r="AG64" s="109">
        <v>2022</v>
      </c>
      <c r="AH64" s="127" t="e">
        <f>('Tax Depr Form 2.14 p.2'!$D$17+$E$17)*'Tax Depr Form 2.14 p.2'!B26</f>
        <v>#REF!</v>
      </c>
      <c r="AI64" s="124" t="e">
        <f>'Tax Depr Form 2.14 p.2'!D26+E26-AH64</f>
        <v>#REF!</v>
      </c>
      <c r="AJ64" s="127" t="e">
        <f t="shared" si="23"/>
        <v>#REF!</v>
      </c>
      <c r="AK64" s="127" t="e">
        <f t="shared" si="21"/>
        <v>#REF!</v>
      </c>
      <c r="AL64" s="127"/>
      <c r="AM64" s="124" t="e">
        <f t="shared" si="20"/>
        <v>#REF!</v>
      </c>
      <c r="AN64" s="124" t="e">
        <f t="shared" si="22"/>
        <v>#REF!</v>
      </c>
    </row>
    <row r="65" spans="7:40">
      <c r="AF65" s="124"/>
      <c r="AG65" s="109">
        <v>2023</v>
      </c>
      <c r="AH65" s="127" t="e">
        <f>('Tax Depr Form 2.14 p.2'!$D$17+$E$17)*'Tax Depr Form 2.14 p.2'!B27</f>
        <v>#REF!</v>
      </c>
      <c r="AI65" s="124" t="e">
        <f>'Tax Depr Form 2.14 p.2'!D27+E27-AH65</f>
        <v>#REF!</v>
      </c>
      <c r="AJ65" s="127" t="e">
        <f t="shared" si="23"/>
        <v>#REF!</v>
      </c>
      <c r="AK65" s="127" t="e">
        <f t="shared" si="21"/>
        <v>#REF!</v>
      </c>
      <c r="AL65" s="127"/>
      <c r="AM65" s="124" t="e">
        <f t="shared" si="20"/>
        <v>#REF!</v>
      </c>
      <c r="AN65" s="124" t="e">
        <f t="shared" si="22"/>
        <v>#REF!</v>
      </c>
    </row>
    <row r="66" spans="7:40">
      <c r="AF66" s="124"/>
      <c r="AG66" s="109">
        <v>2024</v>
      </c>
      <c r="AH66" s="127" t="e">
        <f>('Tax Depr Form 2.14 p.2'!$D$17+$E$17)*'Tax Depr Form 2.14 p.2'!B28</f>
        <v>#REF!</v>
      </c>
      <c r="AI66" s="124" t="e">
        <f>'Tax Depr Form 2.14 p.2'!D28+E28-AH66</f>
        <v>#REF!</v>
      </c>
      <c r="AJ66" s="127" t="e">
        <f t="shared" si="23"/>
        <v>#REF!</v>
      </c>
      <c r="AK66" s="127" t="e">
        <f t="shared" si="21"/>
        <v>#REF!</v>
      </c>
      <c r="AL66" s="127"/>
      <c r="AM66" s="124" t="e">
        <f t="shared" si="20"/>
        <v>#REF!</v>
      </c>
      <c r="AN66" s="124" t="e">
        <f t="shared" si="22"/>
        <v>#REF!</v>
      </c>
    </row>
    <row r="67" spans="7:40">
      <c r="AF67" s="124"/>
      <c r="AG67" s="109">
        <v>2025</v>
      </c>
      <c r="AH67" s="127" t="e">
        <f>('Tax Depr Form 2.14 p.2'!$D$17+$E$17)*'Tax Depr Form 2.14 p.2'!B29</f>
        <v>#REF!</v>
      </c>
      <c r="AI67" s="124" t="e">
        <f>'Tax Depr Form 2.14 p.2'!D29+E29-AH67</f>
        <v>#REF!</v>
      </c>
      <c r="AJ67" s="127" t="e">
        <f t="shared" si="23"/>
        <v>#REF!</v>
      </c>
      <c r="AK67" s="127" t="e">
        <f t="shared" si="21"/>
        <v>#REF!</v>
      </c>
      <c r="AL67" s="127"/>
      <c r="AM67" s="124" t="e">
        <f t="shared" si="20"/>
        <v>#REF!</v>
      </c>
      <c r="AN67" s="124" t="e">
        <f t="shared" si="22"/>
        <v>#REF!</v>
      </c>
    </row>
    <row r="68" spans="7:40">
      <c r="AF68" s="124"/>
      <c r="AG68" s="109">
        <v>2026</v>
      </c>
      <c r="AH68" s="127" t="e">
        <f>('Tax Depr Form 2.14 p.2'!$D$17+$E$17)*'Tax Depr Form 2.14 p.2'!B30</f>
        <v>#REF!</v>
      </c>
      <c r="AI68" s="124" t="e">
        <f>'Tax Depr Form 2.14 p.2'!D30+E30-AH68</f>
        <v>#REF!</v>
      </c>
      <c r="AJ68" s="127" t="e">
        <f t="shared" si="23"/>
        <v>#REF!</v>
      </c>
      <c r="AK68" s="127" t="e">
        <f t="shared" si="21"/>
        <v>#REF!</v>
      </c>
      <c r="AL68" s="127"/>
      <c r="AM68" s="124" t="e">
        <f t="shared" si="20"/>
        <v>#REF!</v>
      </c>
      <c r="AN68" s="124" t="e">
        <f t="shared" si="22"/>
        <v>#REF!</v>
      </c>
    </row>
    <row r="69" spans="7:40">
      <c r="G69" s="127"/>
      <c r="AF69" s="124"/>
      <c r="AG69" s="109">
        <v>2027</v>
      </c>
      <c r="AH69" s="127" t="e">
        <f>('Tax Depr Form 2.14 p.2'!$D$17+$E$17)*'Tax Depr Form 2.14 p.2'!B31</f>
        <v>#REF!</v>
      </c>
      <c r="AI69" s="124" t="e">
        <f>'Tax Depr Form 2.14 p.2'!D31+E31-AH69</f>
        <v>#REF!</v>
      </c>
      <c r="AJ69" s="127" t="e">
        <f t="shared" si="23"/>
        <v>#REF!</v>
      </c>
      <c r="AK69" s="127" t="e">
        <f t="shared" si="21"/>
        <v>#REF!</v>
      </c>
      <c r="AL69" s="127"/>
      <c r="AM69" s="124" t="e">
        <f t="shared" si="20"/>
        <v>#REF!</v>
      </c>
      <c r="AN69" s="124" t="e">
        <f t="shared" si="22"/>
        <v>#REF!</v>
      </c>
    </row>
    <row r="70" spans="7:40">
      <c r="G70" s="127"/>
      <c r="H70" s="127"/>
      <c r="AF70" s="124"/>
      <c r="AG70" s="109">
        <v>2028</v>
      </c>
      <c r="AH70" s="127" t="e">
        <f>('Tax Depr Form 2.14 p.2'!$D$17+$E$17)*'Tax Depr Form 2.14 p.2'!B32</f>
        <v>#REF!</v>
      </c>
      <c r="AI70" s="124" t="e">
        <f>'Tax Depr Form 2.14 p.2'!D32+E32-AH70</f>
        <v>#REF!</v>
      </c>
      <c r="AJ70" s="127" t="e">
        <f t="shared" si="23"/>
        <v>#REF!</v>
      </c>
      <c r="AK70" s="127" t="e">
        <f t="shared" si="21"/>
        <v>#REF!</v>
      </c>
      <c r="AL70" s="127"/>
      <c r="AM70" s="124" t="e">
        <f t="shared" si="20"/>
        <v>#REF!</v>
      </c>
      <c r="AN70" s="124" t="e">
        <f t="shared" si="22"/>
        <v>#REF!</v>
      </c>
    </row>
    <row r="71" spans="7:40">
      <c r="G71" s="127"/>
      <c r="H71" s="127"/>
      <c r="I71" s="127"/>
      <c r="AF71" s="124"/>
      <c r="AG71" s="109">
        <v>2029</v>
      </c>
      <c r="AH71" s="127" t="e">
        <f>('Tax Depr Form 2.14 p.2'!$D$17+$E$17)*'Tax Depr Form 2.14 p.2'!B33</f>
        <v>#REF!</v>
      </c>
      <c r="AI71" s="124" t="e">
        <f>'Tax Depr Form 2.14 p.2'!D33+E33-AH71</f>
        <v>#REF!</v>
      </c>
      <c r="AJ71" s="127" t="e">
        <f t="shared" si="23"/>
        <v>#REF!</v>
      </c>
      <c r="AK71" s="127" t="e">
        <f t="shared" si="21"/>
        <v>#REF!</v>
      </c>
      <c r="AL71" s="127"/>
      <c r="AM71" s="124" t="e">
        <f t="shared" si="20"/>
        <v>#REF!</v>
      </c>
      <c r="AN71" s="124" t="e">
        <f t="shared" si="22"/>
        <v>#REF!</v>
      </c>
    </row>
    <row r="72" spans="7:40">
      <c r="G72" s="127"/>
      <c r="H72" s="127"/>
      <c r="I72" s="127"/>
      <c r="J72" s="127"/>
      <c r="AF72" s="124"/>
      <c r="AG72" s="109">
        <v>2030</v>
      </c>
      <c r="AH72" s="127" t="e">
        <f>('Tax Depr Form 2.14 p.2'!$D$17+$E$17)*'Tax Depr Form 2.14 p.2'!B34</f>
        <v>#REF!</v>
      </c>
      <c r="AI72" s="124" t="e">
        <f>'Tax Depr Form 2.14 p.2'!D34+E34-AH72</f>
        <v>#REF!</v>
      </c>
      <c r="AJ72" s="127" t="e">
        <f t="shared" si="23"/>
        <v>#REF!</v>
      </c>
      <c r="AK72" s="127" t="e">
        <f t="shared" si="21"/>
        <v>#REF!</v>
      </c>
      <c r="AL72" s="127"/>
      <c r="AM72" s="124" t="e">
        <f t="shared" si="20"/>
        <v>#REF!</v>
      </c>
      <c r="AN72" s="124" t="e">
        <f t="shared" si="22"/>
        <v>#REF!</v>
      </c>
    </row>
    <row r="73" spans="7:40">
      <c r="G73" s="127"/>
      <c r="H73" s="127"/>
      <c r="I73" s="127"/>
      <c r="J73" s="127"/>
      <c r="K73" s="127"/>
      <c r="AF73" s="124"/>
      <c r="AG73" s="109">
        <v>2031</v>
      </c>
      <c r="AH73" s="127" t="e">
        <f>('Tax Depr Form 2.14 p.2'!$D$17+$E$17)*'Tax Depr Form 2.14 p.2'!B35</f>
        <v>#REF!</v>
      </c>
      <c r="AI73" s="124" t="e">
        <f>'Tax Depr Form 2.14 p.2'!D35+E35-AH73</f>
        <v>#REF!</v>
      </c>
      <c r="AJ73" s="127" t="e">
        <f t="shared" si="23"/>
        <v>#REF!</v>
      </c>
      <c r="AK73" s="127" t="e">
        <f t="shared" si="21"/>
        <v>#REF!</v>
      </c>
      <c r="AL73" s="127"/>
      <c r="AM73" s="124" t="e">
        <f t="shared" si="20"/>
        <v>#REF!</v>
      </c>
      <c r="AN73" s="124" t="e">
        <f t="shared" si="22"/>
        <v>#REF!</v>
      </c>
    </row>
    <row r="74" spans="7:40"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27"/>
      <c r="AE74" s="127"/>
      <c r="AF74" s="124"/>
      <c r="AG74" s="109">
        <v>2032</v>
      </c>
      <c r="AH74" s="127" t="e">
        <f>('Tax Depr Form 2.14 p.2'!$D$17+$E$17)*'Tax Depr Form 2.14 p.2'!B36</f>
        <v>#REF!</v>
      </c>
      <c r="AI74" s="124" t="e">
        <f>'Tax Depr Form 2.14 p.2'!D36+E36-AH74</f>
        <v>#REF!</v>
      </c>
      <c r="AJ74" s="127" t="e">
        <f t="shared" si="23"/>
        <v>#REF!</v>
      </c>
      <c r="AK74" s="127" t="e">
        <f t="shared" si="21"/>
        <v>#REF!</v>
      </c>
      <c r="AL74" s="127"/>
      <c r="AM74" s="124" t="e">
        <f t="shared" si="20"/>
        <v>#REF!</v>
      </c>
      <c r="AN74" s="124" t="e">
        <f t="shared" si="22"/>
        <v>#REF!</v>
      </c>
    </row>
    <row r="75" spans="7:40"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  <c r="AF75" s="124"/>
      <c r="AG75" s="109">
        <v>2033</v>
      </c>
      <c r="AH75" s="127" t="e">
        <f>('Tax Depr Form 2.14 p.2'!$D$17+$E$17)*'Tax Depr Form 2.14 p.2'!B37</f>
        <v>#REF!</v>
      </c>
      <c r="AI75" s="124" t="e">
        <f>'Tax Depr Form 2.14 p.2'!D37+E37-AH75</f>
        <v>#REF!</v>
      </c>
      <c r="AJ75" s="127" t="e">
        <f t="shared" si="23"/>
        <v>#REF!</v>
      </c>
      <c r="AK75" s="127" t="e">
        <f t="shared" si="21"/>
        <v>#REF!</v>
      </c>
      <c r="AL75" s="127"/>
      <c r="AM75" s="124" t="e">
        <f t="shared" si="20"/>
        <v>#REF!</v>
      </c>
      <c r="AN75" s="124" t="e">
        <f t="shared" si="22"/>
        <v>#REF!</v>
      </c>
    </row>
    <row r="76" spans="7:40"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  <c r="AA76" s="127"/>
      <c r="AB76" s="127"/>
      <c r="AC76" s="127"/>
      <c r="AD76" s="127"/>
      <c r="AE76" s="127"/>
      <c r="AF76" s="124"/>
      <c r="AG76" s="109">
        <v>2034</v>
      </c>
      <c r="AH76" s="127" t="e">
        <f>('Tax Depr Form 2.14 p.2'!$D$17+$E$17)*'Tax Depr Form 2.14 p.2'!B38</f>
        <v>#REF!</v>
      </c>
      <c r="AI76" s="124" t="e">
        <f>'Tax Depr Form 2.14 p.2'!D38+E38-AH76</f>
        <v>#REF!</v>
      </c>
      <c r="AJ76" s="127" t="e">
        <f t="shared" si="23"/>
        <v>#REF!</v>
      </c>
      <c r="AK76" s="127" t="e">
        <f t="shared" si="21"/>
        <v>#REF!</v>
      </c>
      <c r="AL76" s="127"/>
      <c r="AM76" s="124" t="e">
        <f t="shared" si="20"/>
        <v>#REF!</v>
      </c>
      <c r="AN76" s="124" t="e">
        <f t="shared" si="22"/>
        <v>#REF!</v>
      </c>
    </row>
    <row r="77" spans="7:40"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27"/>
      <c r="AA77" s="127"/>
      <c r="AB77" s="127"/>
      <c r="AC77" s="127"/>
      <c r="AD77" s="127"/>
      <c r="AE77" s="127"/>
      <c r="AF77" s="124"/>
      <c r="AG77" s="109">
        <v>2035</v>
      </c>
      <c r="AH77" s="127" t="e">
        <f>('Tax Depr Form 2.14 p.2'!$D$17+$E$17)*'Tax Depr Form 2.14 p.2'!B39</f>
        <v>#REF!</v>
      </c>
      <c r="AI77" s="124" t="e">
        <f>'Tax Depr Form 2.14 p.2'!D39+E39-AH77</f>
        <v>#REF!</v>
      </c>
      <c r="AJ77" s="127" t="e">
        <f t="shared" si="23"/>
        <v>#REF!</v>
      </c>
      <c r="AK77" s="127" t="e">
        <f t="shared" si="21"/>
        <v>#REF!</v>
      </c>
      <c r="AL77" s="127"/>
      <c r="AM77" s="124" t="e">
        <f t="shared" si="20"/>
        <v>#REF!</v>
      </c>
      <c r="AN77" s="124" t="e">
        <f t="shared" si="22"/>
        <v>#REF!</v>
      </c>
    </row>
    <row r="78" spans="7:40"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  <c r="AA78" s="127"/>
      <c r="AB78" s="127"/>
      <c r="AC78" s="127"/>
      <c r="AD78" s="127"/>
      <c r="AE78" s="127"/>
      <c r="AG78" s="109">
        <v>2036</v>
      </c>
      <c r="AH78" s="127" t="e">
        <f>('Tax Depr Form 2.14 p.2'!$D$17+$E$17)*'Tax Depr Form 2.14 p.2'!B40</f>
        <v>#REF!</v>
      </c>
      <c r="AI78" s="124" t="e">
        <f>'Tax Depr Form 2.14 p.2'!D40+E40-AH78</f>
        <v>#REF!</v>
      </c>
      <c r="AJ78" s="127" t="e">
        <f t="shared" si="23"/>
        <v>#REF!</v>
      </c>
      <c r="AK78" s="127" t="e">
        <f t="shared" si="21"/>
        <v>#REF!</v>
      </c>
      <c r="AL78" s="127"/>
      <c r="AM78" s="124" t="e">
        <f t="shared" si="20"/>
        <v>#REF!</v>
      </c>
      <c r="AN78" s="124" t="e">
        <f t="shared" si="22"/>
        <v>#REF!</v>
      </c>
    </row>
    <row r="79" spans="7:40"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27"/>
      <c r="Z79" s="127"/>
      <c r="AA79" s="127"/>
      <c r="AB79" s="127"/>
      <c r="AC79" s="127"/>
      <c r="AD79" s="127"/>
      <c r="AE79" s="127"/>
      <c r="AG79" s="109">
        <v>2037</v>
      </c>
      <c r="AH79" s="127" t="e">
        <f>('Tax Depr Form 2.14 p.2'!$D$17+$E$17)*'Tax Depr Form 2.14 p.2'!B41</f>
        <v>#REF!</v>
      </c>
      <c r="AI79" s="124" t="e">
        <f>'Tax Depr Form 2.14 p.2'!D41+E41-AH79</f>
        <v>#REF!</v>
      </c>
      <c r="AJ79" s="127" t="e">
        <f t="shared" si="23"/>
        <v>#REF!</v>
      </c>
      <c r="AK79" s="127" t="e">
        <f t="shared" si="21"/>
        <v>#REF!</v>
      </c>
      <c r="AL79" s="127"/>
      <c r="AM79" s="124" t="e">
        <f t="shared" si="20"/>
        <v>#REF!</v>
      </c>
      <c r="AN79" s="124" t="e">
        <f t="shared" si="22"/>
        <v>#REF!</v>
      </c>
    </row>
    <row r="80" spans="7:40"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127"/>
      <c r="U80" s="127"/>
      <c r="V80" s="127"/>
      <c r="W80" s="127"/>
      <c r="X80" s="127"/>
      <c r="Y80" s="127"/>
      <c r="Z80" s="127"/>
      <c r="AA80" s="127"/>
      <c r="AB80" s="127"/>
      <c r="AC80" s="127"/>
      <c r="AD80" s="127"/>
      <c r="AE80" s="127"/>
      <c r="AH80" s="124" t="e">
        <f>SUM(AH59:AH79)</f>
        <v>#REF!</v>
      </c>
      <c r="AI80" s="124" t="e">
        <f>SUM(AI59:AI79)</f>
        <v>#REF!</v>
      </c>
      <c r="AJ80" s="124" t="e">
        <f>SUM(AJ59:AJ79)</f>
        <v>#REF!</v>
      </c>
      <c r="AK80" s="124" t="e">
        <f>SUM(AK59:AK79)</f>
        <v>#REF!</v>
      </c>
      <c r="AL80" s="124"/>
      <c r="AM80" s="124" t="e">
        <f>SUM(AM59:AM79)</f>
        <v>#REF!</v>
      </c>
    </row>
  </sheetData>
  <mergeCells count="4">
    <mergeCell ref="A7:AM7"/>
    <mergeCell ref="A8:AM8"/>
    <mergeCell ref="A9:AM9"/>
    <mergeCell ref="D18:AG18"/>
  </mergeCells>
  <printOptions horizontalCentered="1"/>
  <pageMargins left="0" right="0" top="0.5" bottom="0" header="0.5" footer="0.5"/>
  <pageSetup scale="6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rgb="FF00B050"/>
    <pageSetUpPr fitToPage="1"/>
  </sheetPr>
  <dimension ref="A1:AJ66"/>
  <sheetViews>
    <sheetView zoomScale="80" zoomScaleNormal="80" workbookViewId="0">
      <selection activeCell="F36" sqref="F36"/>
    </sheetView>
  </sheetViews>
  <sheetFormatPr defaultColWidth="8.86328125" defaultRowHeight="12.75"/>
  <cols>
    <col min="1" max="1" width="5.59765625" style="18" customWidth="1"/>
    <col min="2" max="2" width="1.3984375" style="13" customWidth="1"/>
    <col min="3" max="3" width="45.1328125" style="13" bestFit="1" customWidth="1"/>
    <col min="4" max="4" width="1.59765625" style="13" customWidth="1"/>
    <col min="5" max="5" width="14.3984375" style="13" customWidth="1"/>
    <col min="6" max="9" width="14.59765625" style="13" bestFit="1" customWidth="1"/>
    <col min="10" max="10" width="14.1328125" style="13" customWidth="1"/>
    <col min="11" max="17" width="14.3984375" style="13" bestFit="1" customWidth="1"/>
    <col min="18" max="18" width="1.59765625" style="13" customWidth="1"/>
    <col min="19" max="19" width="16" style="13" bestFit="1" customWidth="1"/>
    <col min="20" max="22" width="8.86328125" style="13"/>
    <col min="23" max="24" width="11.86328125" style="13" bestFit="1" customWidth="1"/>
    <col min="25" max="35" width="8.86328125" style="13"/>
    <col min="36" max="36" width="11.86328125" style="13" bestFit="1" customWidth="1"/>
    <col min="37" max="256" width="8.86328125" style="13"/>
    <col min="257" max="257" width="5.59765625" style="13" customWidth="1"/>
    <col min="258" max="258" width="1.3984375" style="13" customWidth="1"/>
    <col min="259" max="259" width="58.59765625" style="13" customWidth="1"/>
    <col min="260" max="260" width="1.59765625" style="13" customWidth="1"/>
    <col min="261" max="261" width="14.3984375" style="13" customWidth="1"/>
    <col min="262" max="264" width="13.59765625" style="13" customWidth="1"/>
    <col min="265" max="266" width="14.1328125" style="13" customWidth="1"/>
    <col min="267" max="273" width="14.3984375" style="13" bestFit="1" customWidth="1"/>
    <col min="274" max="274" width="1.59765625" style="13" customWidth="1"/>
    <col min="275" max="275" width="16" style="13" bestFit="1" customWidth="1"/>
    <col min="276" max="512" width="8.86328125" style="13"/>
    <col min="513" max="513" width="5.59765625" style="13" customWidth="1"/>
    <col min="514" max="514" width="1.3984375" style="13" customWidth="1"/>
    <col min="515" max="515" width="58.59765625" style="13" customWidth="1"/>
    <col min="516" max="516" width="1.59765625" style="13" customWidth="1"/>
    <col min="517" max="517" width="14.3984375" style="13" customWidth="1"/>
    <col min="518" max="520" width="13.59765625" style="13" customWidth="1"/>
    <col min="521" max="522" width="14.1328125" style="13" customWidth="1"/>
    <col min="523" max="529" width="14.3984375" style="13" bestFit="1" customWidth="1"/>
    <col min="530" max="530" width="1.59765625" style="13" customWidth="1"/>
    <col min="531" max="531" width="16" style="13" bestFit="1" customWidth="1"/>
    <col min="532" max="768" width="8.86328125" style="13"/>
    <col min="769" max="769" width="5.59765625" style="13" customWidth="1"/>
    <col min="770" max="770" width="1.3984375" style="13" customWidth="1"/>
    <col min="771" max="771" width="58.59765625" style="13" customWidth="1"/>
    <col min="772" max="772" width="1.59765625" style="13" customWidth="1"/>
    <col min="773" max="773" width="14.3984375" style="13" customWidth="1"/>
    <col min="774" max="776" width="13.59765625" style="13" customWidth="1"/>
    <col min="777" max="778" width="14.1328125" style="13" customWidth="1"/>
    <col min="779" max="785" width="14.3984375" style="13" bestFit="1" customWidth="1"/>
    <col min="786" max="786" width="1.59765625" style="13" customWidth="1"/>
    <col min="787" max="787" width="16" style="13" bestFit="1" customWidth="1"/>
    <col min="788" max="1024" width="8.86328125" style="13"/>
    <col min="1025" max="1025" width="5.59765625" style="13" customWidth="1"/>
    <col min="1026" max="1026" width="1.3984375" style="13" customWidth="1"/>
    <col min="1027" max="1027" width="58.59765625" style="13" customWidth="1"/>
    <col min="1028" max="1028" width="1.59765625" style="13" customWidth="1"/>
    <col min="1029" max="1029" width="14.3984375" style="13" customWidth="1"/>
    <col min="1030" max="1032" width="13.59765625" style="13" customWidth="1"/>
    <col min="1033" max="1034" width="14.1328125" style="13" customWidth="1"/>
    <col min="1035" max="1041" width="14.3984375" style="13" bestFit="1" customWidth="1"/>
    <col min="1042" max="1042" width="1.59765625" style="13" customWidth="1"/>
    <col min="1043" max="1043" width="16" style="13" bestFit="1" customWidth="1"/>
    <col min="1044" max="1280" width="8.86328125" style="13"/>
    <col min="1281" max="1281" width="5.59765625" style="13" customWidth="1"/>
    <col min="1282" max="1282" width="1.3984375" style="13" customWidth="1"/>
    <col min="1283" max="1283" width="58.59765625" style="13" customWidth="1"/>
    <col min="1284" max="1284" width="1.59765625" style="13" customWidth="1"/>
    <col min="1285" max="1285" width="14.3984375" style="13" customWidth="1"/>
    <col min="1286" max="1288" width="13.59765625" style="13" customWidth="1"/>
    <col min="1289" max="1290" width="14.1328125" style="13" customWidth="1"/>
    <col min="1291" max="1297" width="14.3984375" style="13" bestFit="1" customWidth="1"/>
    <col min="1298" max="1298" width="1.59765625" style="13" customWidth="1"/>
    <col min="1299" max="1299" width="16" style="13" bestFit="1" customWidth="1"/>
    <col min="1300" max="1536" width="8.86328125" style="13"/>
    <col min="1537" max="1537" width="5.59765625" style="13" customWidth="1"/>
    <col min="1538" max="1538" width="1.3984375" style="13" customWidth="1"/>
    <col min="1539" max="1539" width="58.59765625" style="13" customWidth="1"/>
    <col min="1540" max="1540" width="1.59765625" style="13" customWidth="1"/>
    <col min="1541" max="1541" width="14.3984375" style="13" customWidth="1"/>
    <col min="1542" max="1544" width="13.59765625" style="13" customWidth="1"/>
    <col min="1545" max="1546" width="14.1328125" style="13" customWidth="1"/>
    <col min="1547" max="1553" width="14.3984375" style="13" bestFit="1" customWidth="1"/>
    <col min="1554" max="1554" width="1.59765625" style="13" customWidth="1"/>
    <col min="1555" max="1555" width="16" style="13" bestFit="1" customWidth="1"/>
    <col min="1556" max="1792" width="8.86328125" style="13"/>
    <col min="1793" max="1793" width="5.59765625" style="13" customWidth="1"/>
    <col min="1794" max="1794" width="1.3984375" style="13" customWidth="1"/>
    <col min="1795" max="1795" width="58.59765625" style="13" customWidth="1"/>
    <col min="1796" max="1796" width="1.59765625" style="13" customWidth="1"/>
    <col min="1797" max="1797" width="14.3984375" style="13" customWidth="1"/>
    <col min="1798" max="1800" width="13.59765625" style="13" customWidth="1"/>
    <col min="1801" max="1802" width="14.1328125" style="13" customWidth="1"/>
    <col min="1803" max="1809" width="14.3984375" style="13" bestFit="1" customWidth="1"/>
    <col min="1810" max="1810" width="1.59765625" style="13" customWidth="1"/>
    <col min="1811" max="1811" width="16" style="13" bestFit="1" customWidth="1"/>
    <col min="1812" max="2048" width="8.86328125" style="13"/>
    <col min="2049" max="2049" width="5.59765625" style="13" customWidth="1"/>
    <col min="2050" max="2050" width="1.3984375" style="13" customWidth="1"/>
    <col min="2051" max="2051" width="58.59765625" style="13" customWidth="1"/>
    <col min="2052" max="2052" width="1.59765625" style="13" customWidth="1"/>
    <col min="2053" max="2053" width="14.3984375" style="13" customWidth="1"/>
    <col min="2054" max="2056" width="13.59765625" style="13" customWidth="1"/>
    <col min="2057" max="2058" width="14.1328125" style="13" customWidth="1"/>
    <col min="2059" max="2065" width="14.3984375" style="13" bestFit="1" customWidth="1"/>
    <col min="2066" max="2066" width="1.59765625" style="13" customWidth="1"/>
    <col min="2067" max="2067" width="16" style="13" bestFit="1" customWidth="1"/>
    <col min="2068" max="2304" width="8.86328125" style="13"/>
    <col min="2305" max="2305" width="5.59765625" style="13" customWidth="1"/>
    <col min="2306" max="2306" width="1.3984375" style="13" customWidth="1"/>
    <col min="2307" max="2307" width="58.59765625" style="13" customWidth="1"/>
    <col min="2308" max="2308" width="1.59765625" style="13" customWidth="1"/>
    <col min="2309" max="2309" width="14.3984375" style="13" customWidth="1"/>
    <col min="2310" max="2312" width="13.59765625" style="13" customWidth="1"/>
    <col min="2313" max="2314" width="14.1328125" style="13" customWidth="1"/>
    <col min="2315" max="2321" width="14.3984375" style="13" bestFit="1" customWidth="1"/>
    <col min="2322" max="2322" width="1.59765625" style="13" customWidth="1"/>
    <col min="2323" max="2323" width="16" style="13" bestFit="1" customWidth="1"/>
    <col min="2324" max="2560" width="8.86328125" style="13"/>
    <col min="2561" max="2561" width="5.59765625" style="13" customWidth="1"/>
    <col min="2562" max="2562" width="1.3984375" style="13" customWidth="1"/>
    <col min="2563" max="2563" width="58.59765625" style="13" customWidth="1"/>
    <col min="2564" max="2564" width="1.59765625" style="13" customWidth="1"/>
    <col min="2565" max="2565" width="14.3984375" style="13" customWidth="1"/>
    <col min="2566" max="2568" width="13.59765625" style="13" customWidth="1"/>
    <col min="2569" max="2570" width="14.1328125" style="13" customWidth="1"/>
    <col min="2571" max="2577" width="14.3984375" style="13" bestFit="1" customWidth="1"/>
    <col min="2578" max="2578" width="1.59765625" style="13" customWidth="1"/>
    <col min="2579" max="2579" width="16" style="13" bestFit="1" customWidth="1"/>
    <col min="2580" max="2816" width="8.86328125" style="13"/>
    <col min="2817" max="2817" width="5.59765625" style="13" customWidth="1"/>
    <col min="2818" max="2818" width="1.3984375" style="13" customWidth="1"/>
    <col min="2819" max="2819" width="58.59765625" style="13" customWidth="1"/>
    <col min="2820" max="2820" width="1.59765625" style="13" customWidth="1"/>
    <col min="2821" max="2821" width="14.3984375" style="13" customWidth="1"/>
    <col min="2822" max="2824" width="13.59765625" style="13" customWidth="1"/>
    <col min="2825" max="2826" width="14.1328125" style="13" customWidth="1"/>
    <col min="2827" max="2833" width="14.3984375" style="13" bestFit="1" customWidth="1"/>
    <col min="2834" max="2834" width="1.59765625" style="13" customWidth="1"/>
    <col min="2835" max="2835" width="16" style="13" bestFit="1" customWidth="1"/>
    <col min="2836" max="3072" width="8.86328125" style="13"/>
    <col min="3073" max="3073" width="5.59765625" style="13" customWidth="1"/>
    <col min="3074" max="3074" width="1.3984375" style="13" customWidth="1"/>
    <col min="3075" max="3075" width="58.59765625" style="13" customWidth="1"/>
    <col min="3076" max="3076" width="1.59765625" style="13" customWidth="1"/>
    <col min="3077" max="3077" width="14.3984375" style="13" customWidth="1"/>
    <col min="3078" max="3080" width="13.59765625" style="13" customWidth="1"/>
    <col min="3081" max="3082" width="14.1328125" style="13" customWidth="1"/>
    <col min="3083" max="3089" width="14.3984375" style="13" bestFit="1" customWidth="1"/>
    <col min="3090" max="3090" width="1.59765625" style="13" customWidth="1"/>
    <col min="3091" max="3091" width="16" style="13" bestFit="1" customWidth="1"/>
    <col min="3092" max="3328" width="8.86328125" style="13"/>
    <col min="3329" max="3329" width="5.59765625" style="13" customWidth="1"/>
    <col min="3330" max="3330" width="1.3984375" style="13" customWidth="1"/>
    <col min="3331" max="3331" width="58.59765625" style="13" customWidth="1"/>
    <col min="3332" max="3332" width="1.59765625" style="13" customWidth="1"/>
    <col min="3333" max="3333" width="14.3984375" style="13" customWidth="1"/>
    <col min="3334" max="3336" width="13.59765625" style="13" customWidth="1"/>
    <col min="3337" max="3338" width="14.1328125" style="13" customWidth="1"/>
    <col min="3339" max="3345" width="14.3984375" style="13" bestFit="1" customWidth="1"/>
    <col min="3346" max="3346" width="1.59765625" style="13" customWidth="1"/>
    <col min="3347" max="3347" width="16" style="13" bestFit="1" customWidth="1"/>
    <col min="3348" max="3584" width="8.86328125" style="13"/>
    <col min="3585" max="3585" width="5.59765625" style="13" customWidth="1"/>
    <col min="3586" max="3586" width="1.3984375" style="13" customWidth="1"/>
    <col min="3587" max="3587" width="58.59765625" style="13" customWidth="1"/>
    <col min="3588" max="3588" width="1.59765625" style="13" customWidth="1"/>
    <col min="3589" max="3589" width="14.3984375" style="13" customWidth="1"/>
    <col min="3590" max="3592" width="13.59765625" style="13" customWidth="1"/>
    <col min="3593" max="3594" width="14.1328125" style="13" customWidth="1"/>
    <col min="3595" max="3601" width="14.3984375" style="13" bestFit="1" customWidth="1"/>
    <col min="3602" max="3602" width="1.59765625" style="13" customWidth="1"/>
    <col min="3603" max="3603" width="16" style="13" bestFit="1" customWidth="1"/>
    <col min="3604" max="3840" width="8.86328125" style="13"/>
    <col min="3841" max="3841" width="5.59765625" style="13" customWidth="1"/>
    <col min="3842" max="3842" width="1.3984375" style="13" customWidth="1"/>
    <col min="3843" max="3843" width="58.59765625" style="13" customWidth="1"/>
    <col min="3844" max="3844" width="1.59765625" style="13" customWidth="1"/>
    <col min="3845" max="3845" width="14.3984375" style="13" customWidth="1"/>
    <col min="3846" max="3848" width="13.59765625" style="13" customWidth="1"/>
    <col min="3849" max="3850" width="14.1328125" style="13" customWidth="1"/>
    <col min="3851" max="3857" width="14.3984375" style="13" bestFit="1" customWidth="1"/>
    <col min="3858" max="3858" width="1.59765625" style="13" customWidth="1"/>
    <col min="3859" max="3859" width="16" style="13" bestFit="1" customWidth="1"/>
    <col min="3860" max="4096" width="8.86328125" style="13"/>
    <col min="4097" max="4097" width="5.59765625" style="13" customWidth="1"/>
    <col min="4098" max="4098" width="1.3984375" style="13" customWidth="1"/>
    <col min="4099" max="4099" width="58.59765625" style="13" customWidth="1"/>
    <col min="4100" max="4100" width="1.59765625" style="13" customWidth="1"/>
    <col min="4101" max="4101" width="14.3984375" style="13" customWidth="1"/>
    <col min="4102" max="4104" width="13.59765625" style="13" customWidth="1"/>
    <col min="4105" max="4106" width="14.1328125" style="13" customWidth="1"/>
    <col min="4107" max="4113" width="14.3984375" style="13" bestFit="1" customWidth="1"/>
    <col min="4114" max="4114" width="1.59765625" style="13" customWidth="1"/>
    <col min="4115" max="4115" width="16" style="13" bestFit="1" customWidth="1"/>
    <col min="4116" max="4352" width="8.86328125" style="13"/>
    <col min="4353" max="4353" width="5.59765625" style="13" customWidth="1"/>
    <col min="4354" max="4354" width="1.3984375" style="13" customWidth="1"/>
    <col min="4355" max="4355" width="58.59765625" style="13" customWidth="1"/>
    <col min="4356" max="4356" width="1.59765625" style="13" customWidth="1"/>
    <col min="4357" max="4357" width="14.3984375" style="13" customWidth="1"/>
    <col min="4358" max="4360" width="13.59765625" style="13" customWidth="1"/>
    <col min="4361" max="4362" width="14.1328125" style="13" customWidth="1"/>
    <col min="4363" max="4369" width="14.3984375" style="13" bestFit="1" customWidth="1"/>
    <col min="4370" max="4370" width="1.59765625" style="13" customWidth="1"/>
    <col min="4371" max="4371" width="16" style="13" bestFit="1" customWidth="1"/>
    <col min="4372" max="4608" width="8.86328125" style="13"/>
    <col min="4609" max="4609" width="5.59765625" style="13" customWidth="1"/>
    <col min="4610" max="4610" width="1.3984375" style="13" customWidth="1"/>
    <col min="4611" max="4611" width="58.59765625" style="13" customWidth="1"/>
    <col min="4612" max="4612" width="1.59765625" style="13" customWidth="1"/>
    <col min="4613" max="4613" width="14.3984375" style="13" customWidth="1"/>
    <col min="4614" max="4616" width="13.59765625" style="13" customWidth="1"/>
    <col min="4617" max="4618" width="14.1328125" style="13" customWidth="1"/>
    <col min="4619" max="4625" width="14.3984375" style="13" bestFit="1" customWidth="1"/>
    <col min="4626" max="4626" width="1.59765625" style="13" customWidth="1"/>
    <col min="4627" max="4627" width="16" style="13" bestFit="1" customWidth="1"/>
    <col min="4628" max="4864" width="8.86328125" style="13"/>
    <col min="4865" max="4865" width="5.59765625" style="13" customWidth="1"/>
    <col min="4866" max="4866" width="1.3984375" style="13" customWidth="1"/>
    <col min="4867" max="4867" width="58.59765625" style="13" customWidth="1"/>
    <col min="4868" max="4868" width="1.59765625" style="13" customWidth="1"/>
    <col min="4869" max="4869" width="14.3984375" style="13" customWidth="1"/>
    <col min="4870" max="4872" width="13.59765625" style="13" customWidth="1"/>
    <col min="4873" max="4874" width="14.1328125" style="13" customWidth="1"/>
    <col min="4875" max="4881" width="14.3984375" style="13" bestFit="1" customWidth="1"/>
    <col min="4882" max="4882" width="1.59765625" style="13" customWidth="1"/>
    <col min="4883" max="4883" width="16" style="13" bestFit="1" customWidth="1"/>
    <col min="4884" max="5120" width="8.86328125" style="13"/>
    <col min="5121" max="5121" width="5.59765625" style="13" customWidth="1"/>
    <col min="5122" max="5122" width="1.3984375" style="13" customWidth="1"/>
    <col min="5123" max="5123" width="58.59765625" style="13" customWidth="1"/>
    <col min="5124" max="5124" width="1.59765625" style="13" customWidth="1"/>
    <col min="5125" max="5125" width="14.3984375" style="13" customWidth="1"/>
    <col min="5126" max="5128" width="13.59765625" style="13" customWidth="1"/>
    <col min="5129" max="5130" width="14.1328125" style="13" customWidth="1"/>
    <col min="5131" max="5137" width="14.3984375" style="13" bestFit="1" customWidth="1"/>
    <col min="5138" max="5138" width="1.59765625" style="13" customWidth="1"/>
    <col min="5139" max="5139" width="16" style="13" bestFit="1" customWidth="1"/>
    <col min="5140" max="5376" width="8.86328125" style="13"/>
    <col min="5377" max="5377" width="5.59765625" style="13" customWidth="1"/>
    <col min="5378" max="5378" width="1.3984375" style="13" customWidth="1"/>
    <col min="5379" max="5379" width="58.59765625" style="13" customWidth="1"/>
    <col min="5380" max="5380" width="1.59765625" style="13" customWidth="1"/>
    <col min="5381" max="5381" width="14.3984375" style="13" customWidth="1"/>
    <col min="5382" max="5384" width="13.59765625" style="13" customWidth="1"/>
    <col min="5385" max="5386" width="14.1328125" style="13" customWidth="1"/>
    <col min="5387" max="5393" width="14.3984375" style="13" bestFit="1" customWidth="1"/>
    <col min="5394" max="5394" width="1.59765625" style="13" customWidth="1"/>
    <col min="5395" max="5395" width="16" style="13" bestFit="1" customWidth="1"/>
    <col min="5396" max="5632" width="8.86328125" style="13"/>
    <col min="5633" max="5633" width="5.59765625" style="13" customWidth="1"/>
    <col min="5634" max="5634" width="1.3984375" style="13" customWidth="1"/>
    <col min="5635" max="5635" width="58.59765625" style="13" customWidth="1"/>
    <col min="5636" max="5636" width="1.59765625" style="13" customWidth="1"/>
    <col min="5637" max="5637" width="14.3984375" style="13" customWidth="1"/>
    <col min="5638" max="5640" width="13.59765625" style="13" customWidth="1"/>
    <col min="5641" max="5642" width="14.1328125" style="13" customWidth="1"/>
    <col min="5643" max="5649" width="14.3984375" style="13" bestFit="1" customWidth="1"/>
    <col min="5650" max="5650" width="1.59765625" style="13" customWidth="1"/>
    <col min="5651" max="5651" width="16" style="13" bestFit="1" customWidth="1"/>
    <col min="5652" max="5888" width="8.86328125" style="13"/>
    <col min="5889" max="5889" width="5.59765625" style="13" customWidth="1"/>
    <col min="5890" max="5890" width="1.3984375" style="13" customWidth="1"/>
    <col min="5891" max="5891" width="58.59765625" style="13" customWidth="1"/>
    <col min="5892" max="5892" width="1.59765625" style="13" customWidth="1"/>
    <col min="5893" max="5893" width="14.3984375" style="13" customWidth="1"/>
    <col min="5894" max="5896" width="13.59765625" style="13" customWidth="1"/>
    <col min="5897" max="5898" width="14.1328125" style="13" customWidth="1"/>
    <col min="5899" max="5905" width="14.3984375" style="13" bestFit="1" customWidth="1"/>
    <col min="5906" max="5906" width="1.59765625" style="13" customWidth="1"/>
    <col min="5907" max="5907" width="16" style="13" bestFit="1" customWidth="1"/>
    <col min="5908" max="6144" width="8.86328125" style="13"/>
    <col min="6145" max="6145" width="5.59765625" style="13" customWidth="1"/>
    <col min="6146" max="6146" width="1.3984375" style="13" customWidth="1"/>
    <col min="6147" max="6147" width="58.59765625" style="13" customWidth="1"/>
    <col min="6148" max="6148" width="1.59765625" style="13" customWidth="1"/>
    <col min="6149" max="6149" width="14.3984375" style="13" customWidth="1"/>
    <col min="6150" max="6152" width="13.59765625" style="13" customWidth="1"/>
    <col min="6153" max="6154" width="14.1328125" style="13" customWidth="1"/>
    <col min="6155" max="6161" width="14.3984375" style="13" bestFit="1" customWidth="1"/>
    <col min="6162" max="6162" width="1.59765625" style="13" customWidth="1"/>
    <col min="6163" max="6163" width="16" style="13" bestFit="1" customWidth="1"/>
    <col min="6164" max="6400" width="8.86328125" style="13"/>
    <col min="6401" max="6401" width="5.59765625" style="13" customWidth="1"/>
    <col min="6402" max="6402" width="1.3984375" style="13" customWidth="1"/>
    <col min="6403" max="6403" width="58.59765625" style="13" customWidth="1"/>
    <col min="6404" max="6404" width="1.59765625" style="13" customWidth="1"/>
    <col min="6405" max="6405" width="14.3984375" style="13" customWidth="1"/>
    <col min="6406" max="6408" width="13.59765625" style="13" customWidth="1"/>
    <col min="6409" max="6410" width="14.1328125" style="13" customWidth="1"/>
    <col min="6411" max="6417" width="14.3984375" style="13" bestFit="1" customWidth="1"/>
    <col min="6418" max="6418" width="1.59765625" style="13" customWidth="1"/>
    <col min="6419" max="6419" width="16" style="13" bestFit="1" customWidth="1"/>
    <col min="6420" max="6656" width="8.86328125" style="13"/>
    <col min="6657" max="6657" width="5.59765625" style="13" customWidth="1"/>
    <col min="6658" max="6658" width="1.3984375" style="13" customWidth="1"/>
    <col min="6659" max="6659" width="58.59765625" style="13" customWidth="1"/>
    <col min="6660" max="6660" width="1.59765625" style="13" customWidth="1"/>
    <col min="6661" max="6661" width="14.3984375" style="13" customWidth="1"/>
    <col min="6662" max="6664" width="13.59765625" style="13" customWidth="1"/>
    <col min="6665" max="6666" width="14.1328125" style="13" customWidth="1"/>
    <col min="6667" max="6673" width="14.3984375" style="13" bestFit="1" customWidth="1"/>
    <col min="6674" max="6674" width="1.59765625" style="13" customWidth="1"/>
    <col min="6675" max="6675" width="16" style="13" bestFit="1" customWidth="1"/>
    <col min="6676" max="6912" width="8.86328125" style="13"/>
    <col min="6913" max="6913" width="5.59765625" style="13" customWidth="1"/>
    <col min="6914" max="6914" width="1.3984375" style="13" customWidth="1"/>
    <col min="6915" max="6915" width="58.59765625" style="13" customWidth="1"/>
    <col min="6916" max="6916" width="1.59765625" style="13" customWidth="1"/>
    <col min="6917" max="6917" width="14.3984375" style="13" customWidth="1"/>
    <col min="6918" max="6920" width="13.59765625" style="13" customWidth="1"/>
    <col min="6921" max="6922" width="14.1328125" style="13" customWidth="1"/>
    <col min="6923" max="6929" width="14.3984375" style="13" bestFit="1" customWidth="1"/>
    <col min="6930" max="6930" width="1.59765625" style="13" customWidth="1"/>
    <col min="6931" max="6931" width="16" style="13" bestFit="1" customWidth="1"/>
    <col min="6932" max="7168" width="8.86328125" style="13"/>
    <col min="7169" max="7169" width="5.59765625" style="13" customWidth="1"/>
    <col min="7170" max="7170" width="1.3984375" style="13" customWidth="1"/>
    <col min="7171" max="7171" width="58.59765625" style="13" customWidth="1"/>
    <col min="7172" max="7172" width="1.59765625" style="13" customWidth="1"/>
    <col min="7173" max="7173" width="14.3984375" style="13" customWidth="1"/>
    <col min="7174" max="7176" width="13.59765625" style="13" customWidth="1"/>
    <col min="7177" max="7178" width="14.1328125" style="13" customWidth="1"/>
    <col min="7179" max="7185" width="14.3984375" style="13" bestFit="1" customWidth="1"/>
    <col min="7186" max="7186" width="1.59765625" style="13" customWidth="1"/>
    <col min="7187" max="7187" width="16" style="13" bestFit="1" customWidth="1"/>
    <col min="7188" max="7424" width="8.86328125" style="13"/>
    <col min="7425" max="7425" width="5.59765625" style="13" customWidth="1"/>
    <col min="7426" max="7426" width="1.3984375" style="13" customWidth="1"/>
    <col min="7427" max="7427" width="58.59765625" style="13" customWidth="1"/>
    <col min="7428" max="7428" width="1.59765625" style="13" customWidth="1"/>
    <col min="7429" max="7429" width="14.3984375" style="13" customWidth="1"/>
    <col min="7430" max="7432" width="13.59765625" style="13" customWidth="1"/>
    <col min="7433" max="7434" width="14.1328125" style="13" customWidth="1"/>
    <col min="7435" max="7441" width="14.3984375" style="13" bestFit="1" customWidth="1"/>
    <col min="7442" max="7442" width="1.59765625" style="13" customWidth="1"/>
    <col min="7443" max="7443" width="16" style="13" bestFit="1" customWidth="1"/>
    <col min="7444" max="7680" width="8.86328125" style="13"/>
    <col min="7681" max="7681" width="5.59765625" style="13" customWidth="1"/>
    <col min="7682" max="7682" width="1.3984375" style="13" customWidth="1"/>
    <col min="7683" max="7683" width="58.59765625" style="13" customWidth="1"/>
    <col min="7684" max="7684" width="1.59765625" style="13" customWidth="1"/>
    <col min="7685" max="7685" width="14.3984375" style="13" customWidth="1"/>
    <col min="7686" max="7688" width="13.59765625" style="13" customWidth="1"/>
    <col min="7689" max="7690" width="14.1328125" style="13" customWidth="1"/>
    <col min="7691" max="7697" width="14.3984375" style="13" bestFit="1" customWidth="1"/>
    <col min="7698" max="7698" width="1.59765625" style="13" customWidth="1"/>
    <col min="7699" max="7699" width="16" style="13" bestFit="1" customWidth="1"/>
    <col min="7700" max="7936" width="8.86328125" style="13"/>
    <col min="7937" max="7937" width="5.59765625" style="13" customWidth="1"/>
    <col min="7938" max="7938" width="1.3984375" style="13" customWidth="1"/>
    <col min="7939" max="7939" width="58.59765625" style="13" customWidth="1"/>
    <col min="7940" max="7940" width="1.59765625" style="13" customWidth="1"/>
    <col min="7941" max="7941" width="14.3984375" style="13" customWidth="1"/>
    <col min="7942" max="7944" width="13.59765625" style="13" customWidth="1"/>
    <col min="7945" max="7946" width="14.1328125" style="13" customWidth="1"/>
    <col min="7947" max="7953" width="14.3984375" style="13" bestFit="1" customWidth="1"/>
    <col min="7954" max="7954" width="1.59765625" style="13" customWidth="1"/>
    <col min="7955" max="7955" width="16" style="13" bestFit="1" customWidth="1"/>
    <col min="7956" max="8192" width="8.86328125" style="13"/>
    <col min="8193" max="8193" width="5.59765625" style="13" customWidth="1"/>
    <col min="8194" max="8194" width="1.3984375" style="13" customWidth="1"/>
    <col min="8195" max="8195" width="58.59765625" style="13" customWidth="1"/>
    <col min="8196" max="8196" width="1.59765625" style="13" customWidth="1"/>
    <col min="8197" max="8197" width="14.3984375" style="13" customWidth="1"/>
    <col min="8198" max="8200" width="13.59765625" style="13" customWidth="1"/>
    <col min="8201" max="8202" width="14.1328125" style="13" customWidth="1"/>
    <col min="8203" max="8209" width="14.3984375" style="13" bestFit="1" customWidth="1"/>
    <col min="8210" max="8210" width="1.59765625" style="13" customWidth="1"/>
    <col min="8211" max="8211" width="16" style="13" bestFit="1" customWidth="1"/>
    <col min="8212" max="8448" width="8.86328125" style="13"/>
    <col min="8449" max="8449" width="5.59765625" style="13" customWidth="1"/>
    <col min="8450" max="8450" width="1.3984375" style="13" customWidth="1"/>
    <col min="8451" max="8451" width="58.59765625" style="13" customWidth="1"/>
    <col min="8452" max="8452" width="1.59765625" style="13" customWidth="1"/>
    <col min="8453" max="8453" width="14.3984375" style="13" customWidth="1"/>
    <col min="8454" max="8456" width="13.59765625" style="13" customWidth="1"/>
    <col min="8457" max="8458" width="14.1328125" style="13" customWidth="1"/>
    <col min="8459" max="8465" width="14.3984375" style="13" bestFit="1" customWidth="1"/>
    <col min="8466" max="8466" width="1.59765625" style="13" customWidth="1"/>
    <col min="8467" max="8467" width="16" style="13" bestFit="1" customWidth="1"/>
    <col min="8468" max="8704" width="8.86328125" style="13"/>
    <col min="8705" max="8705" width="5.59765625" style="13" customWidth="1"/>
    <col min="8706" max="8706" width="1.3984375" style="13" customWidth="1"/>
    <col min="8707" max="8707" width="58.59765625" style="13" customWidth="1"/>
    <col min="8708" max="8708" width="1.59765625" style="13" customWidth="1"/>
    <col min="8709" max="8709" width="14.3984375" style="13" customWidth="1"/>
    <col min="8710" max="8712" width="13.59765625" style="13" customWidth="1"/>
    <col min="8713" max="8714" width="14.1328125" style="13" customWidth="1"/>
    <col min="8715" max="8721" width="14.3984375" style="13" bestFit="1" customWidth="1"/>
    <col min="8722" max="8722" width="1.59765625" style="13" customWidth="1"/>
    <col min="8723" max="8723" width="16" style="13" bestFit="1" customWidth="1"/>
    <col min="8724" max="8960" width="8.86328125" style="13"/>
    <col min="8961" max="8961" width="5.59765625" style="13" customWidth="1"/>
    <col min="8962" max="8962" width="1.3984375" style="13" customWidth="1"/>
    <col min="8963" max="8963" width="58.59765625" style="13" customWidth="1"/>
    <col min="8964" max="8964" width="1.59765625" style="13" customWidth="1"/>
    <col min="8965" max="8965" width="14.3984375" style="13" customWidth="1"/>
    <col min="8966" max="8968" width="13.59765625" style="13" customWidth="1"/>
    <col min="8969" max="8970" width="14.1328125" style="13" customWidth="1"/>
    <col min="8971" max="8977" width="14.3984375" style="13" bestFit="1" customWidth="1"/>
    <col min="8978" max="8978" width="1.59765625" style="13" customWidth="1"/>
    <col min="8979" max="8979" width="16" style="13" bestFit="1" customWidth="1"/>
    <col min="8980" max="9216" width="8.86328125" style="13"/>
    <col min="9217" max="9217" width="5.59765625" style="13" customWidth="1"/>
    <col min="9218" max="9218" width="1.3984375" style="13" customWidth="1"/>
    <col min="9219" max="9219" width="58.59765625" style="13" customWidth="1"/>
    <col min="9220" max="9220" width="1.59765625" style="13" customWidth="1"/>
    <col min="9221" max="9221" width="14.3984375" style="13" customWidth="1"/>
    <col min="9222" max="9224" width="13.59765625" style="13" customWidth="1"/>
    <col min="9225" max="9226" width="14.1328125" style="13" customWidth="1"/>
    <col min="9227" max="9233" width="14.3984375" style="13" bestFit="1" customWidth="1"/>
    <col min="9234" max="9234" width="1.59765625" style="13" customWidth="1"/>
    <col min="9235" max="9235" width="16" style="13" bestFit="1" customWidth="1"/>
    <col min="9236" max="9472" width="8.86328125" style="13"/>
    <col min="9473" max="9473" width="5.59765625" style="13" customWidth="1"/>
    <col min="9474" max="9474" width="1.3984375" style="13" customWidth="1"/>
    <col min="9475" max="9475" width="58.59765625" style="13" customWidth="1"/>
    <col min="9476" max="9476" width="1.59765625" style="13" customWidth="1"/>
    <col min="9477" max="9477" width="14.3984375" style="13" customWidth="1"/>
    <col min="9478" max="9480" width="13.59765625" style="13" customWidth="1"/>
    <col min="9481" max="9482" width="14.1328125" style="13" customWidth="1"/>
    <col min="9483" max="9489" width="14.3984375" style="13" bestFit="1" customWidth="1"/>
    <col min="9490" max="9490" width="1.59765625" style="13" customWidth="1"/>
    <col min="9491" max="9491" width="16" style="13" bestFit="1" customWidth="1"/>
    <col min="9492" max="9728" width="8.86328125" style="13"/>
    <col min="9729" max="9729" width="5.59765625" style="13" customWidth="1"/>
    <col min="9730" max="9730" width="1.3984375" style="13" customWidth="1"/>
    <col min="9731" max="9731" width="58.59765625" style="13" customWidth="1"/>
    <col min="9732" max="9732" width="1.59765625" style="13" customWidth="1"/>
    <col min="9733" max="9733" width="14.3984375" style="13" customWidth="1"/>
    <col min="9734" max="9736" width="13.59765625" style="13" customWidth="1"/>
    <col min="9737" max="9738" width="14.1328125" style="13" customWidth="1"/>
    <col min="9739" max="9745" width="14.3984375" style="13" bestFit="1" customWidth="1"/>
    <col min="9746" max="9746" width="1.59765625" style="13" customWidth="1"/>
    <col min="9747" max="9747" width="16" style="13" bestFit="1" customWidth="1"/>
    <col min="9748" max="9984" width="8.86328125" style="13"/>
    <col min="9985" max="9985" width="5.59765625" style="13" customWidth="1"/>
    <col min="9986" max="9986" width="1.3984375" style="13" customWidth="1"/>
    <col min="9987" max="9987" width="58.59765625" style="13" customWidth="1"/>
    <col min="9988" max="9988" width="1.59765625" style="13" customWidth="1"/>
    <col min="9989" max="9989" width="14.3984375" style="13" customWidth="1"/>
    <col min="9990" max="9992" width="13.59765625" style="13" customWidth="1"/>
    <col min="9993" max="9994" width="14.1328125" style="13" customWidth="1"/>
    <col min="9995" max="10001" width="14.3984375" style="13" bestFit="1" customWidth="1"/>
    <col min="10002" max="10002" width="1.59765625" style="13" customWidth="1"/>
    <col min="10003" max="10003" width="16" style="13" bestFit="1" customWidth="1"/>
    <col min="10004" max="10240" width="8.86328125" style="13"/>
    <col min="10241" max="10241" width="5.59765625" style="13" customWidth="1"/>
    <col min="10242" max="10242" width="1.3984375" style="13" customWidth="1"/>
    <col min="10243" max="10243" width="58.59765625" style="13" customWidth="1"/>
    <col min="10244" max="10244" width="1.59765625" style="13" customWidth="1"/>
    <col min="10245" max="10245" width="14.3984375" style="13" customWidth="1"/>
    <col min="10246" max="10248" width="13.59765625" style="13" customWidth="1"/>
    <col min="10249" max="10250" width="14.1328125" style="13" customWidth="1"/>
    <col min="10251" max="10257" width="14.3984375" style="13" bestFit="1" customWidth="1"/>
    <col min="10258" max="10258" width="1.59765625" style="13" customWidth="1"/>
    <col min="10259" max="10259" width="16" style="13" bestFit="1" customWidth="1"/>
    <col min="10260" max="10496" width="8.86328125" style="13"/>
    <col min="10497" max="10497" width="5.59765625" style="13" customWidth="1"/>
    <col min="10498" max="10498" width="1.3984375" style="13" customWidth="1"/>
    <col min="10499" max="10499" width="58.59765625" style="13" customWidth="1"/>
    <col min="10500" max="10500" width="1.59765625" style="13" customWidth="1"/>
    <col min="10501" max="10501" width="14.3984375" style="13" customWidth="1"/>
    <col min="10502" max="10504" width="13.59765625" style="13" customWidth="1"/>
    <col min="10505" max="10506" width="14.1328125" style="13" customWidth="1"/>
    <col min="10507" max="10513" width="14.3984375" style="13" bestFit="1" customWidth="1"/>
    <col min="10514" max="10514" width="1.59765625" style="13" customWidth="1"/>
    <col min="10515" max="10515" width="16" style="13" bestFit="1" customWidth="1"/>
    <col min="10516" max="10752" width="8.86328125" style="13"/>
    <col min="10753" max="10753" width="5.59765625" style="13" customWidth="1"/>
    <col min="10754" max="10754" width="1.3984375" style="13" customWidth="1"/>
    <col min="10755" max="10755" width="58.59765625" style="13" customWidth="1"/>
    <col min="10756" max="10756" width="1.59765625" style="13" customWidth="1"/>
    <col min="10757" max="10757" width="14.3984375" style="13" customWidth="1"/>
    <col min="10758" max="10760" width="13.59765625" style="13" customWidth="1"/>
    <col min="10761" max="10762" width="14.1328125" style="13" customWidth="1"/>
    <col min="10763" max="10769" width="14.3984375" style="13" bestFit="1" customWidth="1"/>
    <col min="10770" max="10770" width="1.59765625" style="13" customWidth="1"/>
    <col min="10771" max="10771" width="16" style="13" bestFit="1" customWidth="1"/>
    <col min="10772" max="11008" width="8.86328125" style="13"/>
    <col min="11009" max="11009" width="5.59765625" style="13" customWidth="1"/>
    <col min="11010" max="11010" width="1.3984375" style="13" customWidth="1"/>
    <col min="11011" max="11011" width="58.59765625" style="13" customWidth="1"/>
    <col min="11012" max="11012" width="1.59765625" style="13" customWidth="1"/>
    <col min="11013" max="11013" width="14.3984375" style="13" customWidth="1"/>
    <col min="11014" max="11016" width="13.59765625" style="13" customWidth="1"/>
    <col min="11017" max="11018" width="14.1328125" style="13" customWidth="1"/>
    <col min="11019" max="11025" width="14.3984375" style="13" bestFit="1" customWidth="1"/>
    <col min="11026" max="11026" width="1.59765625" style="13" customWidth="1"/>
    <col min="11027" max="11027" width="16" style="13" bestFit="1" customWidth="1"/>
    <col min="11028" max="11264" width="8.86328125" style="13"/>
    <col min="11265" max="11265" width="5.59765625" style="13" customWidth="1"/>
    <col min="11266" max="11266" width="1.3984375" style="13" customWidth="1"/>
    <col min="11267" max="11267" width="58.59765625" style="13" customWidth="1"/>
    <col min="11268" max="11268" width="1.59765625" style="13" customWidth="1"/>
    <col min="11269" max="11269" width="14.3984375" style="13" customWidth="1"/>
    <col min="11270" max="11272" width="13.59765625" style="13" customWidth="1"/>
    <col min="11273" max="11274" width="14.1328125" style="13" customWidth="1"/>
    <col min="11275" max="11281" width="14.3984375" style="13" bestFit="1" customWidth="1"/>
    <col min="11282" max="11282" width="1.59765625" style="13" customWidth="1"/>
    <col min="11283" max="11283" width="16" style="13" bestFit="1" customWidth="1"/>
    <col min="11284" max="11520" width="8.86328125" style="13"/>
    <col min="11521" max="11521" width="5.59765625" style="13" customWidth="1"/>
    <col min="11522" max="11522" width="1.3984375" style="13" customWidth="1"/>
    <col min="11523" max="11523" width="58.59765625" style="13" customWidth="1"/>
    <col min="11524" max="11524" width="1.59765625" style="13" customWidth="1"/>
    <col min="11525" max="11525" width="14.3984375" style="13" customWidth="1"/>
    <col min="11526" max="11528" width="13.59765625" style="13" customWidth="1"/>
    <col min="11529" max="11530" width="14.1328125" style="13" customWidth="1"/>
    <col min="11531" max="11537" width="14.3984375" style="13" bestFit="1" customWidth="1"/>
    <col min="11538" max="11538" width="1.59765625" style="13" customWidth="1"/>
    <col min="11539" max="11539" width="16" style="13" bestFit="1" customWidth="1"/>
    <col min="11540" max="11776" width="8.86328125" style="13"/>
    <col min="11777" max="11777" width="5.59765625" style="13" customWidth="1"/>
    <col min="11778" max="11778" width="1.3984375" style="13" customWidth="1"/>
    <col min="11779" max="11779" width="58.59765625" style="13" customWidth="1"/>
    <col min="11780" max="11780" width="1.59765625" style="13" customWidth="1"/>
    <col min="11781" max="11781" width="14.3984375" style="13" customWidth="1"/>
    <col min="11782" max="11784" width="13.59765625" style="13" customWidth="1"/>
    <col min="11785" max="11786" width="14.1328125" style="13" customWidth="1"/>
    <col min="11787" max="11793" width="14.3984375" style="13" bestFit="1" customWidth="1"/>
    <col min="11794" max="11794" width="1.59765625" style="13" customWidth="1"/>
    <col min="11795" max="11795" width="16" style="13" bestFit="1" customWidth="1"/>
    <col min="11796" max="12032" width="8.86328125" style="13"/>
    <col min="12033" max="12033" width="5.59765625" style="13" customWidth="1"/>
    <col min="12034" max="12034" width="1.3984375" style="13" customWidth="1"/>
    <col min="12035" max="12035" width="58.59765625" style="13" customWidth="1"/>
    <col min="12036" max="12036" width="1.59765625" style="13" customWidth="1"/>
    <col min="12037" max="12037" width="14.3984375" style="13" customWidth="1"/>
    <col min="12038" max="12040" width="13.59765625" style="13" customWidth="1"/>
    <col min="12041" max="12042" width="14.1328125" style="13" customWidth="1"/>
    <col min="12043" max="12049" width="14.3984375" style="13" bestFit="1" customWidth="1"/>
    <col min="12050" max="12050" width="1.59765625" style="13" customWidth="1"/>
    <col min="12051" max="12051" width="16" style="13" bestFit="1" customWidth="1"/>
    <col min="12052" max="12288" width="8.86328125" style="13"/>
    <col min="12289" max="12289" width="5.59765625" style="13" customWidth="1"/>
    <col min="12290" max="12290" width="1.3984375" style="13" customWidth="1"/>
    <col min="12291" max="12291" width="58.59765625" style="13" customWidth="1"/>
    <col min="12292" max="12292" width="1.59765625" style="13" customWidth="1"/>
    <col min="12293" max="12293" width="14.3984375" style="13" customWidth="1"/>
    <col min="12294" max="12296" width="13.59765625" style="13" customWidth="1"/>
    <col min="12297" max="12298" width="14.1328125" style="13" customWidth="1"/>
    <col min="12299" max="12305" width="14.3984375" style="13" bestFit="1" customWidth="1"/>
    <col min="12306" max="12306" width="1.59765625" style="13" customWidth="1"/>
    <col min="12307" max="12307" width="16" style="13" bestFit="1" customWidth="1"/>
    <col min="12308" max="12544" width="8.86328125" style="13"/>
    <col min="12545" max="12545" width="5.59765625" style="13" customWidth="1"/>
    <col min="12546" max="12546" width="1.3984375" style="13" customWidth="1"/>
    <col min="12547" max="12547" width="58.59765625" style="13" customWidth="1"/>
    <col min="12548" max="12548" width="1.59765625" style="13" customWidth="1"/>
    <col min="12549" max="12549" width="14.3984375" style="13" customWidth="1"/>
    <col min="12550" max="12552" width="13.59765625" style="13" customWidth="1"/>
    <col min="12553" max="12554" width="14.1328125" style="13" customWidth="1"/>
    <col min="12555" max="12561" width="14.3984375" style="13" bestFit="1" customWidth="1"/>
    <col min="12562" max="12562" width="1.59765625" style="13" customWidth="1"/>
    <col min="12563" max="12563" width="16" style="13" bestFit="1" customWidth="1"/>
    <col min="12564" max="12800" width="8.86328125" style="13"/>
    <col min="12801" max="12801" width="5.59765625" style="13" customWidth="1"/>
    <col min="12802" max="12802" width="1.3984375" style="13" customWidth="1"/>
    <col min="12803" max="12803" width="58.59765625" style="13" customWidth="1"/>
    <col min="12804" max="12804" width="1.59765625" style="13" customWidth="1"/>
    <col min="12805" max="12805" width="14.3984375" style="13" customWidth="1"/>
    <col min="12806" max="12808" width="13.59765625" style="13" customWidth="1"/>
    <col min="12809" max="12810" width="14.1328125" style="13" customWidth="1"/>
    <col min="12811" max="12817" width="14.3984375" style="13" bestFit="1" customWidth="1"/>
    <col min="12818" max="12818" width="1.59765625" style="13" customWidth="1"/>
    <col min="12819" max="12819" width="16" style="13" bestFit="1" customWidth="1"/>
    <col min="12820" max="13056" width="8.86328125" style="13"/>
    <col min="13057" max="13057" width="5.59765625" style="13" customWidth="1"/>
    <col min="13058" max="13058" width="1.3984375" style="13" customWidth="1"/>
    <col min="13059" max="13059" width="58.59765625" style="13" customWidth="1"/>
    <col min="13060" max="13060" width="1.59765625" style="13" customWidth="1"/>
    <col min="13061" max="13061" width="14.3984375" style="13" customWidth="1"/>
    <col min="13062" max="13064" width="13.59765625" style="13" customWidth="1"/>
    <col min="13065" max="13066" width="14.1328125" style="13" customWidth="1"/>
    <col min="13067" max="13073" width="14.3984375" style="13" bestFit="1" customWidth="1"/>
    <col min="13074" max="13074" width="1.59765625" style="13" customWidth="1"/>
    <col min="13075" max="13075" width="16" style="13" bestFit="1" customWidth="1"/>
    <col min="13076" max="13312" width="8.86328125" style="13"/>
    <col min="13313" max="13313" width="5.59765625" style="13" customWidth="1"/>
    <col min="13314" max="13314" width="1.3984375" style="13" customWidth="1"/>
    <col min="13315" max="13315" width="58.59765625" style="13" customWidth="1"/>
    <col min="13316" max="13316" width="1.59765625" style="13" customWidth="1"/>
    <col min="13317" max="13317" width="14.3984375" style="13" customWidth="1"/>
    <col min="13318" max="13320" width="13.59765625" style="13" customWidth="1"/>
    <col min="13321" max="13322" width="14.1328125" style="13" customWidth="1"/>
    <col min="13323" max="13329" width="14.3984375" style="13" bestFit="1" customWidth="1"/>
    <col min="13330" max="13330" width="1.59765625" style="13" customWidth="1"/>
    <col min="13331" max="13331" width="16" style="13" bestFit="1" customWidth="1"/>
    <col min="13332" max="13568" width="8.86328125" style="13"/>
    <col min="13569" max="13569" width="5.59765625" style="13" customWidth="1"/>
    <col min="13570" max="13570" width="1.3984375" style="13" customWidth="1"/>
    <col min="13571" max="13571" width="58.59765625" style="13" customWidth="1"/>
    <col min="13572" max="13572" width="1.59765625" style="13" customWidth="1"/>
    <col min="13573" max="13573" width="14.3984375" style="13" customWidth="1"/>
    <col min="13574" max="13576" width="13.59765625" style="13" customWidth="1"/>
    <col min="13577" max="13578" width="14.1328125" style="13" customWidth="1"/>
    <col min="13579" max="13585" width="14.3984375" style="13" bestFit="1" customWidth="1"/>
    <col min="13586" max="13586" width="1.59765625" style="13" customWidth="1"/>
    <col min="13587" max="13587" width="16" style="13" bestFit="1" customWidth="1"/>
    <col min="13588" max="13824" width="8.86328125" style="13"/>
    <col min="13825" max="13825" width="5.59765625" style="13" customWidth="1"/>
    <col min="13826" max="13826" width="1.3984375" style="13" customWidth="1"/>
    <col min="13827" max="13827" width="58.59765625" style="13" customWidth="1"/>
    <col min="13828" max="13828" width="1.59765625" style="13" customWidth="1"/>
    <col min="13829" max="13829" width="14.3984375" style="13" customWidth="1"/>
    <col min="13830" max="13832" width="13.59765625" style="13" customWidth="1"/>
    <col min="13833" max="13834" width="14.1328125" style="13" customWidth="1"/>
    <col min="13835" max="13841" width="14.3984375" style="13" bestFit="1" customWidth="1"/>
    <col min="13842" max="13842" width="1.59765625" style="13" customWidth="1"/>
    <col min="13843" max="13843" width="16" style="13" bestFit="1" customWidth="1"/>
    <col min="13844" max="14080" width="8.86328125" style="13"/>
    <col min="14081" max="14081" width="5.59765625" style="13" customWidth="1"/>
    <col min="14082" max="14082" width="1.3984375" style="13" customWidth="1"/>
    <col min="14083" max="14083" width="58.59765625" style="13" customWidth="1"/>
    <col min="14084" max="14084" width="1.59765625" style="13" customWidth="1"/>
    <col min="14085" max="14085" width="14.3984375" style="13" customWidth="1"/>
    <col min="14086" max="14088" width="13.59765625" style="13" customWidth="1"/>
    <col min="14089" max="14090" width="14.1328125" style="13" customWidth="1"/>
    <col min="14091" max="14097" width="14.3984375" style="13" bestFit="1" customWidth="1"/>
    <col min="14098" max="14098" width="1.59765625" style="13" customWidth="1"/>
    <col min="14099" max="14099" width="16" style="13" bestFit="1" customWidth="1"/>
    <col min="14100" max="14336" width="8.86328125" style="13"/>
    <col min="14337" max="14337" width="5.59765625" style="13" customWidth="1"/>
    <col min="14338" max="14338" width="1.3984375" style="13" customWidth="1"/>
    <col min="14339" max="14339" width="58.59765625" style="13" customWidth="1"/>
    <col min="14340" max="14340" width="1.59765625" style="13" customWidth="1"/>
    <col min="14341" max="14341" width="14.3984375" style="13" customWidth="1"/>
    <col min="14342" max="14344" width="13.59765625" style="13" customWidth="1"/>
    <col min="14345" max="14346" width="14.1328125" style="13" customWidth="1"/>
    <col min="14347" max="14353" width="14.3984375" style="13" bestFit="1" customWidth="1"/>
    <col min="14354" max="14354" width="1.59765625" style="13" customWidth="1"/>
    <col min="14355" max="14355" width="16" style="13" bestFit="1" customWidth="1"/>
    <col min="14356" max="14592" width="8.86328125" style="13"/>
    <col min="14593" max="14593" width="5.59765625" style="13" customWidth="1"/>
    <col min="14594" max="14594" width="1.3984375" style="13" customWidth="1"/>
    <col min="14595" max="14595" width="58.59765625" style="13" customWidth="1"/>
    <col min="14596" max="14596" width="1.59765625" style="13" customWidth="1"/>
    <col min="14597" max="14597" width="14.3984375" style="13" customWidth="1"/>
    <col min="14598" max="14600" width="13.59765625" style="13" customWidth="1"/>
    <col min="14601" max="14602" width="14.1328125" style="13" customWidth="1"/>
    <col min="14603" max="14609" width="14.3984375" style="13" bestFit="1" customWidth="1"/>
    <col min="14610" max="14610" width="1.59765625" style="13" customWidth="1"/>
    <col min="14611" max="14611" width="16" style="13" bestFit="1" customWidth="1"/>
    <col min="14612" max="14848" width="8.86328125" style="13"/>
    <col min="14849" max="14849" width="5.59765625" style="13" customWidth="1"/>
    <col min="14850" max="14850" width="1.3984375" style="13" customWidth="1"/>
    <col min="14851" max="14851" width="58.59765625" style="13" customWidth="1"/>
    <col min="14852" max="14852" width="1.59765625" style="13" customWidth="1"/>
    <col min="14853" max="14853" width="14.3984375" style="13" customWidth="1"/>
    <col min="14854" max="14856" width="13.59765625" style="13" customWidth="1"/>
    <col min="14857" max="14858" width="14.1328125" style="13" customWidth="1"/>
    <col min="14859" max="14865" width="14.3984375" style="13" bestFit="1" customWidth="1"/>
    <col min="14866" max="14866" width="1.59765625" style="13" customWidth="1"/>
    <col min="14867" max="14867" width="16" style="13" bestFit="1" customWidth="1"/>
    <col min="14868" max="15104" width="8.86328125" style="13"/>
    <col min="15105" max="15105" width="5.59765625" style="13" customWidth="1"/>
    <col min="15106" max="15106" width="1.3984375" style="13" customWidth="1"/>
    <col min="15107" max="15107" width="58.59765625" style="13" customWidth="1"/>
    <col min="15108" max="15108" width="1.59765625" style="13" customWidth="1"/>
    <col min="15109" max="15109" width="14.3984375" style="13" customWidth="1"/>
    <col min="15110" max="15112" width="13.59765625" style="13" customWidth="1"/>
    <col min="15113" max="15114" width="14.1328125" style="13" customWidth="1"/>
    <col min="15115" max="15121" width="14.3984375" style="13" bestFit="1" customWidth="1"/>
    <col min="15122" max="15122" width="1.59765625" style="13" customWidth="1"/>
    <col min="15123" max="15123" width="16" style="13" bestFit="1" customWidth="1"/>
    <col min="15124" max="15360" width="8.86328125" style="13"/>
    <col min="15361" max="15361" width="5.59765625" style="13" customWidth="1"/>
    <col min="15362" max="15362" width="1.3984375" style="13" customWidth="1"/>
    <col min="15363" max="15363" width="58.59765625" style="13" customWidth="1"/>
    <col min="15364" max="15364" width="1.59765625" style="13" customWidth="1"/>
    <col min="15365" max="15365" width="14.3984375" style="13" customWidth="1"/>
    <col min="15366" max="15368" width="13.59765625" style="13" customWidth="1"/>
    <col min="15369" max="15370" width="14.1328125" style="13" customWidth="1"/>
    <col min="15371" max="15377" width="14.3984375" style="13" bestFit="1" customWidth="1"/>
    <col min="15378" max="15378" width="1.59765625" style="13" customWidth="1"/>
    <col min="15379" max="15379" width="16" style="13" bestFit="1" customWidth="1"/>
    <col min="15380" max="15616" width="8.86328125" style="13"/>
    <col min="15617" max="15617" width="5.59765625" style="13" customWidth="1"/>
    <col min="15618" max="15618" width="1.3984375" style="13" customWidth="1"/>
    <col min="15619" max="15619" width="58.59765625" style="13" customWidth="1"/>
    <col min="15620" max="15620" width="1.59765625" style="13" customWidth="1"/>
    <col min="15621" max="15621" width="14.3984375" style="13" customWidth="1"/>
    <col min="15622" max="15624" width="13.59765625" style="13" customWidth="1"/>
    <col min="15625" max="15626" width="14.1328125" style="13" customWidth="1"/>
    <col min="15627" max="15633" width="14.3984375" style="13" bestFit="1" customWidth="1"/>
    <col min="15634" max="15634" width="1.59765625" style="13" customWidth="1"/>
    <col min="15635" max="15635" width="16" style="13" bestFit="1" customWidth="1"/>
    <col min="15636" max="15872" width="8.86328125" style="13"/>
    <col min="15873" max="15873" width="5.59765625" style="13" customWidth="1"/>
    <col min="15874" max="15874" width="1.3984375" style="13" customWidth="1"/>
    <col min="15875" max="15875" width="58.59765625" style="13" customWidth="1"/>
    <col min="15876" max="15876" width="1.59765625" style="13" customWidth="1"/>
    <col min="15877" max="15877" width="14.3984375" style="13" customWidth="1"/>
    <col min="15878" max="15880" width="13.59765625" style="13" customWidth="1"/>
    <col min="15881" max="15882" width="14.1328125" style="13" customWidth="1"/>
    <col min="15883" max="15889" width="14.3984375" style="13" bestFit="1" customWidth="1"/>
    <col min="15890" max="15890" width="1.59765625" style="13" customWidth="1"/>
    <col min="15891" max="15891" width="16" style="13" bestFit="1" customWidth="1"/>
    <col min="15892" max="16128" width="8.86328125" style="13"/>
    <col min="16129" max="16129" width="5.59765625" style="13" customWidth="1"/>
    <col min="16130" max="16130" width="1.3984375" style="13" customWidth="1"/>
    <col min="16131" max="16131" width="58.59765625" style="13" customWidth="1"/>
    <col min="16132" max="16132" width="1.59765625" style="13" customWidth="1"/>
    <col min="16133" max="16133" width="14.3984375" style="13" customWidth="1"/>
    <col min="16134" max="16136" width="13.59765625" style="13" customWidth="1"/>
    <col min="16137" max="16138" width="14.1328125" style="13" customWidth="1"/>
    <col min="16139" max="16145" width="14.3984375" style="13" bestFit="1" customWidth="1"/>
    <col min="16146" max="16146" width="1.59765625" style="13" customWidth="1"/>
    <col min="16147" max="16147" width="16" style="13" bestFit="1" customWidth="1"/>
    <col min="16148" max="16384" width="8.86328125" style="13"/>
  </cols>
  <sheetData>
    <row r="1" spans="1:23" ht="13.15">
      <c r="S1" s="65" t="s">
        <v>278</v>
      </c>
    </row>
    <row r="2" spans="1:23" ht="13.15">
      <c r="S2" s="65" t="s">
        <v>279</v>
      </c>
    </row>
    <row r="3" spans="1:23" ht="13.15">
      <c r="S3" s="65" t="s">
        <v>280</v>
      </c>
    </row>
    <row r="4" spans="1:23" ht="13.15">
      <c r="S4" s="65" t="s">
        <v>300</v>
      </c>
    </row>
    <row r="5" spans="1:23" ht="13.15">
      <c r="S5" s="65"/>
    </row>
    <row r="6" spans="1:23" ht="13.15">
      <c r="S6" s="65" t="s">
        <v>237</v>
      </c>
    </row>
    <row r="7" spans="1:23" s="24" customFormat="1" ht="14.1" customHeight="1">
      <c r="A7" s="223" t="s">
        <v>116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</row>
    <row r="8" spans="1:23" s="24" customFormat="1" ht="14.1" customHeight="1">
      <c r="A8" s="223" t="s">
        <v>115</v>
      </c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</row>
    <row r="9" spans="1:23" ht="14.45" customHeight="1">
      <c r="A9" s="223" t="s">
        <v>47</v>
      </c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5"/>
      <c r="U9" s="25"/>
      <c r="V9" s="25"/>
      <c r="W9" s="25"/>
    </row>
    <row r="10" spans="1:23">
      <c r="E10" s="44" t="s">
        <v>118</v>
      </c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6"/>
    </row>
    <row r="11" spans="1:23">
      <c r="A11" s="18" t="s">
        <v>4</v>
      </c>
      <c r="E11" s="47" t="s">
        <v>119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48" t="s">
        <v>266</v>
      </c>
    </row>
    <row r="12" spans="1:23">
      <c r="A12" s="26" t="s">
        <v>5</v>
      </c>
      <c r="B12" s="27"/>
      <c r="C12" s="26" t="s">
        <v>6</v>
      </c>
      <c r="D12" s="27"/>
      <c r="E12" s="49">
        <v>44550</v>
      </c>
      <c r="F12" s="28">
        <v>44582</v>
      </c>
      <c r="G12" s="28">
        <v>44593</v>
      </c>
      <c r="H12" s="28">
        <v>44621</v>
      </c>
      <c r="I12" s="28">
        <v>44652</v>
      </c>
      <c r="J12" s="28">
        <v>44682</v>
      </c>
      <c r="K12" s="28">
        <v>44713</v>
      </c>
      <c r="L12" s="28">
        <v>44743</v>
      </c>
      <c r="M12" s="28">
        <v>44774</v>
      </c>
      <c r="N12" s="28">
        <v>44805</v>
      </c>
      <c r="O12" s="28">
        <v>44835</v>
      </c>
      <c r="P12" s="28">
        <v>44866</v>
      </c>
      <c r="Q12" s="28">
        <v>44896</v>
      </c>
      <c r="R12" s="27"/>
      <c r="S12" s="50" t="s">
        <v>120</v>
      </c>
    </row>
    <row r="13" spans="1:23">
      <c r="E13" s="51" t="s">
        <v>77</v>
      </c>
      <c r="F13" s="52" t="s">
        <v>78</v>
      </c>
      <c r="G13" s="52" t="s">
        <v>121</v>
      </c>
      <c r="H13" s="52" t="s">
        <v>122</v>
      </c>
      <c r="I13" s="52" t="s">
        <v>123</v>
      </c>
      <c r="J13" s="52" t="s">
        <v>124</v>
      </c>
      <c r="K13" s="52" t="s">
        <v>125</v>
      </c>
      <c r="L13" s="52" t="s">
        <v>126</v>
      </c>
      <c r="M13" s="52" t="s">
        <v>79</v>
      </c>
      <c r="N13" s="52" t="s">
        <v>80</v>
      </c>
      <c r="O13" s="52" t="s">
        <v>81</v>
      </c>
      <c r="P13" s="52" t="s">
        <v>82</v>
      </c>
      <c r="Q13" s="52" t="s">
        <v>83</v>
      </c>
      <c r="R13" s="52"/>
      <c r="S13" s="53" t="s">
        <v>84</v>
      </c>
    </row>
    <row r="14" spans="1:23" s="23" customFormat="1">
      <c r="A14" s="22"/>
      <c r="B14" s="29"/>
      <c r="C14" s="29"/>
      <c r="E14" s="54"/>
      <c r="S14" s="55"/>
    </row>
    <row r="15" spans="1:23" s="23" customFormat="1" ht="13.15">
      <c r="A15" s="22"/>
      <c r="B15" s="30" t="s">
        <v>127</v>
      </c>
      <c r="E15" s="54"/>
      <c r="S15" s="55"/>
    </row>
    <row r="16" spans="1:23" s="23" customFormat="1">
      <c r="A16" s="22"/>
      <c r="E16" s="54"/>
      <c r="F16" s="31"/>
      <c r="G16" s="32"/>
      <c r="H16" s="32"/>
      <c r="I16" s="32"/>
      <c r="J16" s="32"/>
      <c r="K16" s="32"/>
      <c r="L16" s="32"/>
      <c r="M16" s="32"/>
      <c r="N16" s="31"/>
      <c r="O16" s="32"/>
      <c r="P16" s="32"/>
      <c r="Q16" s="32"/>
      <c r="S16" s="55"/>
    </row>
    <row r="17" spans="1:36" s="23" customFormat="1">
      <c r="A17" s="22">
        <v>1</v>
      </c>
      <c r="C17" s="33" t="s">
        <v>133</v>
      </c>
      <c r="E17" s="56">
        <f>'202201 Bk Depr Form 2.1'!F27</f>
        <v>156028034.97692308</v>
      </c>
      <c r="F17" s="31">
        <f>'202201 Bk Depr Form 2.1'!$L$27</f>
        <v>1058054.22473825</v>
      </c>
      <c r="G17" s="31">
        <f>'202202 Bk Depr Form 2.2'!$L$27</f>
        <v>2579837.7319095153</v>
      </c>
      <c r="H17" s="31">
        <f>'202203 Bk Depr Form 2.3'!$L$27</f>
        <v>2758211.7171868412</v>
      </c>
      <c r="I17" s="31">
        <f>'202204 Bk Depr Form 2.4'!$L$27</f>
        <v>2160076.7934575849</v>
      </c>
      <c r="J17" s="31">
        <f>'202205 Bk Depr Form 2.5'!$L$27</f>
        <v>1947545.2749514824</v>
      </c>
      <c r="K17" s="31">
        <f>'202206 Bk Depr Form 2.6'!$L$27</f>
        <v>2195064.2781429281</v>
      </c>
      <c r="L17" s="31">
        <f>'202207 Bk Depr Form 2.7'!$L$27</f>
        <v>2472249.4080326338</v>
      </c>
      <c r="M17" s="31">
        <f>'202208 Bk Depr Form 2.8'!$L$27</f>
        <v>3601425.9229841568</v>
      </c>
      <c r="N17" s="31">
        <f>'202209 Bk Depr Form 2.9'!$L$27</f>
        <v>2654771.6018010094</v>
      </c>
      <c r="O17" s="31">
        <f>'202210 Bk Depr Form 2.10'!$L$27</f>
        <v>4253529.7330777673</v>
      </c>
      <c r="P17" s="31">
        <f>'202211 Bk Depr Form 2.11'!$L$27</f>
        <v>6586473.5059350561</v>
      </c>
      <c r="Q17" s="31">
        <f>'202212 Bk Depr Form 2.12'!$L$27</f>
        <v>7746583.4487827756</v>
      </c>
      <c r="S17" s="55"/>
    </row>
    <row r="18" spans="1:36" s="23" customFormat="1">
      <c r="A18" s="22">
        <f>A17+1</f>
        <v>2</v>
      </c>
      <c r="C18" s="33" t="s">
        <v>12</v>
      </c>
      <c r="E18" s="57">
        <f>'202201 Bk Depr Form 2.1'!F38</f>
        <v>-18035747.912769236</v>
      </c>
      <c r="F18" s="34">
        <f>'202201 Bk Depr Form 2.1'!$L$38</f>
        <v>-224501</v>
      </c>
      <c r="G18" s="34">
        <f>'202202 Bk Depr Form 2.2'!$L$38</f>
        <v>-297403</v>
      </c>
      <c r="H18" s="34">
        <f>'202203 Bk Depr Form 2.3'!$L$38</f>
        <v>-496362</v>
      </c>
      <c r="I18" s="34">
        <f>'202204 Bk Depr Form 2.4'!$L$38</f>
        <v>-561772</v>
      </c>
      <c r="J18" s="34">
        <f>'202205 Bk Depr Form 2.5'!$L$38</f>
        <v>-612716</v>
      </c>
      <c r="K18" s="34">
        <f>'202206 Bk Depr Form 2.6'!$L$38</f>
        <v>-638776</v>
      </c>
      <c r="L18" s="34">
        <f>'202207 Bk Depr Form 2.7'!$L$38</f>
        <v>-540144</v>
      </c>
      <c r="M18" s="34">
        <f>'202208 Bk Depr Form 2.8'!$L$38</f>
        <v>-493138</v>
      </c>
      <c r="N18" s="34">
        <f>'202209 Bk Depr Form 2.9'!$L$38</f>
        <v>-544929</v>
      </c>
      <c r="O18" s="34">
        <f>'202210 Bk Depr Form 2.10'!$L$38</f>
        <v>-493303</v>
      </c>
      <c r="P18" s="34">
        <f>'202211 Bk Depr Form 2.11'!$L$38</f>
        <v>-285485</v>
      </c>
      <c r="Q18" s="34">
        <f>'202212 Bk Depr Form 2.12'!$L$38</f>
        <v>-160136</v>
      </c>
      <c r="S18" s="55"/>
    </row>
    <row r="19" spans="1:36" s="23" customFormat="1">
      <c r="A19" s="22">
        <f>A18+1</f>
        <v>3</v>
      </c>
      <c r="C19" s="33" t="s">
        <v>128</v>
      </c>
      <c r="E19" s="58">
        <f t="shared" ref="E19:Q19" si="0">SUM(E17:E18)</f>
        <v>137992287.06415385</v>
      </c>
      <c r="F19" s="32">
        <f t="shared" si="0"/>
        <v>833553.22473825002</v>
      </c>
      <c r="G19" s="32">
        <f t="shared" si="0"/>
        <v>2282434.7319095153</v>
      </c>
      <c r="H19" s="32">
        <f t="shared" si="0"/>
        <v>2261849.7171868412</v>
      </c>
      <c r="I19" s="32">
        <f t="shared" si="0"/>
        <v>1598304.7934575849</v>
      </c>
      <c r="J19" s="32">
        <f t="shared" si="0"/>
        <v>1334829.2749514824</v>
      </c>
      <c r="K19" s="32">
        <f t="shared" si="0"/>
        <v>1556288.2781429281</v>
      </c>
      <c r="L19" s="32">
        <f t="shared" si="0"/>
        <v>1932105.4080326338</v>
      </c>
      <c r="M19" s="32">
        <f t="shared" si="0"/>
        <v>3108287.9229841568</v>
      </c>
      <c r="N19" s="32">
        <f t="shared" si="0"/>
        <v>2109842.6018010094</v>
      </c>
      <c r="O19" s="32">
        <f t="shared" si="0"/>
        <v>3760226.7330777673</v>
      </c>
      <c r="P19" s="32">
        <f t="shared" si="0"/>
        <v>6300988.5059350561</v>
      </c>
      <c r="Q19" s="32">
        <f t="shared" si="0"/>
        <v>7586447.4487827756</v>
      </c>
      <c r="S19" s="55"/>
    </row>
    <row r="20" spans="1:36" s="23" customFormat="1">
      <c r="A20" s="22"/>
      <c r="C20" s="33"/>
      <c r="E20" s="54"/>
      <c r="S20" s="55"/>
    </row>
    <row r="21" spans="1:36" s="23" customFormat="1">
      <c r="A21" s="22">
        <f>A19+1</f>
        <v>4</v>
      </c>
      <c r="C21" s="33" t="s">
        <v>129</v>
      </c>
      <c r="E21" s="58">
        <f>E19</f>
        <v>137992287.06415385</v>
      </c>
      <c r="F21" s="31">
        <f>E21+F19</f>
        <v>138825840.28889209</v>
      </c>
      <c r="G21" s="31">
        <f>F21+G19</f>
        <v>141108275.0208016</v>
      </c>
      <c r="H21" s="31">
        <f t="shared" ref="H21:Q21" si="1">G21+H19</f>
        <v>143370124.73798844</v>
      </c>
      <c r="I21" s="31">
        <f t="shared" si="1"/>
        <v>144968429.53144604</v>
      </c>
      <c r="J21" s="31">
        <f t="shared" si="1"/>
        <v>146303258.80639753</v>
      </c>
      <c r="K21" s="31">
        <f t="shared" si="1"/>
        <v>147859547.08454046</v>
      </c>
      <c r="L21" s="31">
        <f t="shared" si="1"/>
        <v>149791652.49257308</v>
      </c>
      <c r="M21" s="31">
        <f t="shared" si="1"/>
        <v>152899940.41555724</v>
      </c>
      <c r="N21" s="31">
        <f t="shared" si="1"/>
        <v>155009783.01735824</v>
      </c>
      <c r="O21" s="31">
        <f t="shared" si="1"/>
        <v>158770009.75043601</v>
      </c>
      <c r="P21" s="31">
        <f t="shared" si="1"/>
        <v>165070998.25637105</v>
      </c>
      <c r="Q21" s="31">
        <f t="shared" si="1"/>
        <v>172657445.70515382</v>
      </c>
      <c r="S21" s="59">
        <f>AVERAGE(E21:Q21)</f>
        <v>150355968.62858996</v>
      </c>
    </row>
    <row r="22" spans="1:36" s="23" customFormat="1">
      <c r="A22" s="22"/>
      <c r="C22" s="33"/>
      <c r="E22" s="58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S22" s="59"/>
    </row>
    <row r="23" spans="1:36" s="23" customFormat="1" ht="13.15">
      <c r="A23" s="22"/>
      <c r="B23" s="30" t="s">
        <v>130</v>
      </c>
      <c r="E23" s="54"/>
      <c r="S23" s="59"/>
    </row>
    <row r="24" spans="1:36" s="23" customFormat="1">
      <c r="A24" s="22"/>
      <c r="C24" s="33"/>
      <c r="E24" s="54"/>
      <c r="S24" s="59"/>
    </row>
    <row r="25" spans="1:36" s="23" customFormat="1">
      <c r="A25" s="22">
        <f>A21+1</f>
        <v>5</v>
      </c>
      <c r="C25" s="33" t="s">
        <v>131</v>
      </c>
      <c r="E25" s="215">
        <v>-5994930</v>
      </c>
      <c r="F25" s="31">
        <f>-'202201 Bk Depr Form 2.1'!$J$40-'202201 Bk Depr Form 2.1'!$N$40</f>
        <v>-268555.22293529101</v>
      </c>
      <c r="G25" s="31">
        <f>-'202202 Bk Depr Form 2.2'!$J$40-'202202 Bk Depr Form 2.2'!$N$40</f>
        <v>-271440.27783729369</v>
      </c>
      <c r="H25" s="31">
        <f>-'202203 Bk Depr Form 2.3'!$J$40-'202203 Bk Depr Form 2.3'!$N$40</f>
        <v>-275684.33437002864</v>
      </c>
      <c r="I25" s="31">
        <f>-'202204 Bk Depr Form 2.4'!$J$40-'202204 Bk Depr Form 2.4'!$N$40</f>
        <v>-279311.98963398329</v>
      </c>
      <c r="J25" s="31">
        <f>-'202205 Bk Depr Form 2.5'!$J$40-'202205 Bk Depr Form 2.5'!$N$40</f>
        <v>-282073.75305353454</v>
      </c>
      <c r="K25" s="31">
        <f>-'202206 Bk Depr Form 2.6'!$J$40-'202206 Bk Depr Form 2.6'!$N$40</f>
        <v>-284800.13309361087</v>
      </c>
      <c r="L25" s="31">
        <f>-'202207 Bk Depr Form 2.7'!$J$40-'202207 Bk Depr Form 2.7'!$N$40</f>
        <v>-288058.39292839362</v>
      </c>
      <c r="M25" s="31">
        <f>-'202208 Bk Depr Form 2.8'!$J$40-'202208 Bk Depr Form 2.8'!$N$40</f>
        <v>-292741.60664422862</v>
      </c>
      <c r="N25" s="31">
        <f>-'202209 Bk Depr Form 2.9'!$J$40-'202209 Bk Depr Form 2.9'!$N$40</f>
        <v>-297615.12129478093</v>
      </c>
      <c r="O25" s="31">
        <f>-'202210 Bk Depr Form 2.10'!$J$40-'202210 Bk Depr Form 2.10'!$N$40</f>
        <v>-303084.99070335983</v>
      </c>
      <c r="P25" s="31">
        <f>-'202211 Bk Depr Form 2.11'!$J$40-'202211 Bk Depr Form 2.11'!$N$40</f>
        <v>-312382.58476995549</v>
      </c>
      <c r="Q25" s="31">
        <f>-'202212 Bk Depr Form 2.12'!$J$40-'202212 Bk Depr Form 2.12'!$N$40</f>
        <v>-325212.89769066626</v>
      </c>
      <c r="S25" s="59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</row>
    <row r="26" spans="1:36" s="23" customFormat="1">
      <c r="A26" s="22">
        <f>A25+1</f>
        <v>6</v>
      </c>
      <c r="C26" s="33" t="s">
        <v>12</v>
      </c>
      <c r="E26" s="56">
        <f t="shared" ref="E26:Q26" si="2">E18*-1</f>
        <v>18035747.912769236</v>
      </c>
      <c r="F26" s="31">
        <f t="shared" si="2"/>
        <v>224501</v>
      </c>
      <c r="G26" s="31">
        <f t="shared" si="2"/>
        <v>297403</v>
      </c>
      <c r="H26" s="31">
        <f t="shared" si="2"/>
        <v>496362</v>
      </c>
      <c r="I26" s="31">
        <f t="shared" si="2"/>
        <v>561772</v>
      </c>
      <c r="J26" s="31">
        <f t="shared" si="2"/>
        <v>612716</v>
      </c>
      <c r="K26" s="31">
        <f t="shared" si="2"/>
        <v>638776</v>
      </c>
      <c r="L26" s="31">
        <f t="shared" si="2"/>
        <v>540144</v>
      </c>
      <c r="M26" s="31">
        <f t="shared" si="2"/>
        <v>493138</v>
      </c>
      <c r="N26" s="31">
        <f t="shared" si="2"/>
        <v>544929</v>
      </c>
      <c r="O26" s="31">
        <f t="shared" si="2"/>
        <v>493303</v>
      </c>
      <c r="P26" s="31">
        <f t="shared" si="2"/>
        <v>285485</v>
      </c>
      <c r="Q26" s="31">
        <f t="shared" si="2"/>
        <v>160136</v>
      </c>
      <c r="S26" s="59"/>
    </row>
    <row r="27" spans="1:36" s="23" customFormat="1">
      <c r="A27" s="22">
        <f>A26+1</f>
        <v>7</v>
      </c>
      <c r="C27" s="23" t="s">
        <v>273</v>
      </c>
      <c r="E27" s="57">
        <f>'202201 Bk Depr Form 2.1'!F51</f>
        <v>7360340.5620820681</v>
      </c>
      <c r="F27" s="34">
        <f>'202201 Bk Depr Form 2.1'!$L$51</f>
        <v>64860.101006443358</v>
      </c>
      <c r="G27" s="34">
        <f>'202202 Bk Depr Form 2.2'!$L$51</f>
        <v>78912.977282051113</v>
      </c>
      <c r="H27" s="34">
        <f>'202203 Bk Depr Form 2.3'!$L$51</f>
        <v>104551.66047093703</v>
      </c>
      <c r="I27" s="34">
        <f>'202204 Bk Depr Form 2.4'!$L$51</f>
        <v>118994.82871324266</v>
      </c>
      <c r="J27" s="34">
        <f>'202205 Bk Depr Form 2.5'!$L$51</f>
        <v>134297.56012417222</v>
      </c>
      <c r="K27" s="34">
        <f>'202206 Bk Depr Form 2.6'!$L$51</f>
        <v>126232.76351939731</v>
      </c>
      <c r="L27" s="34">
        <f>'202207 Bk Depr Form 2.7'!$L$51</f>
        <v>139904.50438401944</v>
      </c>
      <c r="M27" s="34">
        <f>'202208 Bk Depr Form 2.8'!$L$51</f>
        <v>141407.02950371077</v>
      </c>
      <c r="N27" s="34">
        <f>'202209 Bk Depr Form 2.9'!$L$51</f>
        <v>143187.73608166692</v>
      </c>
      <c r="O27" s="34">
        <f>'202210 Bk Depr Form 2.10'!$L$51</f>
        <v>158316.59622659264</v>
      </c>
      <c r="P27" s="34">
        <f>'202211 Bk Depr Form 2.11'!$L$51</f>
        <v>141684.90592361515</v>
      </c>
      <c r="Q27" s="34">
        <f>'202212 Bk Depr Form 2.12'!$L$51</f>
        <v>94549.457893173312</v>
      </c>
      <c r="S27" s="59"/>
    </row>
    <row r="28" spans="1:36" s="23" customFormat="1">
      <c r="A28" s="22">
        <f>A27+1</f>
        <v>8</v>
      </c>
      <c r="C28" s="33" t="s">
        <v>132</v>
      </c>
      <c r="E28" s="58">
        <f>SUM(E25:E27)</f>
        <v>19401158.474851303</v>
      </c>
      <c r="F28" s="32">
        <f>SUM(F25:F27)</f>
        <v>20805.87807115235</v>
      </c>
      <c r="G28" s="32">
        <f>SUM(G25:G27)</f>
        <v>104875.69944475743</v>
      </c>
      <c r="H28" s="32">
        <f t="shared" ref="H28:Q28" si="3">SUM(H25:H27)</f>
        <v>325229.32610090839</v>
      </c>
      <c r="I28" s="32">
        <f t="shared" si="3"/>
        <v>401454.83907925937</v>
      </c>
      <c r="J28" s="32">
        <f t="shared" si="3"/>
        <v>464939.8070706377</v>
      </c>
      <c r="K28" s="32">
        <f t="shared" si="3"/>
        <v>480208.63042578642</v>
      </c>
      <c r="L28" s="32">
        <f t="shared" si="3"/>
        <v>391990.11145562585</v>
      </c>
      <c r="M28" s="32">
        <f t="shared" si="3"/>
        <v>341803.42285948212</v>
      </c>
      <c r="N28" s="32">
        <f t="shared" si="3"/>
        <v>390501.61478688603</v>
      </c>
      <c r="O28" s="32">
        <f t="shared" si="3"/>
        <v>348534.60552323284</v>
      </c>
      <c r="P28" s="32">
        <f t="shared" si="3"/>
        <v>114787.32115365966</v>
      </c>
      <c r="Q28" s="32">
        <f t="shared" si="3"/>
        <v>-70527.439797492945</v>
      </c>
      <c r="S28" s="59"/>
    </row>
    <row r="29" spans="1:36" s="23" customFormat="1">
      <c r="A29" s="22"/>
      <c r="C29" s="33"/>
      <c r="E29" s="54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S29" s="59"/>
    </row>
    <row r="30" spans="1:36" s="23" customFormat="1">
      <c r="A30" s="22">
        <f>A28+1</f>
        <v>9</v>
      </c>
      <c r="C30" s="33" t="s">
        <v>130</v>
      </c>
      <c r="E30" s="58">
        <f>E28</f>
        <v>19401158.474851303</v>
      </c>
      <c r="F30" s="32">
        <f>E30+F28</f>
        <v>19421964.352922454</v>
      </c>
      <c r="G30" s="32">
        <f>F30+G28</f>
        <v>19526840.05236721</v>
      </c>
      <c r="H30" s="32">
        <f t="shared" ref="H30:Q30" si="4">G30+H28</f>
        <v>19852069.378468119</v>
      </c>
      <c r="I30" s="32">
        <f t="shared" si="4"/>
        <v>20253524.217547379</v>
      </c>
      <c r="J30" s="32">
        <f t="shared" si="4"/>
        <v>20718464.024618018</v>
      </c>
      <c r="K30" s="32">
        <f t="shared" si="4"/>
        <v>21198672.655043803</v>
      </c>
      <c r="L30" s="32">
        <f t="shared" si="4"/>
        <v>21590662.76649943</v>
      </c>
      <c r="M30" s="32">
        <f t="shared" si="4"/>
        <v>21932466.189358912</v>
      </c>
      <c r="N30" s="32">
        <f t="shared" si="4"/>
        <v>22322967.804145798</v>
      </c>
      <c r="O30" s="32">
        <f t="shared" si="4"/>
        <v>22671502.40966903</v>
      </c>
      <c r="P30" s="32">
        <f t="shared" si="4"/>
        <v>22786289.73082269</v>
      </c>
      <c r="Q30" s="32">
        <f t="shared" si="4"/>
        <v>22715762.291025195</v>
      </c>
      <c r="S30" s="59">
        <f>AVERAGE(E30:Q30)</f>
        <v>21107103.411333799</v>
      </c>
    </row>
    <row r="31" spans="1:36" s="23" customFormat="1">
      <c r="A31" s="22"/>
      <c r="C31" s="33"/>
      <c r="E31" s="54"/>
      <c r="S31" s="59"/>
    </row>
    <row r="32" spans="1:36" s="23" customFormat="1" ht="13.15">
      <c r="A32" s="22">
        <f>A30+1</f>
        <v>10</v>
      </c>
      <c r="C32" s="30" t="s">
        <v>85</v>
      </c>
      <c r="E32" s="216">
        <v>-14309917</v>
      </c>
      <c r="F32" s="34">
        <f>(($Q$32-$E$32)/12)+E32</f>
        <v>-14713225.3530831</v>
      </c>
      <c r="G32" s="34">
        <f>(($Q$32-$E$32)/12)+F32</f>
        <v>-15116533.7061662</v>
      </c>
      <c r="H32" s="34">
        <f t="shared" ref="H32:P32" si="5">(($Q$32-$E$32)/12)+G32</f>
        <v>-15519842.059249301</v>
      </c>
      <c r="I32" s="34">
        <f t="shared" si="5"/>
        <v>-15923150.412332401</v>
      </c>
      <c r="J32" s="34">
        <f t="shared" si="5"/>
        <v>-16326458.765415501</v>
      </c>
      <c r="K32" s="34">
        <f t="shared" si="5"/>
        <v>-16729767.118498601</v>
      </c>
      <c r="L32" s="34">
        <f t="shared" si="5"/>
        <v>-17133075.471581701</v>
      </c>
      <c r="M32" s="34">
        <f t="shared" si="5"/>
        <v>-17536383.824664801</v>
      </c>
      <c r="N32" s="34">
        <f t="shared" si="5"/>
        <v>-17939692.177747902</v>
      </c>
      <c r="O32" s="34">
        <f t="shared" si="5"/>
        <v>-18343000.530831002</v>
      </c>
      <c r="P32" s="34">
        <f t="shared" si="5"/>
        <v>-18746308.883914102</v>
      </c>
      <c r="Q32" s="34">
        <f>-'Tax Depr Form 2.14 p.1'!AM27</f>
        <v>-19149617.236997198</v>
      </c>
      <c r="S32" s="60">
        <f>AVERAGE(E32:Q32)</f>
        <v>-16729767.118498601</v>
      </c>
    </row>
    <row r="33" spans="1:19" s="23" customFormat="1" ht="13.15">
      <c r="A33" s="22"/>
      <c r="C33" s="30"/>
      <c r="E33" s="56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S33" s="59"/>
    </row>
    <row r="34" spans="1:19" s="23" customFormat="1">
      <c r="A34" s="22"/>
      <c r="C34" s="33"/>
      <c r="E34" s="56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S34" s="59"/>
    </row>
    <row r="35" spans="1:19" s="23" customFormat="1" ht="13.15">
      <c r="A35" s="22">
        <f>A32+1</f>
        <v>11</v>
      </c>
      <c r="C35" s="30" t="s">
        <v>137</v>
      </c>
      <c r="E35" s="56">
        <f t="shared" ref="E35:Q35" si="6">E21+E30+E32</f>
        <v>143083528.53900516</v>
      </c>
      <c r="F35" s="31">
        <f t="shared" si="6"/>
        <v>143534579.28873143</v>
      </c>
      <c r="G35" s="31">
        <f t="shared" si="6"/>
        <v>145518581.36700261</v>
      </c>
      <c r="H35" s="31">
        <f t="shared" si="6"/>
        <v>147702352.05720726</v>
      </c>
      <c r="I35" s="31">
        <f t="shared" si="6"/>
        <v>149298803.33666104</v>
      </c>
      <c r="J35" s="31">
        <f t="shared" si="6"/>
        <v>150695264.06560007</v>
      </c>
      <c r="K35" s="31">
        <f t="shared" si="6"/>
        <v>152328452.62108567</v>
      </c>
      <c r="L35" s="31">
        <f t="shared" si="6"/>
        <v>154249239.78749081</v>
      </c>
      <c r="M35" s="31">
        <f t="shared" si="6"/>
        <v>157296022.78025135</v>
      </c>
      <c r="N35" s="31">
        <f t="shared" si="6"/>
        <v>159393058.64375615</v>
      </c>
      <c r="O35" s="31">
        <f t="shared" si="6"/>
        <v>163098511.62927404</v>
      </c>
      <c r="P35" s="31">
        <f t="shared" si="6"/>
        <v>169110979.10327962</v>
      </c>
      <c r="Q35" s="31">
        <f t="shared" si="6"/>
        <v>176223590.75918183</v>
      </c>
      <c r="S35" s="61">
        <f>S21+S30+S32</f>
        <v>154733304.92142516</v>
      </c>
    </row>
    <row r="36" spans="1:19" s="23" customFormat="1">
      <c r="A36" s="22"/>
      <c r="C36" s="33"/>
      <c r="E36" s="56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S36" s="59"/>
    </row>
    <row r="37" spans="1:19" s="23" customFormat="1">
      <c r="A37" s="22">
        <f>A35+1</f>
        <v>12</v>
      </c>
      <c r="C37" s="39" t="s">
        <v>271</v>
      </c>
      <c r="E37" s="62">
        <f>'ROR Form 1.2'!$G$19/13</f>
        <v>7.1461538461538455E-3</v>
      </c>
      <c r="F37" s="42">
        <f>+E37</f>
        <v>7.1461538461538455E-3</v>
      </c>
      <c r="G37" s="42">
        <f t="shared" ref="G37:Q37" si="7">+F37</f>
        <v>7.1461538461538455E-3</v>
      </c>
      <c r="H37" s="42">
        <f t="shared" si="7"/>
        <v>7.1461538461538455E-3</v>
      </c>
      <c r="I37" s="42">
        <f t="shared" si="7"/>
        <v>7.1461538461538455E-3</v>
      </c>
      <c r="J37" s="42">
        <f t="shared" si="7"/>
        <v>7.1461538461538455E-3</v>
      </c>
      <c r="K37" s="42">
        <f t="shared" si="7"/>
        <v>7.1461538461538455E-3</v>
      </c>
      <c r="L37" s="42">
        <f t="shared" si="7"/>
        <v>7.1461538461538455E-3</v>
      </c>
      <c r="M37" s="42">
        <f t="shared" si="7"/>
        <v>7.1461538461538455E-3</v>
      </c>
      <c r="N37" s="42">
        <f t="shared" si="7"/>
        <v>7.1461538461538455E-3</v>
      </c>
      <c r="O37" s="42">
        <f t="shared" si="7"/>
        <v>7.1461538461538455E-3</v>
      </c>
      <c r="P37" s="42">
        <f t="shared" si="7"/>
        <v>7.1461538461538455E-3</v>
      </c>
      <c r="Q37" s="42">
        <f t="shared" si="7"/>
        <v>7.1461538461538455E-3</v>
      </c>
      <c r="S37" s="63">
        <f>'ROR Form 1.2'!G19</f>
        <v>9.2899999999999996E-2</v>
      </c>
    </row>
    <row r="38" spans="1:19" s="23" customFormat="1">
      <c r="A38" s="22"/>
      <c r="B38" s="33"/>
      <c r="E38" s="54"/>
      <c r="G38" s="37"/>
      <c r="S38" s="55"/>
    </row>
    <row r="39" spans="1:19" s="23" customFormat="1">
      <c r="A39" s="22">
        <f>A37+1</f>
        <v>13</v>
      </c>
      <c r="C39" s="23" t="s">
        <v>40</v>
      </c>
      <c r="E39" s="58">
        <f>E35*E37</f>
        <v>1022496.9077902753</v>
      </c>
      <c r="F39" s="32">
        <f t="shared" ref="F39:Q39" si="8">F35*F37</f>
        <v>1025720.1858402422</v>
      </c>
      <c r="G39" s="32">
        <f t="shared" si="8"/>
        <v>1039898.169922657</v>
      </c>
      <c r="H39" s="32">
        <f t="shared" si="8"/>
        <v>1055503.731239581</v>
      </c>
      <c r="I39" s="32">
        <f t="shared" si="8"/>
        <v>1066912.2176904469</v>
      </c>
      <c r="J39" s="32">
        <f t="shared" si="8"/>
        <v>1076891.5408995573</v>
      </c>
      <c r="K39" s="32">
        <f t="shared" si="8"/>
        <v>1088562.5575768352</v>
      </c>
      <c r="L39" s="32">
        <f t="shared" si="8"/>
        <v>1102288.7981736842</v>
      </c>
      <c r="M39" s="32">
        <f t="shared" si="8"/>
        <v>1124061.5781757962</v>
      </c>
      <c r="N39" s="32">
        <f t="shared" si="8"/>
        <v>1139047.3190773034</v>
      </c>
      <c r="O39" s="32">
        <f t="shared" si="8"/>
        <v>1165527.0561815044</v>
      </c>
      <c r="P39" s="32">
        <f t="shared" si="8"/>
        <v>1208493.0737457443</v>
      </c>
      <c r="Q39" s="32">
        <f t="shared" si="8"/>
        <v>1259320.8908867685</v>
      </c>
      <c r="S39" s="59">
        <f>S35*S37</f>
        <v>14374724.027200397</v>
      </c>
    </row>
    <row r="40" spans="1:19" s="23" customFormat="1">
      <c r="A40" s="22"/>
      <c r="E40" s="54"/>
      <c r="S40" s="59"/>
    </row>
    <row r="41" spans="1:19" s="23" customFormat="1" ht="13.15">
      <c r="A41" s="22">
        <f>A39+1</f>
        <v>14</v>
      </c>
      <c r="B41" s="40" t="s">
        <v>41</v>
      </c>
      <c r="E41" s="54"/>
      <c r="S41" s="59"/>
    </row>
    <row r="42" spans="1:19" s="23" customFormat="1">
      <c r="A42" s="22"/>
      <c r="E42" s="54"/>
      <c r="S42" s="59"/>
    </row>
    <row r="43" spans="1:19" s="23" customFormat="1">
      <c r="A43" s="22">
        <f>A41+1</f>
        <v>15</v>
      </c>
      <c r="C43" s="23" t="s">
        <v>0</v>
      </c>
      <c r="E43" s="56">
        <v>0</v>
      </c>
      <c r="F43" s="31">
        <f>'202201 Bk Depr Form 2.1'!$P$40</f>
        <v>268555.22293529095</v>
      </c>
      <c r="G43" s="31">
        <f>'202202 Bk Depr Form 2.2'!$P$40</f>
        <v>271440.27783729363</v>
      </c>
      <c r="H43" s="31">
        <f>'202203 Bk Depr Form 2.3'!$P$40</f>
        <v>275684.33437002864</v>
      </c>
      <c r="I43" s="31">
        <f>'202204 Bk Depr Form 2.4'!$P$40</f>
        <v>279311.98963398335</v>
      </c>
      <c r="J43" s="31">
        <f>'202205 Bk Depr Form 2.5'!$P$40</f>
        <v>282073.75305353454</v>
      </c>
      <c r="K43" s="31">
        <f>'202206 Bk Depr Form 2.6'!$P$40</f>
        <v>284800.13309361087</v>
      </c>
      <c r="L43" s="31">
        <f>'202207 Bk Depr Form 2.7'!$P$40</f>
        <v>288058.39292839356</v>
      </c>
      <c r="M43" s="31">
        <f>'202208 Bk Depr Form 2.8'!$P$40</f>
        <v>292741.60664422862</v>
      </c>
      <c r="N43" s="31">
        <f>'202209 Bk Depr Form 2.9'!$P$40</f>
        <v>297615.12129478098</v>
      </c>
      <c r="O43" s="31">
        <f>'202210 Bk Depr Form 2.10'!$P$40</f>
        <v>303084.99070335983</v>
      </c>
      <c r="P43" s="31">
        <f>'202211 Bk Depr Form 2.11'!$P$40</f>
        <v>312382.58476995537</v>
      </c>
      <c r="Q43" s="31">
        <f>'202212 Bk Depr Form 2.12'!$P$40</f>
        <v>325212.89769066632</v>
      </c>
      <c r="S43" s="59">
        <f>SUM(F43:Q43)</f>
        <v>3480961.3049551267</v>
      </c>
    </row>
    <row r="44" spans="1:19" s="23" customFormat="1" ht="14.25">
      <c r="A44" s="22">
        <f>A43+1</f>
        <v>16</v>
      </c>
      <c r="C44" s="23" t="s">
        <v>135</v>
      </c>
      <c r="E44" s="56">
        <v>0</v>
      </c>
      <c r="F44" s="31">
        <f>ROUND((E21+E30)*0.01418/12,0)</f>
        <v>185987</v>
      </c>
      <c r="G44" s="31">
        <f t="shared" ref="G44:R44" si="9">+F44</f>
        <v>185987</v>
      </c>
      <c r="H44" s="31">
        <f t="shared" si="9"/>
        <v>185987</v>
      </c>
      <c r="I44" s="31">
        <f t="shared" si="9"/>
        <v>185987</v>
      </c>
      <c r="J44" s="31">
        <f t="shared" si="9"/>
        <v>185987</v>
      </c>
      <c r="K44" s="31">
        <f t="shared" si="9"/>
        <v>185987</v>
      </c>
      <c r="L44" s="31">
        <f t="shared" si="9"/>
        <v>185987</v>
      </c>
      <c r="M44" s="31">
        <f t="shared" si="9"/>
        <v>185987</v>
      </c>
      <c r="N44" s="31">
        <f t="shared" si="9"/>
        <v>185987</v>
      </c>
      <c r="O44" s="31">
        <f t="shared" si="9"/>
        <v>185987</v>
      </c>
      <c r="P44" s="31">
        <f t="shared" si="9"/>
        <v>185987</v>
      </c>
      <c r="Q44" s="31">
        <f t="shared" si="9"/>
        <v>185987</v>
      </c>
      <c r="R44" s="31">
        <f t="shared" si="9"/>
        <v>185987</v>
      </c>
      <c r="S44" s="59">
        <f t="shared" ref="S44:S46" si="10">SUM(F44:Q44)</f>
        <v>2231844</v>
      </c>
    </row>
    <row r="45" spans="1:19" s="23" customFormat="1" ht="14.25">
      <c r="A45" s="22">
        <f t="shared" ref="A45:A47" si="11">A44+1</f>
        <v>17</v>
      </c>
      <c r="C45" s="23" t="s">
        <v>269</v>
      </c>
      <c r="E45" s="56">
        <v>0</v>
      </c>
      <c r="F45" s="31">
        <v>-39994.370000000032</v>
      </c>
      <c r="G45" s="31">
        <v>-39994.370000000032</v>
      </c>
      <c r="H45" s="31">
        <v>-39994.370000000032</v>
      </c>
      <c r="I45" s="31">
        <v>-39994.370000000032</v>
      </c>
      <c r="J45" s="31">
        <v>-39994.370000000032</v>
      </c>
      <c r="K45" s="31">
        <v>-39994.370000000032</v>
      </c>
      <c r="L45" s="31">
        <v>-39994.370000000032</v>
      </c>
      <c r="M45" s="31">
        <v>-39994.370000000032</v>
      </c>
      <c r="N45" s="31">
        <v>-39994.370000000032</v>
      </c>
      <c r="O45" s="31">
        <v>-39994.370000000032</v>
      </c>
      <c r="P45" s="31">
        <v>-39994.370000000032</v>
      </c>
      <c r="Q45" s="31">
        <v>-39994.370000000032</v>
      </c>
      <c r="S45" s="59">
        <f t="shared" si="10"/>
        <v>-479932.44000000047</v>
      </c>
    </row>
    <row r="46" spans="1:19" s="23" customFormat="1" ht="14.25">
      <c r="A46" s="22">
        <f t="shared" si="11"/>
        <v>18</v>
      </c>
      <c r="C46" s="23" t="s">
        <v>136</v>
      </c>
      <c r="E46" s="57">
        <f>SUM(E39,E43:E45)*(0.002/(1-0.002))</f>
        <v>2049.0919995797099</v>
      </c>
      <c r="F46" s="57">
        <f>SUM(F39,F43:F45)*(0.002/(1-0.002))</f>
        <v>2886.3086949409476</v>
      </c>
      <c r="G46" s="57">
        <f t="shared" ref="G46:Q46" si="12">SUM(G39,G43:G45)*(0.002/(1-0.002))</f>
        <v>2920.5031618435878</v>
      </c>
      <c r="H46" s="57">
        <f t="shared" si="12"/>
        <v>2960.2819551294779</v>
      </c>
      <c r="I46" s="57">
        <f t="shared" si="12"/>
        <v>2990.4145036561727</v>
      </c>
      <c r="J46" s="57">
        <f t="shared" si="12"/>
        <v>3015.9477433929692</v>
      </c>
      <c r="K46" s="57">
        <f t="shared" si="12"/>
        <v>3044.8002418245405</v>
      </c>
      <c r="L46" s="57">
        <f t="shared" si="12"/>
        <v>3078.8373168378307</v>
      </c>
      <c r="M46" s="57">
        <f t="shared" si="12"/>
        <v>3131.8553403206906</v>
      </c>
      <c r="N46" s="57">
        <f t="shared" si="12"/>
        <v>3171.6534476394468</v>
      </c>
      <c r="O46" s="57">
        <f t="shared" si="12"/>
        <v>3235.6807152001279</v>
      </c>
      <c r="P46" s="57">
        <f t="shared" si="12"/>
        <v>3340.4174118551091</v>
      </c>
      <c r="Q46" s="57">
        <f t="shared" si="12"/>
        <v>3467.9888147844381</v>
      </c>
      <c r="S46" s="60">
        <f t="shared" si="10"/>
        <v>37244.689347425337</v>
      </c>
    </row>
    <row r="47" spans="1:19" s="23" customFormat="1">
      <c r="A47" s="22">
        <f t="shared" si="11"/>
        <v>19</v>
      </c>
      <c r="C47" s="23" t="s">
        <v>138</v>
      </c>
      <c r="E47" s="58">
        <f>SUM(E43:E46)</f>
        <v>2049.0919995797099</v>
      </c>
      <c r="F47" s="32">
        <f t="shared" ref="F47:Q47" si="13">SUM(F43:F46)</f>
        <v>417434.16163023183</v>
      </c>
      <c r="G47" s="32">
        <f t="shared" si="13"/>
        <v>420353.41099913715</v>
      </c>
      <c r="H47" s="32">
        <f t="shared" si="13"/>
        <v>424637.24632515805</v>
      </c>
      <c r="I47" s="32">
        <f t="shared" si="13"/>
        <v>428295.03413763945</v>
      </c>
      <c r="J47" s="32">
        <f t="shared" si="13"/>
        <v>431082.33079692745</v>
      </c>
      <c r="K47" s="32">
        <f t="shared" si="13"/>
        <v>433837.56333543535</v>
      </c>
      <c r="L47" s="32">
        <f t="shared" si="13"/>
        <v>437129.86024523131</v>
      </c>
      <c r="M47" s="32">
        <f t="shared" si="13"/>
        <v>441866.09198454925</v>
      </c>
      <c r="N47" s="32">
        <f t="shared" si="13"/>
        <v>446779.40474242036</v>
      </c>
      <c r="O47" s="32">
        <f t="shared" si="13"/>
        <v>452313.30141855992</v>
      </c>
      <c r="P47" s="32">
        <f t="shared" si="13"/>
        <v>461715.63218181045</v>
      </c>
      <c r="Q47" s="32">
        <f t="shared" si="13"/>
        <v>474673.51650545071</v>
      </c>
      <c r="S47" s="59">
        <f>SUM(S43:S46)</f>
        <v>5270117.5543025518</v>
      </c>
    </row>
    <row r="48" spans="1:19" s="23" customFormat="1">
      <c r="A48" s="22"/>
      <c r="E48" s="54"/>
      <c r="S48" s="55"/>
    </row>
    <row r="49" spans="1:19" s="23" customFormat="1" ht="13.15">
      <c r="A49" s="22">
        <f>A47+1</f>
        <v>20</v>
      </c>
      <c r="B49" s="43" t="s">
        <v>139</v>
      </c>
      <c r="E49" s="64">
        <f>E39+E47</f>
        <v>1024545.999789855</v>
      </c>
      <c r="F49" s="36">
        <f t="shared" ref="F49:S49" si="14">F39+F47</f>
        <v>1443154.347470474</v>
      </c>
      <c r="G49" s="36">
        <f t="shared" si="14"/>
        <v>1460251.5809217941</v>
      </c>
      <c r="H49" s="36">
        <f t="shared" si="14"/>
        <v>1480140.9775647391</v>
      </c>
      <c r="I49" s="36">
        <f t="shared" si="14"/>
        <v>1495207.2518280863</v>
      </c>
      <c r="J49" s="36">
        <f t="shared" si="14"/>
        <v>1507973.8716964847</v>
      </c>
      <c r="K49" s="36">
        <f t="shared" si="14"/>
        <v>1522400.1209122706</v>
      </c>
      <c r="L49" s="36">
        <f t="shared" si="14"/>
        <v>1539418.6584189155</v>
      </c>
      <c r="M49" s="36">
        <f t="shared" si="14"/>
        <v>1565927.6701603455</v>
      </c>
      <c r="N49" s="36">
        <f t="shared" si="14"/>
        <v>1585826.7238197238</v>
      </c>
      <c r="O49" s="36">
        <f t="shared" si="14"/>
        <v>1617840.3576000642</v>
      </c>
      <c r="P49" s="36">
        <f t="shared" si="14"/>
        <v>1670208.7059275548</v>
      </c>
      <c r="Q49" s="36">
        <f t="shared" si="14"/>
        <v>1733994.4073922192</v>
      </c>
      <c r="R49" s="36"/>
      <c r="S49" s="60">
        <f t="shared" si="14"/>
        <v>19644841.581502948</v>
      </c>
    </row>
    <row r="50" spans="1:19" s="23" customFormat="1">
      <c r="A50" s="22"/>
      <c r="S50" s="32"/>
    </row>
    <row r="51" spans="1:19" s="23" customFormat="1">
      <c r="A51" s="22"/>
      <c r="S51" s="32"/>
    </row>
    <row r="52" spans="1:19" s="23" customFormat="1">
      <c r="A52" s="22" t="s">
        <v>134</v>
      </c>
      <c r="S52" s="32"/>
    </row>
    <row r="53" spans="1:19" s="23" customFormat="1" ht="14.25">
      <c r="A53" s="41" t="s">
        <v>267</v>
      </c>
      <c r="F53" s="31"/>
      <c r="G53" s="32"/>
      <c r="H53" s="32"/>
      <c r="I53" s="32"/>
      <c r="J53" s="32"/>
      <c r="K53" s="32"/>
      <c r="L53" s="32"/>
      <c r="M53" s="32"/>
      <c r="N53" s="31"/>
      <c r="O53" s="32"/>
      <c r="P53" s="32"/>
      <c r="Q53" s="32"/>
      <c r="S53" s="32"/>
    </row>
    <row r="54" spans="1:19" s="23" customFormat="1" ht="14.25">
      <c r="A54" s="41" t="s">
        <v>268</v>
      </c>
      <c r="S54" s="32"/>
    </row>
    <row r="55" spans="1:19" s="23" customFormat="1" ht="14.25">
      <c r="A55" s="41" t="s">
        <v>270</v>
      </c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S55" s="32"/>
    </row>
    <row r="56" spans="1:19" s="23" customFormat="1" ht="14.25">
      <c r="A56" s="41" t="s">
        <v>272</v>
      </c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S56" s="32"/>
    </row>
    <row r="57" spans="1:19" s="23" customFormat="1" ht="14.25">
      <c r="A57" s="41" t="s">
        <v>274</v>
      </c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S57" s="32"/>
    </row>
    <row r="58" spans="1:19" s="23" customFormat="1">
      <c r="A58" s="22"/>
    </row>
    <row r="59" spans="1:19" s="23" customFormat="1">
      <c r="A59" s="22"/>
    </row>
    <row r="60" spans="1:19" s="23" customFormat="1">
      <c r="A60" s="22"/>
    </row>
    <row r="61" spans="1:19" s="23" customFormat="1">
      <c r="A61" s="22"/>
      <c r="C61" s="38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S61" s="13"/>
    </row>
    <row r="62" spans="1:19" s="23" customFormat="1">
      <c r="A62" s="22"/>
      <c r="S62" s="13"/>
    </row>
    <row r="63" spans="1:19" s="23" customFormat="1">
      <c r="A63" s="22"/>
      <c r="S63" s="13"/>
    </row>
    <row r="64" spans="1:19" s="23" customFormat="1">
      <c r="A64" s="22"/>
      <c r="S64" s="13"/>
    </row>
    <row r="65" spans="1:19" s="23" customFormat="1">
      <c r="A65" s="22"/>
      <c r="S65" s="13"/>
    </row>
    <row r="66" spans="1:19" s="23" customFormat="1">
      <c r="A66" s="22"/>
      <c r="S66" s="13"/>
    </row>
  </sheetData>
  <mergeCells count="3">
    <mergeCell ref="A7:S7"/>
    <mergeCell ref="A8:S8"/>
    <mergeCell ref="A9:S9"/>
  </mergeCells>
  <pageMargins left="0.7" right="0.7" top="0.75" bottom="0.75" header="0.3" footer="0.3"/>
  <pageSetup scale="48" orientation="landscape" horizontalDpi="1200" verticalDpi="12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8">
    <tabColor rgb="FF00B050"/>
    <pageSetUpPr fitToPage="1"/>
  </sheetPr>
  <dimension ref="A1:AU81"/>
  <sheetViews>
    <sheetView zoomScale="90" zoomScaleNormal="90" workbookViewId="0">
      <selection activeCell="F36" sqref="F36"/>
    </sheetView>
  </sheetViews>
  <sheetFormatPr defaultRowHeight="11.65"/>
  <cols>
    <col min="1" max="1" width="3.86328125" style="107" customWidth="1"/>
    <col min="2" max="2" width="14.86328125" style="109" customWidth="1"/>
    <col min="3" max="3" width="4.59765625" style="109" bestFit="1" customWidth="1"/>
    <col min="4" max="4" width="13" style="109" bestFit="1" customWidth="1"/>
    <col min="5" max="5" width="12" style="109" bestFit="1" customWidth="1"/>
    <col min="6" max="6" width="11" style="109" customWidth="1"/>
    <col min="7" max="7" width="12" style="109" customWidth="1"/>
    <col min="8" max="8" width="12.1328125" style="109" customWidth="1"/>
    <col min="9" max="9" width="11.1328125" style="109" customWidth="1"/>
    <col min="10" max="10" width="11" style="109" customWidth="1"/>
    <col min="11" max="11" width="11.3984375" style="109" hidden="1" customWidth="1"/>
    <col min="12" max="31" width="12.86328125" style="109" hidden="1" customWidth="1"/>
    <col min="32" max="32" width="11.3984375" style="109" bestFit="1" customWidth="1"/>
    <col min="33" max="33" width="10" style="109" bestFit="1" customWidth="1"/>
    <col min="34" max="34" width="11.3984375" style="109" bestFit="1" customWidth="1"/>
    <col min="35" max="35" width="11" style="109" bestFit="1" customWidth="1"/>
    <col min="36" max="36" width="10" style="109" bestFit="1" customWidth="1"/>
    <col min="37" max="37" width="16.59765625" style="109" bestFit="1" customWidth="1"/>
    <col min="38" max="38" width="16.59765625" style="109" customWidth="1"/>
    <col min="39" max="39" width="13.3984375" style="109" bestFit="1" customWidth="1"/>
    <col min="40" max="40" width="11.86328125" style="109" hidden="1" customWidth="1"/>
    <col min="41" max="46" width="0" style="109" hidden="1" customWidth="1"/>
    <col min="47" max="256" width="9.1328125" style="109"/>
    <col min="257" max="257" width="3.86328125" style="109" customWidth="1"/>
    <col min="258" max="258" width="14.86328125" style="109" customWidth="1"/>
    <col min="259" max="259" width="4.59765625" style="109" bestFit="1" customWidth="1"/>
    <col min="260" max="260" width="13" style="109" bestFit="1" customWidth="1"/>
    <col min="261" max="261" width="12" style="109" bestFit="1" customWidth="1"/>
    <col min="262" max="262" width="11" style="109" customWidth="1"/>
    <col min="263" max="263" width="12" style="109" customWidth="1"/>
    <col min="264" max="264" width="12.1328125" style="109" customWidth="1"/>
    <col min="265" max="265" width="11.1328125" style="109" customWidth="1"/>
    <col min="266" max="287" width="0" style="109" hidden="1" customWidth="1"/>
    <col min="288" max="288" width="11.3984375" style="109" bestFit="1" customWidth="1"/>
    <col min="289" max="289" width="10" style="109" bestFit="1" customWidth="1"/>
    <col min="290" max="290" width="11.3984375" style="109" bestFit="1" customWidth="1"/>
    <col min="291" max="291" width="11" style="109" bestFit="1" customWidth="1"/>
    <col min="292" max="292" width="10" style="109" bestFit="1" customWidth="1"/>
    <col min="293" max="293" width="16.59765625" style="109" bestFit="1" customWidth="1"/>
    <col min="294" max="294" width="16.59765625" style="109" customWidth="1"/>
    <col min="295" max="295" width="13.3984375" style="109" bestFit="1" customWidth="1"/>
    <col min="296" max="296" width="11.86328125" style="109" bestFit="1" customWidth="1"/>
    <col min="297" max="512" width="9.1328125" style="109"/>
    <col min="513" max="513" width="3.86328125" style="109" customWidth="1"/>
    <col min="514" max="514" width="14.86328125" style="109" customWidth="1"/>
    <col min="515" max="515" width="4.59765625" style="109" bestFit="1" customWidth="1"/>
    <col min="516" max="516" width="13" style="109" bestFit="1" customWidth="1"/>
    <col min="517" max="517" width="12" style="109" bestFit="1" customWidth="1"/>
    <col min="518" max="518" width="11" style="109" customWidth="1"/>
    <col min="519" max="519" width="12" style="109" customWidth="1"/>
    <col min="520" max="520" width="12.1328125" style="109" customWidth="1"/>
    <col min="521" max="521" width="11.1328125" style="109" customWidth="1"/>
    <col min="522" max="543" width="0" style="109" hidden="1" customWidth="1"/>
    <col min="544" max="544" width="11.3984375" style="109" bestFit="1" customWidth="1"/>
    <col min="545" max="545" width="10" style="109" bestFit="1" customWidth="1"/>
    <col min="546" max="546" width="11.3984375" style="109" bestFit="1" customWidth="1"/>
    <col min="547" max="547" width="11" style="109" bestFit="1" customWidth="1"/>
    <col min="548" max="548" width="10" style="109" bestFit="1" customWidth="1"/>
    <col min="549" max="549" width="16.59765625" style="109" bestFit="1" customWidth="1"/>
    <col min="550" max="550" width="16.59765625" style="109" customWidth="1"/>
    <col min="551" max="551" width="13.3984375" style="109" bestFit="1" customWidth="1"/>
    <col min="552" max="552" width="11.86328125" style="109" bestFit="1" customWidth="1"/>
    <col min="553" max="768" width="9.1328125" style="109"/>
    <col min="769" max="769" width="3.86328125" style="109" customWidth="1"/>
    <col min="770" max="770" width="14.86328125" style="109" customWidth="1"/>
    <col min="771" max="771" width="4.59765625" style="109" bestFit="1" customWidth="1"/>
    <col min="772" max="772" width="13" style="109" bestFit="1" customWidth="1"/>
    <col min="773" max="773" width="12" style="109" bestFit="1" customWidth="1"/>
    <col min="774" max="774" width="11" style="109" customWidth="1"/>
    <col min="775" max="775" width="12" style="109" customWidth="1"/>
    <col min="776" max="776" width="12.1328125" style="109" customWidth="1"/>
    <col min="777" max="777" width="11.1328125" style="109" customWidth="1"/>
    <col min="778" max="799" width="0" style="109" hidden="1" customWidth="1"/>
    <col min="800" max="800" width="11.3984375" style="109" bestFit="1" customWidth="1"/>
    <col min="801" max="801" width="10" style="109" bestFit="1" customWidth="1"/>
    <col min="802" max="802" width="11.3984375" style="109" bestFit="1" customWidth="1"/>
    <col min="803" max="803" width="11" style="109" bestFit="1" customWidth="1"/>
    <col min="804" max="804" width="10" style="109" bestFit="1" customWidth="1"/>
    <col min="805" max="805" width="16.59765625" style="109" bestFit="1" customWidth="1"/>
    <col min="806" max="806" width="16.59765625" style="109" customWidth="1"/>
    <col min="807" max="807" width="13.3984375" style="109" bestFit="1" customWidth="1"/>
    <col min="808" max="808" width="11.86328125" style="109" bestFit="1" customWidth="1"/>
    <col min="809" max="1024" width="9.1328125" style="109"/>
    <col min="1025" max="1025" width="3.86328125" style="109" customWidth="1"/>
    <col min="1026" max="1026" width="14.86328125" style="109" customWidth="1"/>
    <col min="1027" max="1027" width="4.59765625" style="109" bestFit="1" customWidth="1"/>
    <col min="1028" max="1028" width="13" style="109" bestFit="1" customWidth="1"/>
    <col min="1029" max="1029" width="12" style="109" bestFit="1" customWidth="1"/>
    <col min="1030" max="1030" width="11" style="109" customWidth="1"/>
    <col min="1031" max="1031" width="12" style="109" customWidth="1"/>
    <col min="1032" max="1032" width="12.1328125" style="109" customWidth="1"/>
    <col min="1033" max="1033" width="11.1328125" style="109" customWidth="1"/>
    <col min="1034" max="1055" width="0" style="109" hidden="1" customWidth="1"/>
    <col min="1056" max="1056" width="11.3984375" style="109" bestFit="1" customWidth="1"/>
    <col min="1057" max="1057" width="10" style="109" bestFit="1" customWidth="1"/>
    <col min="1058" max="1058" width="11.3984375" style="109" bestFit="1" customWidth="1"/>
    <col min="1059" max="1059" width="11" style="109" bestFit="1" customWidth="1"/>
    <col min="1060" max="1060" width="10" style="109" bestFit="1" customWidth="1"/>
    <col min="1061" max="1061" width="16.59765625" style="109" bestFit="1" customWidth="1"/>
    <col min="1062" max="1062" width="16.59765625" style="109" customWidth="1"/>
    <col min="1063" max="1063" width="13.3984375" style="109" bestFit="1" customWidth="1"/>
    <col min="1064" max="1064" width="11.86328125" style="109" bestFit="1" customWidth="1"/>
    <col min="1065" max="1280" width="9.1328125" style="109"/>
    <col min="1281" max="1281" width="3.86328125" style="109" customWidth="1"/>
    <col min="1282" max="1282" width="14.86328125" style="109" customWidth="1"/>
    <col min="1283" max="1283" width="4.59765625" style="109" bestFit="1" customWidth="1"/>
    <col min="1284" max="1284" width="13" style="109" bestFit="1" customWidth="1"/>
    <col min="1285" max="1285" width="12" style="109" bestFit="1" customWidth="1"/>
    <col min="1286" max="1286" width="11" style="109" customWidth="1"/>
    <col min="1287" max="1287" width="12" style="109" customWidth="1"/>
    <col min="1288" max="1288" width="12.1328125" style="109" customWidth="1"/>
    <col min="1289" max="1289" width="11.1328125" style="109" customWidth="1"/>
    <col min="1290" max="1311" width="0" style="109" hidden="1" customWidth="1"/>
    <col min="1312" max="1312" width="11.3984375" style="109" bestFit="1" customWidth="1"/>
    <col min="1313" max="1313" width="10" style="109" bestFit="1" customWidth="1"/>
    <col min="1314" max="1314" width="11.3984375" style="109" bestFit="1" customWidth="1"/>
    <col min="1315" max="1315" width="11" style="109" bestFit="1" customWidth="1"/>
    <col min="1316" max="1316" width="10" style="109" bestFit="1" customWidth="1"/>
    <col min="1317" max="1317" width="16.59765625" style="109" bestFit="1" customWidth="1"/>
    <col min="1318" max="1318" width="16.59765625" style="109" customWidth="1"/>
    <col min="1319" max="1319" width="13.3984375" style="109" bestFit="1" customWidth="1"/>
    <col min="1320" max="1320" width="11.86328125" style="109" bestFit="1" customWidth="1"/>
    <col min="1321" max="1536" width="9.1328125" style="109"/>
    <col min="1537" max="1537" width="3.86328125" style="109" customWidth="1"/>
    <col min="1538" max="1538" width="14.86328125" style="109" customWidth="1"/>
    <col min="1539" max="1539" width="4.59765625" style="109" bestFit="1" customWidth="1"/>
    <col min="1540" max="1540" width="13" style="109" bestFit="1" customWidth="1"/>
    <col min="1541" max="1541" width="12" style="109" bestFit="1" customWidth="1"/>
    <col min="1542" max="1542" width="11" style="109" customWidth="1"/>
    <col min="1543" max="1543" width="12" style="109" customWidth="1"/>
    <col min="1544" max="1544" width="12.1328125" style="109" customWidth="1"/>
    <col min="1545" max="1545" width="11.1328125" style="109" customWidth="1"/>
    <col min="1546" max="1567" width="0" style="109" hidden="1" customWidth="1"/>
    <col min="1568" max="1568" width="11.3984375" style="109" bestFit="1" customWidth="1"/>
    <col min="1569" max="1569" width="10" style="109" bestFit="1" customWidth="1"/>
    <col min="1570" max="1570" width="11.3984375" style="109" bestFit="1" customWidth="1"/>
    <col min="1571" max="1571" width="11" style="109" bestFit="1" customWidth="1"/>
    <col min="1572" max="1572" width="10" style="109" bestFit="1" customWidth="1"/>
    <col min="1573" max="1573" width="16.59765625" style="109" bestFit="1" customWidth="1"/>
    <col min="1574" max="1574" width="16.59765625" style="109" customWidth="1"/>
    <col min="1575" max="1575" width="13.3984375" style="109" bestFit="1" customWidth="1"/>
    <col min="1576" max="1576" width="11.86328125" style="109" bestFit="1" customWidth="1"/>
    <col min="1577" max="1792" width="9.1328125" style="109"/>
    <col min="1793" max="1793" width="3.86328125" style="109" customWidth="1"/>
    <col min="1794" max="1794" width="14.86328125" style="109" customWidth="1"/>
    <col min="1795" max="1795" width="4.59765625" style="109" bestFit="1" customWidth="1"/>
    <col min="1796" max="1796" width="13" style="109" bestFit="1" customWidth="1"/>
    <col min="1797" max="1797" width="12" style="109" bestFit="1" customWidth="1"/>
    <col min="1798" max="1798" width="11" style="109" customWidth="1"/>
    <col min="1799" max="1799" width="12" style="109" customWidth="1"/>
    <col min="1800" max="1800" width="12.1328125" style="109" customWidth="1"/>
    <col min="1801" max="1801" width="11.1328125" style="109" customWidth="1"/>
    <col min="1802" max="1823" width="0" style="109" hidden="1" customWidth="1"/>
    <col min="1824" max="1824" width="11.3984375" style="109" bestFit="1" customWidth="1"/>
    <col min="1825" max="1825" width="10" style="109" bestFit="1" customWidth="1"/>
    <col min="1826" max="1826" width="11.3984375" style="109" bestFit="1" customWidth="1"/>
    <col min="1827" max="1827" width="11" style="109" bestFit="1" customWidth="1"/>
    <col min="1828" max="1828" width="10" style="109" bestFit="1" customWidth="1"/>
    <col min="1829" max="1829" width="16.59765625" style="109" bestFit="1" customWidth="1"/>
    <col min="1830" max="1830" width="16.59765625" style="109" customWidth="1"/>
    <col min="1831" max="1831" width="13.3984375" style="109" bestFit="1" customWidth="1"/>
    <col min="1832" max="1832" width="11.86328125" style="109" bestFit="1" customWidth="1"/>
    <col min="1833" max="2048" width="9.1328125" style="109"/>
    <col min="2049" max="2049" width="3.86328125" style="109" customWidth="1"/>
    <col min="2050" max="2050" width="14.86328125" style="109" customWidth="1"/>
    <col min="2051" max="2051" width="4.59765625" style="109" bestFit="1" customWidth="1"/>
    <col min="2052" max="2052" width="13" style="109" bestFit="1" customWidth="1"/>
    <col min="2053" max="2053" width="12" style="109" bestFit="1" customWidth="1"/>
    <col min="2054" max="2054" width="11" style="109" customWidth="1"/>
    <col min="2055" max="2055" width="12" style="109" customWidth="1"/>
    <col min="2056" max="2056" width="12.1328125" style="109" customWidth="1"/>
    <col min="2057" max="2057" width="11.1328125" style="109" customWidth="1"/>
    <col min="2058" max="2079" width="0" style="109" hidden="1" customWidth="1"/>
    <col min="2080" max="2080" width="11.3984375" style="109" bestFit="1" customWidth="1"/>
    <col min="2081" max="2081" width="10" style="109" bestFit="1" customWidth="1"/>
    <col min="2082" max="2082" width="11.3984375" style="109" bestFit="1" customWidth="1"/>
    <col min="2083" max="2083" width="11" style="109" bestFit="1" customWidth="1"/>
    <col min="2084" max="2084" width="10" style="109" bestFit="1" customWidth="1"/>
    <col min="2085" max="2085" width="16.59765625" style="109" bestFit="1" customWidth="1"/>
    <col min="2086" max="2086" width="16.59765625" style="109" customWidth="1"/>
    <col min="2087" max="2087" width="13.3984375" style="109" bestFit="1" customWidth="1"/>
    <col min="2088" max="2088" width="11.86328125" style="109" bestFit="1" customWidth="1"/>
    <col min="2089" max="2304" width="9.1328125" style="109"/>
    <col min="2305" max="2305" width="3.86328125" style="109" customWidth="1"/>
    <col min="2306" max="2306" width="14.86328125" style="109" customWidth="1"/>
    <col min="2307" max="2307" width="4.59765625" style="109" bestFit="1" customWidth="1"/>
    <col min="2308" max="2308" width="13" style="109" bestFit="1" customWidth="1"/>
    <col min="2309" max="2309" width="12" style="109" bestFit="1" customWidth="1"/>
    <col min="2310" max="2310" width="11" style="109" customWidth="1"/>
    <col min="2311" max="2311" width="12" style="109" customWidth="1"/>
    <col min="2312" max="2312" width="12.1328125" style="109" customWidth="1"/>
    <col min="2313" max="2313" width="11.1328125" style="109" customWidth="1"/>
    <col min="2314" max="2335" width="0" style="109" hidden="1" customWidth="1"/>
    <col min="2336" max="2336" width="11.3984375" style="109" bestFit="1" customWidth="1"/>
    <col min="2337" max="2337" width="10" style="109" bestFit="1" customWidth="1"/>
    <col min="2338" max="2338" width="11.3984375" style="109" bestFit="1" customWidth="1"/>
    <col min="2339" max="2339" width="11" style="109" bestFit="1" customWidth="1"/>
    <col min="2340" max="2340" width="10" style="109" bestFit="1" customWidth="1"/>
    <col min="2341" max="2341" width="16.59765625" style="109" bestFit="1" customWidth="1"/>
    <col min="2342" max="2342" width="16.59765625" style="109" customWidth="1"/>
    <col min="2343" max="2343" width="13.3984375" style="109" bestFit="1" customWidth="1"/>
    <col min="2344" max="2344" width="11.86328125" style="109" bestFit="1" customWidth="1"/>
    <col min="2345" max="2560" width="9.1328125" style="109"/>
    <col min="2561" max="2561" width="3.86328125" style="109" customWidth="1"/>
    <col min="2562" max="2562" width="14.86328125" style="109" customWidth="1"/>
    <col min="2563" max="2563" width="4.59765625" style="109" bestFit="1" customWidth="1"/>
    <col min="2564" max="2564" width="13" style="109" bestFit="1" customWidth="1"/>
    <col min="2565" max="2565" width="12" style="109" bestFit="1" customWidth="1"/>
    <col min="2566" max="2566" width="11" style="109" customWidth="1"/>
    <col min="2567" max="2567" width="12" style="109" customWidth="1"/>
    <col min="2568" max="2568" width="12.1328125" style="109" customWidth="1"/>
    <col min="2569" max="2569" width="11.1328125" style="109" customWidth="1"/>
    <col min="2570" max="2591" width="0" style="109" hidden="1" customWidth="1"/>
    <col min="2592" max="2592" width="11.3984375" style="109" bestFit="1" customWidth="1"/>
    <col min="2593" max="2593" width="10" style="109" bestFit="1" customWidth="1"/>
    <col min="2594" max="2594" width="11.3984375" style="109" bestFit="1" customWidth="1"/>
    <col min="2595" max="2595" width="11" style="109" bestFit="1" customWidth="1"/>
    <col min="2596" max="2596" width="10" style="109" bestFit="1" customWidth="1"/>
    <col min="2597" max="2597" width="16.59765625" style="109" bestFit="1" customWidth="1"/>
    <col min="2598" max="2598" width="16.59765625" style="109" customWidth="1"/>
    <col min="2599" max="2599" width="13.3984375" style="109" bestFit="1" customWidth="1"/>
    <col min="2600" max="2600" width="11.86328125" style="109" bestFit="1" customWidth="1"/>
    <col min="2601" max="2816" width="9.1328125" style="109"/>
    <col min="2817" max="2817" width="3.86328125" style="109" customWidth="1"/>
    <col min="2818" max="2818" width="14.86328125" style="109" customWidth="1"/>
    <col min="2819" max="2819" width="4.59765625" style="109" bestFit="1" customWidth="1"/>
    <col min="2820" max="2820" width="13" style="109" bestFit="1" customWidth="1"/>
    <col min="2821" max="2821" width="12" style="109" bestFit="1" customWidth="1"/>
    <col min="2822" max="2822" width="11" style="109" customWidth="1"/>
    <col min="2823" max="2823" width="12" style="109" customWidth="1"/>
    <col min="2824" max="2824" width="12.1328125" style="109" customWidth="1"/>
    <col min="2825" max="2825" width="11.1328125" style="109" customWidth="1"/>
    <col min="2826" max="2847" width="0" style="109" hidden="1" customWidth="1"/>
    <col min="2848" max="2848" width="11.3984375" style="109" bestFit="1" customWidth="1"/>
    <col min="2849" max="2849" width="10" style="109" bestFit="1" customWidth="1"/>
    <col min="2850" max="2850" width="11.3984375" style="109" bestFit="1" customWidth="1"/>
    <col min="2851" max="2851" width="11" style="109" bestFit="1" customWidth="1"/>
    <col min="2852" max="2852" width="10" style="109" bestFit="1" customWidth="1"/>
    <col min="2853" max="2853" width="16.59765625" style="109" bestFit="1" customWidth="1"/>
    <col min="2854" max="2854" width="16.59765625" style="109" customWidth="1"/>
    <col min="2855" max="2855" width="13.3984375" style="109" bestFit="1" customWidth="1"/>
    <col min="2856" max="2856" width="11.86328125" style="109" bestFit="1" customWidth="1"/>
    <col min="2857" max="3072" width="9.1328125" style="109"/>
    <col min="3073" max="3073" width="3.86328125" style="109" customWidth="1"/>
    <col min="3074" max="3074" width="14.86328125" style="109" customWidth="1"/>
    <col min="3075" max="3075" width="4.59765625" style="109" bestFit="1" customWidth="1"/>
    <col min="3076" max="3076" width="13" style="109" bestFit="1" customWidth="1"/>
    <col min="3077" max="3077" width="12" style="109" bestFit="1" customWidth="1"/>
    <col min="3078" max="3078" width="11" style="109" customWidth="1"/>
    <col min="3079" max="3079" width="12" style="109" customWidth="1"/>
    <col min="3080" max="3080" width="12.1328125" style="109" customWidth="1"/>
    <col min="3081" max="3081" width="11.1328125" style="109" customWidth="1"/>
    <col min="3082" max="3103" width="0" style="109" hidden="1" customWidth="1"/>
    <col min="3104" max="3104" width="11.3984375" style="109" bestFit="1" customWidth="1"/>
    <col min="3105" max="3105" width="10" style="109" bestFit="1" customWidth="1"/>
    <col min="3106" max="3106" width="11.3984375" style="109" bestFit="1" customWidth="1"/>
    <col min="3107" max="3107" width="11" style="109" bestFit="1" customWidth="1"/>
    <col min="3108" max="3108" width="10" style="109" bestFit="1" customWidth="1"/>
    <col min="3109" max="3109" width="16.59765625" style="109" bestFit="1" customWidth="1"/>
    <col min="3110" max="3110" width="16.59765625" style="109" customWidth="1"/>
    <col min="3111" max="3111" width="13.3984375" style="109" bestFit="1" customWidth="1"/>
    <col min="3112" max="3112" width="11.86328125" style="109" bestFit="1" customWidth="1"/>
    <col min="3113" max="3328" width="9.1328125" style="109"/>
    <col min="3329" max="3329" width="3.86328125" style="109" customWidth="1"/>
    <col min="3330" max="3330" width="14.86328125" style="109" customWidth="1"/>
    <col min="3331" max="3331" width="4.59765625" style="109" bestFit="1" customWidth="1"/>
    <col min="3332" max="3332" width="13" style="109" bestFit="1" customWidth="1"/>
    <col min="3333" max="3333" width="12" style="109" bestFit="1" customWidth="1"/>
    <col min="3334" max="3334" width="11" style="109" customWidth="1"/>
    <col min="3335" max="3335" width="12" style="109" customWidth="1"/>
    <col min="3336" max="3336" width="12.1328125" style="109" customWidth="1"/>
    <col min="3337" max="3337" width="11.1328125" style="109" customWidth="1"/>
    <col min="3338" max="3359" width="0" style="109" hidden="1" customWidth="1"/>
    <col min="3360" max="3360" width="11.3984375" style="109" bestFit="1" customWidth="1"/>
    <col min="3361" max="3361" width="10" style="109" bestFit="1" customWidth="1"/>
    <col min="3362" max="3362" width="11.3984375" style="109" bestFit="1" customWidth="1"/>
    <col min="3363" max="3363" width="11" style="109" bestFit="1" customWidth="1"/>
    <col min="3364" max="3364" width="10" style="109" bestFit="1" customWidth="1"/>
    <col min="3365" max="3365" width="16.59765625" style="109" bestFit="1" customWidth="1"/>
    <col min="3366" max="3366" width="16.59765625" style="109" customWidth="1"/>
    <col min="3367" max="3367" width="13.3984375" style="109" bestFit="1" customWidth="1"/>
    <col min="3368" max="3368" width="11.86328125" style="109" bestFit="1" customWidth="1"/>
    <col min="3369" max="3584" width="9.1328125" style="109"/>
    <col min="3585" max="3585" width="3.86328125" style="109" customWidth="1"/>
    <col min="3586" max="3586" width="14.86328125" style="109" customWidth="1"/>
    <col min="3587" max="3587" width="4.59765625" style="109" bestFit="1" customWidth="1"/>
    <col min="3588" max="3588" width="13" style="109" bestFit="1" customWidth="1"/>
    <col min="3589" max="3589" width="12" style="109" bestFit="1" customWidth="1"/>
    <col min="3590" max="3590" width="11" style="109" customWidth="1"/>
    <col min="3591" max="3591" width="12" style="109" customWidth="1"/>
    <col min="3592" max="3592" width="12.1328125" style="109" customWidth="1"/>
    <col min="3593" max="3593" width="11.1328125" style="109" customWidth="1"/>
    <col min="3594" max="3615" width="0" style="109" hidden="1" customWidth="1"/>
    <col min="3616" max="3616" width="11.3984375" style="109" bestFit="1" customWidth="1"/>
    <col min="3617" max="3617" width="10" style="109" bestFit="1" customWidth="1"/>
    <col min="3618" max="3618" width="11.3984375" style="109" bestFit="1" customWidth="1"/>
    <col min="3619" max="3619" width="11" style="109" bestFit="1" customWidth="1"/>
    <col min="3620" max="3620" width="10" style="109" bestFit="1" customWidth="1"/>
    <col min="3621" max="3621" width="16.59765625" style="109" bestFit="1" customWidth="1"/>
    <col min="3622" max="3622" width="16.59765625" style="109" customWidth="1"/>
    <col min="3623" max="3623" width="13.3984375" style="109" bestFit="1" customWidth="1"/>
    <col min="3624" max="3624" width="11.86328125" style="109" bestFit="1" customWidth="1"/>
    <col min="3625" max="3840" width="9.1328125" style="109"/>
    <col min="3841" max="3841" width="3.86328125" style="109" customWidth="1"/>
    <col min="3842" max="3842" width="14.86328125" style="109" customWidth="1"/>
    <col min="3843" max="3843" width="4.59765625" style="109" bestFit="1" customWidth="1"/>
    <col min="3844" max="3844" width="13" style="109" bestFit="1" customWidth="1"/>
    <col min="3845" max="3845" width="12" style="109" bestFit="1" customWidth="1"/>
    <col min="3846" max="3846" width="11" style="109" customWidth="1"/>
    <col min="3847" max="3847" width="12" style="109" customWidth="1"/>
    <col min="3848" max="3848" width="12.1328125" style="109" customWidth="1"/>
    <col min="3849" max="3849" width="11.1328125" style="109" customWidth="1"/>
    <col min="3850" max="3871" width="0" style="109" hidden="1" customWidth="1"/>
    <col min="3872" max="3872" width="11.3984375" style="109" bestFit="1" customWidth="1"/>
    <col min="3873" max="3873" width="10" style="109" bestFit="1" customWidth="1"/>
    <col min="3874" max="3874" width="11.3984375" style="109" bestFit="1" customWidth="1"/>
    <col min="3875" max="3875" width="11" style="109" bestFit="1" customWidth="1"/>
    <col min="3876" max="3876" width="10" style="109" bestFit="1" customWidth="1"/>
    <col min="3877" max="3877" width="16.59765625" style="109" bestFit="1" customWidth="1"/>
    <col min="3878" max="3878" width="16.59765625" style="109" customWidth="1"/>
    <col min="3879" max="3879" width="13.3984375" style="109" bestFit="1" customWidth="1"/>
    <col min="3880" max="3880" width="11.86328125" style="109" bestFit="1" customWidth="1"/>
    <col min="3881" max="4096" width="9.1328125" style="109"/>
    <col min="4097" max="4097" width="3.86328125" style="109" customWidth="1"/>
    <col min="4098" max="4098" width="14.86328125" style="109" customWidth="1"/>
    <col min="4099" max="4099" width="4.59765625" style="109" bestFit="1" customWidth="1"/>
    <col min="4100" max="4100" width="13" style="109" bestFit="1" customWidth="1"/>
    <col min="4101" max="4101" width="12" style="109" bestFit="1" customWidth="1"/>
    <col min="4102" max="4102" width="11" style="109" customWidth="1"/>
    <col min="4103" max="4103" width="12" style="109" customWidth="1"/>
    <col min="4104" max="4104" width="12.1328125" style="109" customWidth="1"/>
    <col min="4105" max="4105" width="11.1328125" style="109" customWidth="1"/>
    <col min="4106" max="4127" width="0" style="109" hidden="1" customWidth="1"/>
    <col min="4128" max="4128" width="11.3984375" style="109" bestFit="1" customWidth="1"/>
    <col min="4129" max="4129" width="10" style="109" bestFit="1" customWidth="1"/>
    <col min="4130" max="4130" width="11.3984375" style="109" bestFit="1" customWidth="1"/>
    <col min="4131" max="4131" width="11" style="109" bestFit="1" customWidth="1"/>
    <col min="4132" max="4132" width="10" style="109" bestFit="1" customWidth="1"/>
    <col min="4133" max="4133" width="16.59765625" style="109" bestFit="1" customWidth="1"/>
    <col min="4134" max="4134" width="16.59765625" style="109" customWidth="1"/>
    <col min="4135" max="4135" width="13.3984375" style="109" bestFit="1" customWidth="1"/>
    <col min="4136" max="4136" width="11.86328125" style="109" bestFit="1" customWidth="1"/>
    <col min="4137" max="4352" width="9.1328125" style="109"/>
    <col min="4353" max="4353" width="3.86328125" style="109" customWidth="1"/>
    <col min="4354" max="4354" width="14.86328125" style="109" customWidth="1"/>
    <col min="4355" max="4355" width="4.59765625" style="109" bestFit="1" customWidth="1"/>
    <col min="4356" max="4356" width="13" style="109" bestFit="1" customWidth="1"/>
    <col min="4357" max="4357" width="12" style="109" bestFit="1" customWidth="1"/>
    <col min="4358" max="4358" width="11" style="109" customWidth="1"/>
    <col min="4359" max="4359" width="12" style="109" customWidth="1"/>
    <col min="4360" max="4360" width="12.1328125" style="109" customWidth="1"/>
    <col min="4361" max="4361" width="11.1328125" style="109" customWidth="1"/>
    <col min="4362" max="4383" width="0" style="109" hidden="1" customWidth="1"/>
    <col min="4384" max="4384" width="11.3984375" style="109" bestFit="1" customWidth="1"/>
    <col min="4385" max="4385" width="10" style="109" bestFit="1" customWidth="1"/>
    <col min="4386" max="4386" width="11.3984375" style="109" bestFit="1" customWidth="1"/>
    <col min="4387" max="4387" width="11" style="109" bestFit="1" customWidth="1"/>
    <col min="4388" max="4388" width="10" style="109" bestFit="1" customWidth="1"/>
    <col min="4389" max="4389" width="16.59765625" style="109" bestFit="1" customWidth="1"/>
    <col min="4390" max="4390" width="16.59765625" style="109" customWidth="1"/>
    <col min="4391" max="4391" width="13.3984375" style="109" bestFit="1" customWidth="1"/>
    <col min="4392" max="4392" width="11.86328125" style="109" bestFit="1" customWidth="1"/>
    <col min="4393" max="4608" width="9.1328125" style="109"/>
    <col min="4609" max="4609" width="3.86328125" style="109" customWidth="1"/>
    <col min="4610" max="4610" width="14.86328125" style="109" customWidth="1"/>
    <col min="4611" max="4611" width="4.59765625" style="109" bestFit="1" customWidth="1"/>
    <col min="4612" max="4612" width="13" style="109" bestFit="1" customWidth="1"/>
    <col min="4613" max="4613" width="12" style="109" bestFit="1" customWidth="1"/>
    <col min="4614" max="4614" width="11" style="109" customWidth="1"/>
    <col min="4615" max="4615" width="12" style="109" customWidth="1"/>
    <col min="4616" max="4616" width="12.1328125" style="109" customWidth="1"/>
    <col min="4617" max="4617" width="11.1328125" style="109" customWidth="1"/>
    <col min="4618" max="4639" width="0" style="109" hidden="1" customWidth="1"/>
    <col min="4640" max="4640" width="11.3984375" style="109" bestFit="1" customWidth="1"/>
    <col min="4641" max="4641" width="10" style="109" bestFit="1" customWidth="1"/>
    <col min="4642" max="4642" width="11.3984375" style="109" bestFit="1" customWidth="1"/>
    <col min="4643" max="4643" width="11" style="109" bestFit="1" customWidth="1"/>
    <col min="4644" max="4644" width="10" style="109" bestFit="1" customWidth="1"/>
    <col min="4645" max="4645" width="16.59765625" style="109" bestFit="1" customWidth="1"/>
    <col min="4646" max="4646" width="16.59765625" style="109" customWidth="1"/>
    <col min="4647" max="4647" width="13.3984375" style="109" bestFit="1" customWidth="1"/>
    <col min="4648" max="4648" width="11.86328125" style="109" bestFit="1" customWidth="1"/>
    <col min="4649" max="4864" width="9.1328125" style="109"/>
    <col min="4865" max="4865" width="3.86328125" style="109" customWidth="1"/>
    <col min="4866" max="4866" width="14.86328125" style="109" customWidth="1"/>
    <col min="4867" max="4867" width="4.59765625" style="109" bestFit="1" customWidth="1"/>
    <col min="4868" max="4868" width="13" style="109" bestFit="1" customWidth="1"/>
    <col min="4869" max="4869" width="12" style="109" bestFit="1" customWidth="1"/>
    <col min="4870" max="4870" width="11" style="109" customWidth="1"/>
    <col min="4871" max="4871" width="12" style="109" customWidth="1"/>
    <col min="4872" max="4872" width="12.1328125" style="109" customWidth="1"/>
    <col min="4873" max="4873" width="11.1328125" style="109" customWidth="1"/>
    <col min="4874" max="4895" width="0" style="109" hidden="1" customWidth="1"/>
    <col min="4896" max="4896" width="11.3984375" style="109" bestFit="1" customWidth="1"/>
    <col min="4897" max="4897" width="10" style="109" bestFit="1" customWidth="1"/>
    <col min="4898" max="4898" width="11.3984375" style="109" bestFit="1" customWidth="1"/>
    <col min="4899" max="4899" width="11" style="109" bestFit="1" customWidth="1"/>
    <col min="4900" max="4900" width="10" style="109" bestFit="1" customWidth="1"/>
    <col min="4901" max="4901" width="16.59765625" style="109" bestFit="1" customWidth="1"/>
    <col min="4902" max="4902" width="16.59765625" style="109" customWidth="1"/>
    <col min="4903" max="4903" width="13.3984375" style="109" bestFit="1" customWidth="1"/>
    <col min="4904" max="4904" width="11.86328125" style="109" bestFit="1" customWidth="1"/>
    <col min="4905" max="5120" width="9.1328125" style="109"/>
    <col min="5121" max="5121" width="3.86328125" style="109" customWidth="1"/>
    <col min="5122" max="5122" width="14.86328125" style="109" customWidth="1"/>
    <col min="5123" max="5123" width="4.59765625" style="109" bestFit="1" customWidth="1"/>
    <col min="5124" max="5124" width="13" style="109" bestFit="1" customWidth="1"/>
    <col min="5125" max="5125" width="12" style="109" bestFit="1" customWidth="1"/>
    <col min="5126" max="5126" width="11" style="109" customWidth="1"/>
    <col min="5127" max="5127" width="12" style="109" customWidth="1"/>
    <col min="5128" max="5128" width="12.1328125" style="109" customWidth="1"/>
    <col min="5129" max="5129" width="11.1328125" style="109" customWidth="1"/>
    <col min="5130" max="5151" width="0" style="109" hidden="1" customWidth="1"/>
    <col min="5152" max="5152" width="11.3984375" style="109" bestFit="1" customWidth="1"/>
    <col min="5153" max="5153" width="10" style="109" bestFit="1" customWidth="1"/>
    <col min="5154" max="5154" width="11.3984375" style="109" bestFit="1" customWidth="1"/>
    <col min="5155" max="5155" width="11" style="109" bestFit="1" customWidth="1"/>
    <col min="5156" max="5156" width="10" style="109" bestFit="1" customWidth="1"/>
    <col min="5157" max="5157" width="16.59765625" style="109" bestFit="1" customWidth="1"/>
    <col min="5158" max="5158" width="16.59765625" style="109" customWidth="1"/>
    <col min="5159" max="5159" width="13.3984375" style="109" bestFit="1" customWidth="1"/>
    <col min="5160" max="5160" width="11.86328125" style="109" bestFit="1" customWidth="1"/>
    <col min="5161" max="5376" width="9.1328125" style="109"/>
    <col min="5377" max="5377" width="3.86328125" style="109" customWidth="1"/>
    <col min="5378" max="5378" width="14.86328125" style="109" customWidth="1"/>
    <col min="5379" max="5379" width="4.59765625" style="109" bestFit="1" customWidth="1"/>
    <col min="5380" max="5380" width="13" style="109" bestFit="1" customWidth="1"/>
    <col min="5381" max="5381" width="12" style="109" bestFit="1" customWidth="1"/>
    <col min="5382" max="5382" width="11" style="109" customWidth="1"/>
    <col min="5383" max="5383" width="12" style="109" customWidth="1"/>
    <col min="5384" max="5384" width="12.1328125" style="109" customWidth="1"/>
    <col min="5385" max="5385" width="11.1328125" style="109" customWidth="1"/>
    <col min="5386" max="5407" width="0" style="109" hidden="1" customWidth="1"/>
    <col min="5408" max="5408" width="11.3984375" style="109" bestFit="1" customWidth="1"/>
    <col min="5409" max="5409" width="10" style="109" bestFit="1" customWidth="1"/>
    <col min="5410" max="5410" width="11.3984375" style="109" bestFit="1" customWidth="1"/>
    <col min="5411" max="5411" width="11" style="109" bestFit="1" customWidth="1"/>
    <col min="5412" max="5412" width="10" style="109" bestFit="1" customWidth="1"/>
    <col min="5413" max="5413" width="16.59765625" style="109" bestFit="1" customWidth="1"/>
    <col min="5414" max="5414" width="16.59765625" style="109" customWidth="1"/>
    <col min="5415" max="5415" width="13.3984375" style="109" bestFit="1" customWidth="1"/>
    <col min="5416" max="5416" width="11.86328125" style="109" bestFit="1" customWidth="1"/>
    <col min="5417" max="5632" width="9.1328125" style="109"/>
    <col min="5633" max="5633" width="3.86328125" style="109" customWidth="1"/>
    <col min="5634" max="5634" width="14.86328125" style="109" customWidth="1"/>
    <col min="5635" max="5635" width="4.59765625" style="109" bestFit="1" customWidth="1"/>
    <col min="5636" max="5636" width="13" style="109" bestFit="1" customWidth="1"/>
    <col min="5637" max="5637" width="12" style="109" bestFit="1" customWidth="1"/>
    <col min="5638" max="5638" width="11" style="109" customWidth="1"/>
    <col min="5639" max="5639" width="12" style="109" customWidth="1"/>
    <col min="5640" max="5640" width="12.1328125" style="109" customWidth="1"/>
    <col min="5641" max="5641" width="11.1328125" style="109" customWidth="1"/>
    <col min="5642" max="5663" width="0" style="109" hidden="1" customWidth="1"/>
    <col min="5664" max="5664" width="11.3984375" style="109" bestFit="1" customWidth="1"/>
    <col min="5665" max="5665" width="10" style="109" bestFit="1" customWidth="1"/>
    <col min="5666" max="5666" width="11.3984375" style="109" bestFit="1" customWidth="1"/>
    <col min="5667" max="5667" width="11" style="109" bestFit="1" customWidth="1"/>
    <col min="5668" max="5668" width="10" style="109" bestFit="1" customWidth="1"/>
    <col min="5669" max="5669" width="16.59765625" style="109" bestFit="1" customWidth="1"/>
    <col min="5670" max="5670" width="16.59765625" style="109" customWidth="1"/>
    <col min="5671" max="5671" width="13.3984375" style="109" bestFit="1" customWidth="1"/>
    <col min="5672" max="5672" width="11.86328125" style="109" bestFit="1" customWidth="1"/>
    <col min="5673" max="5888" width="9.1328125" style="109"/>
    <col min="5889" max="5889" width="3.86328125" style="109" customWidth="1"/>
    <col min="5890" max="5890" width="14.86328125" style="109" customWidth="1"/>
    <col min="5891" max="5891" width="4.59765625" style="109" bestFit="1" customWidth="1"/>
    <col min="5892" max="5892" width="13" style="109" bestFit="1" customWidth="1"/>
    <col min="5893" max="5893" width="12" style="109" bestFit="1" customWidth="1"/>
    <col min="5894" max="5894" width="11" style="109" customWidth="1"/>
    <col min="5895" max="5895" width="12" style="109" customWidth="1"/>
    <col min="5896" max="5896" width="12.1328125" style="109" customWidth="1"/>
    <col min="5897" max="5897" width="11.1328125" style="109" customWidth="1"/>
    <col min="5898" max="5919" width="0" style="109" hidden="1" customWidth="1"/>
    <col min="5920" max="5920" width="11.3984375" style="109" bestFit="1" customWidth="1"/>
    <col min="5921" max="5921" width="10" style="109" bestFit="1" customWidth="1"/>
    <col min="5922" max="5922" width="11.3984375" style="109" bestFit="1" customWidth="1"/>
    <col min="5923" max="5923" width="11" style="109" bestFit="1" customWidth="1"/>
    <col min="5924" max="5924" width="10" style="109" bestFit="1" customWidth="1"/>
    <col min="5925" max="5925" width="16.59765625" style="109" bestFit="1" customWidth="1"/>
    <col min="5926" max="5926" width="16.59765625" style="109" customWidth="1"/>
    <col min="5927" max="5927" width="13.3984375" style="109" bestFit="1" customWidth="1"/>
    <col min="5928" max="5928" width="11.86328125" style="109" bestFit="1" customWidth="1"/>
    <col min="5929" max="6144" width="9.1328125" style="109"/>
    <col min="6145" max="6145" width="3.86328125" style="109" customWidth="1"/>
    <col min="6146" max="6146" width="14.86328125" style="109" customWidth="1"/>
    <col min="6147" max="6147" width="4.59765625" style="109" bestFit="1" customWidth="1"/>
    <col min="6148" max="6148" width="13" style="109" bestFit="1" customWidth="1"/>
    <col min="6149" max="6149" width="12" style="109" bestFit="1" customWidth="1"/>
    <col min="6150" max="6150" width="11" style="109" customWidth="1"/>
    <col min="6151" max="6151" width="12" style="109" customWidth="1"/>
    <col min="6152" max="6152" width="12.1328125" style="109" customWidth="1"/>
    <col min="6153" max="6153" width="11.1328125" style="109" customWidth="1"/>
    <col min="6154" max="6175" width="0" style="109" hidden="1" customWidth="1"/>
    <col min="6176" max="6176" width="11.3984375" style="109" bestFit="1" customWidth="1"/>
    <col min="6177" max="6177" width="10" style="109" bestFit="1" customWidth="1"/>
    <col min="6178" max="6178" width="11.3984375" style="109" bestFit="1" customWidth="1"/>
    <col min="6179" max="6179" width="11" style="109" bestFit="1" customWidth="1"/>
    <col min="6180" max="6180" width="10" style="109" bestFit="1" customWidth="1"/>
    <col min="6181" max="6181" width="16.59765625" style="109" bestFit="1" customWidth="1"/>
    <col min="6182" max="6182" width="16.59765625" style="109" customWidth="1"/>
    <col min="6183" max="6183" width="13.3984375" style="109" bestFit="1" customWidth="1"/>
    <col min="6184" max="6184" width="11.86328125" style="109" bestFit="1" customWidth="1"/>
    <col min="6185" max="6400" width="9.1328125" style="109"/>
    <col min="6401" max="6401" width="3.86328125" style="109" customWidth="1"/>
    <col min="6402" max="6402" width="14.86328125" style="109" customWidth="1"/>
    <col min="6403" max="6403" width="4.59765625" style="109" bestFit="1" customWidth="1"/>
    <col min="6404" max="6404" width="13" style="109" bestFit="1" customWidth="1"/>
    <col min="6405" max="6405" width="12" style="109" bestFit="1" customWidth="1"/>
    <col min="6406" max="6406" width="11" style="109" customWidth="1"/>
    <col min="6407" max="6407" width="12" style="109" customWidth="1"/>
    <col min="6408" max="6408" width="12.1328125" style="109" customWidth="1"/>
    <col min="6409" max="6409" width="11.1328125" style="109" customWidth="1"/>
    <col min="6410" max="6431" width="0" style="109" hidden="1" customWidth="1"/>
    <col min="6432" max="6432" width="11.3984375" style="109" bestFit="1" customWidth="1"/>
    <col min="6433" max="6433" width="10" style="109" bestFit="1" customWidth="1"/>
    <col min="6434" max="6434" width="11.3984375" style="109" bestFit="1" customWidth="1"/>
    <col min="6435" max="6435" width="11" style="109" bestFit="1" customWidth="1"/>
    <col min="6436" max="6436" width="10" style="109" bestFit="1" customWidth="1"/>
    <col min="6437" max="6437" width="16.59765625" style="109" bestFit="1" customWidth="1"/>
    <col min="6438" max="6438" width="16.59765625" style="109" customWidth="1"/>
    <col min="6439" max="6439" width="13.3984375" style="109" bestFit="1" customWidth="1"/>
    <col min="6440" max="6440" width="11.86328125" style="109" bestFit="1" customWidth="1"/>
    <col min="6441" max="6656" width="9.1328125" style="109"/>
    <col min="6657" max="6657" width="3.86328125" style="109" customWidth="1"/>
    <col min="6658" max="6658" width="14.86328125" style="109" customWidth="1"/>
    <col min="6659" max="6659" width="4.59765625" style="109" bestFit="1" customWidth="1"/>
    <col min="6660" max="6660" width="13" style="109" bestFit="1" customWidth="1"/>
    <col min="6661" max="6661" width="12" style="109" bestFit="1" customWidth="1"/>
    <col min="6662" max="6662" width="11" style="109" customWidth="1"/>
    <col min="6663" max="6663" width="12" style="109" customWidth="1"/>
    <col min="6664" max="6664" width="12.1328125" style="109" customWidth="1"/>
    <col min="6665" max="6665" width="11.1328125" style="109" customWidth="1"/>
    <col min="6666" max="6687" width="0" style="109" hidden="1" customWidth="1"/>
    <col min="6688" max="6688" width="11.3984375" style="109" bestFit="1" customWidth="1"/>
    <col min="6689" max="6689" width="10" style="109" bestFit="1" customWidth="1"/>
    <col min="6690" max="6690" width="11.3984375" style="109" bestFit="1" customWidth="1"/>
    <col min="6691" max="6691" width="11" style="109" bestFit="1" customWidth="1"/>
    <col min="6692" max="6692" width="10" style="109" bestFit="1" customWidth="1"/>
    <col min="6693" max="6693" width="16.59765625" style="109" bestFit="1" customWidth="1"/>
    <col min="6694" max="6694" width="16.59765625" style="109" customWidth="1"/>
    <col min="6695" max="6695" width="13.3984375" style="109" bestFit="1" customWidth="1"/>
    <col min="6696" max="6696" width="11.86328125" style="109" bestFit="1" customWidth="1"/>
    <col min="6697" max="6912" width="9.1328125" style="109"/>
    <col min="6913" max="6913" width="3.86328125" style="109" customWidth="1"/>
    <col min="6914" max="6914" width="14.86328125" style="109" customWidth="1"/>
    <col min="6915" max="6915" width="4.59765625" style="109" bestFit="1" customWidth="1"/>
    <col min="6916" max="6916" width="13" style="109" bestFit="1" customWidth="1"/>
    <col min="6917" max="6917" width="12" style="109" bestFit="1" customWidth="1"/>
    <col min="6918" max="6918" width="11" style="109" customWidth="1"/>
    <col min="6919" max="6919" width="12" style="109" customWidth="1"/>
    <col min="6920" max="6920" width="12.1328125" style="109" customWidth="1"/>
    <col min="6921" max="6921" width="11.1328125" style="109" customWidth="1"/>
    <col min="6922" max="6943" width="0" style="109" hidden="1" customWidth="1"/>
    <col min="6944" max="6944" width="11.3984375" style="109" bestFit="1" customWidth="1"/>
    <col min="6945" max="6945" width="10" style="109" bestFit="1" customWidth="1"/>
    <col min="6946" max="6946" width="11.3984375" style="109" bestFit="1" customWidth="1"/>
    <col min="6947" max="6947" width="11" style="109" bestFit="1" customWidth="1"/>
    <col min="6948" max="6948" width="10" style="109" bestFit="1" customWidth="1"/>
    <col min="6949" max="6949" width="16.59765625" style="109" bestFit="1" customWidth="1"/>
    <col min="6950" max="6950" width="16.59765625" style="109" customWidth="1"/>
    <col min="6951" max="6951" width="13.3984375" style="109" bestFit="1" customWidth="1"/>
    <col min="6952" max="6952" width="11.86328125" style="109" bestFit="1" customWidth="1"/>
    <col min="6953" max="7168" width="9.1328125" style="109"/>
    <col min="7169" max="7169" width="3.86328125" style="109" customWidth="1"/>
    <col min="7170" max="7170" width="14.86328125" style="109" customWidth="1"/>
    <col min="7171" max="7171" width="4.59765625" style="109" bestFit="1" customWidth="1"/>
    <col min="7172" max="7172" width="13" style="109" bestFit="1" customWidth="1"/>
    <col min="7173" max="7173" width="12" style="109" bestFit="1" customWidth="1"/>
    <col min="7174" max="7174" width="11" style="109" customWidth="1"/>
    <col min="7175" max="7175" width="12" style="109" customWidth="1"/>
    <col min="7176" max="7176" width="12.1328125" style="109" customWidth="1"/>
    <col min="7177" max="7177" width="11.1328125" style="109" customWidth="1"/>
    <col min="7178" max="7199" width="0" style="109" hidden="1" customWidth="1"/>
    <col min="7200" max="7200" width="11.3984375" style="109" bestFit="1" customWidth="1"/>
    <col min="7201" max="7201" width="10" style="109" bestFit="1" customWidth="1"/>
    <col min="7202" max="7202" width="11.3984375" style="109" bestFit="1" customWidth="1"/>
    <col min="7203" max="7203" width="11" style="109" bestFit="1" customWidth="1"/>
    <col min="7204" max="7204" width="10" style="109" bestFit="1" customWidth="1"/>
    <col min="7205" max="7205" width="16.59765625" style="109" bestFit="1" customWidth="1"/>
    <col min="7206" max="7206" width="16.59765625" style="109" customWidth="1"/>
    <col min="7207" max="7207" width="13.3984375" style="109" bestFit="1" customWidth="1"/>
    <col min="7208" max="7208" width="11.86328125" style="109" bestFit="1" customWidth="1"/>
    <col min="7209" max="7424" width="9.1328125" style="109"/>
    <col min="7425" max="7425" width="3.86328125" style="109" customWidth="1"/>
    <col min="7426" max="7426" width="14.86328125" style="109" customWidth="1"/>
    <col min="7427" max="7427" width="4.59765625" style="109" bestFit="1" customWidth="1"/>
    <col min="7428" max="7428" width="13" style="109" bestFit="1" customWidth="1"/>
    <col min="7429" max="7429" width="12" style="109" bestFit="1" customWidth="1"/>
    <col min="7430" max="7430" width="11" style="109" customWidth="1"/>
    <col min="7431" max="7431" width="12" style="109" customWidth="1"/>
    <col min="7432" max="7432" width="12.1328125" style="109" customWidth="1"/>
    <col min="7433" max="7433" width="11.1328125" style="109" customWidth="1"/>
    <col min="7434" max="7455" width="0" style="109" hidden="1" customWidth="1"/>
    <col min="7456" max="7456" width="11.3984375" style="109" bestFit="1" customWidth="1"/>
    <col min="7457" max="7457" width="10" style="109" bestFit="1" customWidth="1"/>
    <col min="7458" max="7458" width="11.3984375" style="109" bestFit="1" customWidth="1"/>
    <col min="7459" max="7459" width="11" style="109" bestFit="1" customWidth="1"/>
    <col min="7460" max="7460" width="10" style="109" bestFit="1" customWidth="1"/>
    <col min="7461" max="7461" width="16.59765625" style="109" bestFit="1" customWidth="1"/>
    <col min="7462" max="7462" width="16.59765625" style="109" customWidth="1"/>
    <col min="7463" max="7463" width="13.3984375" style="109" bestFit="1" customWidth="1"/>
    <col min="7464" max="7464" width="11.86328125" style="109" bestFit="1" customWidth="1"/>
    <col min="7465" max="7680" width="9.1328125" style="109"/>
    <col min="7681" max="7681" width="3.86328125" style="109" customWidth="1"/>
    <col min="7682" max="7682" width="14.86328125" style="109" customWidth="1"/>
    <col min="7683" max="7683" width="4.59765625" style="109" bestFit="1" customWidth="1"/>
    <col min="7684" max="7684" width="13" style="109" bestFit="1" customWidth="1"/>
    <col min="7685" max="7685" width="12" style="109" bestFit="1" customWidth="1"/>
    <col min="7686" max="7686" width="11" style="109" customWidth="1"/>
    <col min="7687" max="7687" width="12" style="109" customWidth="1"/>
    <col min="7688" max="7688" width="12.1328125" style="109" customWidth="1"/>
    <col min="7689" max="7689" width="11.1328125" style="109" customWidth="1"/>
    <col min="7690" max="7711" width="0" style="109" hidden="1" customWidth="1"/>
    <col min="7712" max="7712" width="11.3984375" style="109" bestFit="1" customWidth="1"/>
    <col min="7713" max="7713" width="10" style="109" bestFit="1" customWidth="1"/>
    <col min="7714" max="7714" width="11.3984375" style="109" bestFit="1" customWidth="1"/>
    <col min="7715" max="7715" width="11" style="109" bestFit="1" customWidth="1"/>
    <col min="7716" max="7716" width="10" style="109" bestFit="1" customWidth="1"/>
    <col min="7717" max="7717" width="16.59765625" style="109" bestFit="1" customWidth="1"/>
    <col min="7718" max="7718" width="16.59765625" style="109" customWidth="1"/>
    <col min="7719" max="7719" width="13.3984375" style="109" bestFit="1" customWidth="1"/>
    <col min="7720" max="7720" width="11.86328125" style="109" bestFit="1" customWidth="1"/>
    <col min="7721" max="7936" width="9.1328125" style="109"/>
    <col min="7937" max="7937" width="3.86328125" style="109" customWidth="1"/>
    <col min="7938" max="7938" width="14.86328125" style="109" customWidth="1"/>
    <col min="7939" max="7939" width="4.59765625" style="109" bestFit="1" customWidth="1"/>
    <col min="7940" max="7940" width="13" style="109" bestFit="1" customWidth="1"/>
    <col min="7941" max="7941" width="12" style="109" bestFit="1" customWidth="1"/>
    <col min="7942" max="7942" width="11" style="109" customWidth="1"/>
    <col min="7943" max="7943" width="12" style="109" customWidth="1"/>
    <col min="7944" max="7944" width="12.1328125" style="109" customWidth="1"/>
    <col min="7945" max="7945" width="11.1328125" style="109" customWidth="1"/>
    <col min="7946" max="7967" width="0" style="109" hidden="1" customWidth="1"/>
    <col min="7968" max="7968" width="11.3984375" style="109" bestFit="1" customWidth="1"/>
    <col min="7969" max="7969" width="10" style="109" bestFit="1" customWidth="1"/>
    <col min="7970" max="7970" width="11.3984375" style="109" bestFit="1" customWidth="1"/>
    <col min="7971" max="7971" width="11" style="109" bestFit="1" customWidth="1"/>
    <col min="7972" max="7972" width="10" style="109" bestFit="1" customWidth="1"/>
    <col min="7973" max="7973" width="16.59765625" style="109" bestFit="1" customWidth="1"/>
    <col min="7974" max="7974" width="16.59765625" style="109" customWidth="1"/>
    <col min="7975" max="7975" width="13.3984375" style="109" bestFit="1" customWidth="1"/>
    <col min="7976" max="7976" width="11.86328125" style="109" bestFit="1" customWidth="1"/>
    <col min="7977" max="8192" width="9.1328125" style="109"/>
    <col min="8193" max="8193" width="3.86328125" style="109" customWidth="1"/>
    <col min="8194" max="8194" width="14.86328125" style="109" customWidth="1"/>
    <col min="8195" max="8195" width="4.59765625" style="109" bestFit="1" customWidth="1"/>
    <col min="8196" max="8196" width="13" style="109" bestFit="1" customWidth="1"/>
    <col min="8197" max="8197" width="12" style="109" bestFit="1" customWidth="1"/>
    <col min="8198" max="8198" width="11" style="109" customWidth="1"/>
    <col min="8199" max="8199" width="12" style="109" customWidth="1"/>
    <col min="8200" max="8200" width="12.1328125" style="109" customWidth="1"/>
    <col min="8201" max="8201" width="11.1328125" style="109" customWidth="1"/>
    <col min="8202" max="8223" width="0" style="109" hidden="1" customWidth="1"/>
    <col min="8224" max="8224" width="11.3984375" style="109" bestFit="1" customWidth="1"/>
    <col min="8225" max="8225" width="10" style="109" bestFit="1" customWidth="1"/>
    <col min="8226" max="8226" width="11.3984375" style="109" bestFit="1" customWidth="1"/>
    <col min="8227" max="8227" width="11" style="109" bestFit="1" customWidth="1"/>
    <col min="8228" max="8228" width="10" style="109" bestFit="1" customWidth="1"/>
    <col min="8229" max="8229" width="16.59765625" style="109" bestFit="1" customWidth="1"/>
    <col min="8230" max="8230" width="16.59765625" style="109" customWidth="1"/>
    <col min="8231" max="8231" width="13.3984375" style="109" bestFit="1" customWidth="1"/>
    <col min="8232" max="8232" width="11.86328125" style="109" bestFit="1" customWidth="1"/>
    <col min="8233" max="8448" width="9.1328125" style="109"/>
    <col min="8449" max="8449" width="3.86328125" style="109" customWidth="1"/>
    <col min="8450" max="8450" width="14.86328125" style="109" customWidth="1"/>
    <col min="8451" max="8451" width="4.59765625" style="109" bestFit="1" customWidth="1"/>
    <col min="8452" max="8452" width="13" style="109" bestFit="1" customWidth="1"/>
    <col min="8453" max="8453" width="12" style="109" bestFit="1" customWidth="1"/>
    <col min="8454" max="8454" width="11" style="109" customWidth="1"/>
    <col min="8455" max="8455" width="12" style="109" customWidth="1"/>
    <col min="8456" max="8456" width="12.1328125" style="109" customWidth="1"/>
    <col min="8457" max="8457" width="11.1328125" style="109" customWidth="1"/>
    <col min="8458" max="8479" width="0" style="109" hidden="1" customWidth="1"/>
    <col min="8480" max="8480" width="11.3984375" style="109" bestFit="1" customWidth="1"/>
    <col min="8481" max="8481" width="10" style="109" bestFit="1" customWidth="1"/>
    <col min="8482" max="8482" width="11.3984375" style="109" bestFit="1" customWidth="1"/>
    <col min="8483" max="8483" width="11" style="109" bestFit="1" customWidth="1"/>
    <col min="8484" max="8484" width="10" style="109" bestFit="1" customWidth="1"/>
    <col min="8485" max="8485" width="16.59765625" style="109" bestFit="1" customWidth="1"/>
    <col min="8486" max="8486" width="16.59765625" style="109" customWidth="1"/>
    <col min="8487" max="8487" width="13.3984375" style="109" bestFit="1" customWidth="1"/>
    <col min="8488" max="8488" width="11.86328125" style="109" bestFit="1" customWidth="1"/>
    <col min="8489" max="8704" width="9.1328125" style="109"/>
    <col min="8705" max="8705" width="3.86328125" style="109" customWidth="1"/>
    <col min="8706" max="8706" width="14.86328125" style="109" customWidth="1"/>
    <col min="8707" max="8707" width="4.59765625" style="109" bestFit="1" customWidth="1"/>
    <col min="8708" max="8708" width="13" style="109" bestFit="1" customWidth="1"/>
    <col min="8709" max="8709" width="12" style="109" bestFit="1" customWidth="1"/>
    <col min="8710" max="8710" width="11" style="109" customWidth="1"/>
    <col min="8711" max="8711" width="12" style="109" customWidth="1"/>
    <col min="8712" max="8712" width="12.1328125" style="109" customWidth="1"/>
    <col min="8713" max="8713" width="11.1328125" style="109" customWidth="1"/>
    <col min="8714" max="8735" width="0" style="109" hidden="1" customWidth="1"/>
    <col min="8736" max="8736" width="11.3984375" style="109" bestFit="1" customWidth="1"/>
    <col min="8737" max="8737" width="10" style="109" bestFit="1" customWidth="1"/>
    <col min="8738" max="8738" width="11.3984375" style="109" bestFit="1" customWidth="1"/>
    <col min="8739" max="8739" width="11" style="109" bestFit="1" customWidth="1"/>
    <col min="8740" max="8740" width="10" style="109" bestFit="1" customWidth="1"/>
    <col min="8741" max="8741" width="16.59765625" style="109" bestFit="1" customWidth="1"/>
    <col min="8742" max="8742" width="16.59765625" style="109" customWidth="1"/>
    <col min="8743" max="8743" width="13.3984375" style="109" bestFit="1" customWidth="1"/>
    <col min="8744" max="8744" width="11.86328125" style="109" bestFit="1" customWidth="1"/>
    <col min="8745" max="8960" width="9.1328125" style="109"/>
    <col min="8961" max="8961" width="3.86328125" style="109" customWidth="1"/>
    <col min="8962" max="8962" width="14.86328125" style="109" customWidth="1"/>
    <col min="8963" max="8963" width="4.59765625" style="109" bestFit="1" customWidth="1"/>
    <col min="8964" max="8964" width="13" style="109" bestFit="1" customWidth="1"/>
    <col min="8965" max="8965" width="12" style="109" bestFit="1" customWidth="1"/>
    <col min="8966" max="8966" width="11" style="109" customWidth="1"/>
    <col min="8967" max="8967" width="12" style="109" customWidth="1"/>
    <col min="8968" max="8968" width="12.1328125" style="109" customWidth="1"/>
    <col min="8969" max="8969" width="11.1328125" style="109" customWidth="1"/>
    <col min="8970" max="8991" width="0" style="109" hidden="1" customWidth="1"/>
    <col min="8992" max="8992" width="11.3984375" style="109" bestFit="1" customWidth="1"/>
    <col min="8993" max="8993" width="10" style="109" bestFit="1" customWidth="1"/>
    <col min="8994" max="8994" width="11.3984375" style="109" bestFit="1" customWidth="1"/>
    <col min="8995" max="8995" width="11" style="109" bestFit="1" customWidth="1"/>
    <col min="8996" max="8996" width="10" style="109" bestFit="1" customWidth="1"/>
    <col min="8997" max="8997" width="16.59765625" style="109" bestFit="1" customWidth="1"/>
    <col min="8998" max="8998" width="16.59765625" style="109" customWidth="1"/>
    <col min="8999" max="8999" width="13.3984375" style="109" bestFit="1" customWidth="1"/>
    <col min="9000" max="9000" width="11.86328125" style="109" bestFit="1" customWidth="1"/>
    <col min="9001" max="9216" width="9.1328125" style="109"/>
    <col min="9217" max="9217" width="3.86328125" style="109" customWidth="1"/>
    <col min="9218" max="9218" width="14.86328125" style="109" customWidth="1"/>
    <col min="9219" max="9219" width="4.59765625" style="109" bestFit="1" customWidth="1"/>
    <col min="9220" max="9220" width="13" style="109" bestFit="1" customWidth="1"/>
    <col min="9221" max="9221" width="12" style="109" bestFit="1" customWidth="1"/>
    <col min="9222" max="9222" width="11" style="109" customWidth="1"/>
    <col min="9223" max="9223" width="12" style="109" customWidth="1"/>
    <col min="9224" max="9224" width="12.1328125" style="109" customWidth="1"/>
    <col min="9225" max="9225" width="11.1328125" style="109" customWidth="1"/>
    <col min="9226" max="9247" width="0" style="109" hidden="1" customWidth="1"/>
    <col min="9248" max="9248" width="11.3984375" style="109" bestFit="1" customWidth="1"/>
    <col min="9249" max="9249" width="10" style="109" bestFit="1" customWidth="1"/>
    <col min="9250" max="9250" width="11.3984375" style="109" bestFit="1" customWidth="1"/>
    <col min="9251" max="9251" width="11" style="109" bestFit="1" customWidth="1"/>
    <col min="9252" max="9252" width="10" style="109" bestFit="1" customWidth="1"/>
    <col min="9253" max="9253" width="16.59765625" style="109" bestFit="1" customWidth="1"/>
    <col min="9254" max="9254" width="16.59765625" style="109" customWidth="1"/>
    <col min="9255" max="9255" width="13.3984375" style="109" bestFit="1" customWidth="1"/>
    <col min="9256" max="9256" width="11.86328125" style="109" bestFit="1" customWidth="1"/>
    <col min="9257" max="9472" width="9.1328125" style="109"/>
    <col min="9473" max="9473" width="3.86328125" style="109" customWidth="1"/>
    <col min="9474" max="9474" width="14.86328125" style="109" customWidth="1"/>
    <col min="9475" max="9475" width="4.59765625" style="109" bestFit="1" customWidth="1"/>
    <col min="9476" max="9476" width="13" style="109" bestFit="1" customWidth="1"/>
    <col min="9477" max="9477" width="12" style="109" bestFit="1" customWidth="1"/>
    <col min="9478" max="9478" width="11" style="109" customWidth="1"/>
    <col min="9479" max="9479" width="12" style="109" customWidth="1"/>
    <col min="9480" max="9480" width="12.1328125" style="109" customWidth="1"/>
    <col min="9481" max="9481" width="11.1328125" style="109" customWidth="1"/>
    <col min="9482" max="9503" width="0" style="109" hidden="1" customWidth="1"/>
    <col min="9504" max="9504" width="11.3984375" style="109" bestFit="1" customWidth="1"/>
    <col min="9505" max="9505" width="10" style="109" bestFit="1" customWidth="1"/>
    <col min="9506" max="9506" width="11.3984375" style="109" bestFit="1" customWidth="1"/>
    <col min="9507" max="9507" width="11" style="109" bestFit="1" customWidth="1"/>
    <col min="9508" max="9508" width="10" style="109" bestFit="1" customWidth="1"/>
    <col min="9509" max="9509" width="16.59765625" style="109" bestFit="1" customWidth="1"/>
    <col min="9510" max="9510" width="16.59765625" style="109" customWidth="1"/>
    <col min="9511" max="9511" width="13.3984375" style="109" bestFit="1" customWidth="1"/>
    <col min="9512" max="9512" width="11.86328125" style="109" bestFit="1" customWidth="1"/>
    <col min="9513" max="9728" width="9.1328125" style="109"/>
    <col min="9729" max="9729" width="3.86328125" style="109" customWidth="1"/>
    <col min="9730" max="9730" width="14.86328125" style="109" customWidth="1"/>
    <col min="9731" max="9731" width="4.59765625" style="109" bestFit="1" customWidth="1"/>
    <col min="9732" max="9732" width="13" style="109" bestFit="1" customWidth="1"/>
    <col min="9733" max="9733" width="12" style="109" bestFit="1" customWidth="1"/>
    <col min="9734" max="9734" width="11" style="109" customWidth="1"/>
    <col min="9735" max="9735" width="12" style="109" customWidth="1"/>
    <col min="9736" max="9736" width="12.1328125" style="109" customWidth="1"/>
    <col min="9737" max="9737" width="11.1328125" style="109" customWidth="1"/>
    <col min="9738" max="9759" width="0" style="109" hidden="1" customWidth="1"/>
    <col min="9760" max="9760" width="11.3984375" style="109" bestFit="1" customWidth="1"/>
    <col min="9761" max="9761" width="10" style="109" bestFit="1" customWidth="1"/>
    <col min="9762" max="9762" width="11.3984375" style="109" bestFit="1" customWidth="1"/>
    <col min="9763" max="9763" width="11" style="109" bestFit="1" customWidth="1"/>
    <col min="9764" max="9764" width="10" style="109" bestFit="1" customWidth="1"/>
    <col min="9765" max="9765" width="16.59765625" style="109" bestFit="1" customWidth="1"/>
    <col min="9766" max="9766" width="16.59765625" style="109" customWidth="1"/>
    <col min="9767" max="9767" width="13.3984375" style="109" bestFit="1" customWidth="1"/>
    <col min="9768" max="9768" width="11.86328125" style="109" bestFit="1" customWidth="1"/>
    <col min="9769" max="9984" width="9.1328125" style="109"/>
    <col min="9985" max="9985" width="3.86328125" style="109" customWidth="1"/>
    <col min="9986" max="9986" width="14.86328125" style="109" customWidth="1"/>
    <col min="9987" max="9987" width="4.59765625" style="109" bestFit="1" customWidth="1"/>
    <col min="9988" max="9988" width="13" style="109" bestFit="1" customWidth="1"/>
    <col min="9989" max="9989" width="12" style="109" bestFit="1" customWidth="1"/>
    <col min="9990" max="9990" width="11" style="109" customWidth="1"/>
    <col min="9991" max="9991" width="12" style="109" customWidth="1"/>
    <col min="9992" max="9992" width="12.1328125" style="109" customWidth="1"/>
    <col min="9993" max="9993" width="11.1328125" style="109" customWidth="1"/>
    <col min="9994" max="10015" width="0" style="109" hidden="1" customWidth="1"/>
    <col min="10016" max="10016" width="11.3984375" style="109" bestFit="1" customWidth="1"/>
    <col min="10017" max="10017" width="10" style="109" bestFit="1" customWidth="1"/>
    <col min="10018" max="10018" width="11.3984375" style="109" bestFit="1" customWidth="1"/>
    <col min="10019" max="10019" width="11" style="109" bestFit="1" customWidth="1"/>
    <col min="10020" max="10020" width="10" style="109" bestFit="1" customWidth="1"/>
    <col min="10021" max="10021" width="16.59765625" style="109" bestFit="1" customWidth="1"/>
    <col min="10022" max="10022" width="16.59765625" style="109" customWidth="1"/>
    <col min="10023" max="10023" width="13.3984375" style="109" bestFit="1" customWidth="1"/>
    <col min="10024" max="10024" width="11.86328125" style="109" bestFit="1" customWidth="1"/>
    <col min="10025" max="10240" width="9.1328125" style="109"/>
    <col min="10241" max="10241" width="3.86328125" style="109" customWidth="1"/>
    <col min="10242" max="10242" width="14.86328125" style="109" customWidth="1"/>
    <col min="10243" max="10243" width="4.59765625" style="109" bestFit="1" customWidth="1"/>
    <col min="10244" max="10244" width="13" style="109" bestFit="1" customWidth="1"/>
    <col min="10245" max="10245" width="12" style="109" bestFit="1" customWidth="1"/>
    <col min="10246" max="10246" width="11" style="109" customWidth="1"/>
    <col min="10247" max="10247" width="12" style="109" customWidth="1"/>
    <col min="10248" max="10248" width="12.1328125" style="109" customWidth="1"/>
    <col min="10249" max="10249" width="11.1328125" style="109" customWidth="1"/>
    <col min="10250" max="10271" width="0" style="109" hidden="1" customWidth="1"/>
    <col min="10272" max="10272" width="11.3984375" style="109" bestFit="1" customWidth="1"/>
    <col min="10273" max="10273" width="10" style="109" bestFit="1" customWidth="1"/>
    <col min="10274" max="10274" width="11.3984375" style="109" bestFit="1" customWidth="1"/>
    <col min="10275" max="10275" width="11" style="109" bestFit="1" customWidth="1"/>
    <col min="10276" max="10276" width="10" style="109" bestFit="1" customWidth="1"/>
    <col min="10277" max="10277" width="16.59765625" style="109" bestFit="1" customWidth="1"/>
    <col min="10278" max="10278" width="16.59765625" style="109" customWidth="1"/>
    <col min="10279" max="10279" width="13.3984375" style="109" bestFit="1" customWidth="1"/>
    <col min="10280" max="10280" width="11.86328125" style="109" bestFit="1" customWidth="1"/>
    <col min="10281" max="10496" width="9.1328125" style="109"/>
    <col min="10497" max="10497" width="3.86328125" style="109" customWidth="1"/>
    <col min="10498" max="10498" width="14.86328125" style="109" customWidth="1"/>
    <col min="10499" max="10499" width="4.59765625" style="109" bestFit="1" customWidth="1"/>
    <col min="10500" max="10500" width="13" style="109" bestFit="1" customWidth="1"/>
    <col min="10501" max="10501" width="12" style="109" bestFit="1" customWidth="1"/>
    <col min="10502" max="10502" width="11" style="109" customWidth="1"/>
    <col min="10503" max="10503" width="12" style="109" customWidth="1"/>
    <col min="10504" max="10504" width="12.1328125" style="109" customWidth="1"/>
    <col min="10505" max="10505" width="11.1328125" style="109" customWidth="1"/>
    <col min="10506" max="10527" width="0" style="109" hidden="1" customWidth="1"/>
    <col min="10528" max="10528" width="11.3984375" style="109" bestFit="1" customWidth="1"/>
    <col min="10529" max="10529" width="10" style="109" bestFit="1" customWidth="1"/>
    <col min="10530" max="10530" width="11.3984375" style="109" bestFit="1" customWidth="1"/>
    <col min="10531" max="10531" width="11" style="109" bestFit="1" customWidth="1"/>
    <col min="10532" max="10532" width="10" style="109" bestFit="1" customWidth="1"/>
    <col min="10533" max="10533" width="16.59765625" style="109" bestFit="1" customWidth="1"/>
    <col min="10534" max="10534" width="16.59765625" style="109" customWidth="1"/>
    <col min="10535" max="10535" width="13.3984375" style="109" bestFit="1" customWidth="1"/>
    <col min="10536" max="10536" width="11.86328125" style="109" bestFit="1" customWidth="1"/>
    <col min="10537" max="10752" width="9.1328125" style="109"/>
    <col min="10753" max="10753" width="3.86328125" style="109" customWidth="1"/>
    <col min="10754" max="10754" width="14.86328125" style="109" customWidth="1"/>
    <col min="10755" max="10755" width="4.59765625" style="109" bestFit="1" customWidth="1"/>
    <col min="10756" max="10756" width="13" style="109" bestFit="1" customWidth="1"/>
    <col min="10757" max="10757" width="12" style="109" bestFit="1" customWidth="1"/>
    <col min="10758" max="10758" width="11" style="109" customWidth="1"/>
    <col min="10759" max="10759" width="12" style="109" customWidth="1"/>
    <col min="10760" max="10760" width="12.1328125" style="109" customWidth="1"/>
    <col min="10761" max="10761" width="11.1328125" style="109" customWidth="1"/>
    <col min="10762" max="10783" width="0" style="109" hidden="1" customWidth="1"/>
    <col min="10784" max="10784" width="11.3984375" style="109" bestFit="1" customWidth="1"/>
    <col min="10785" max="10785" width="10" style="109" bestFit="1" customWidth="1"/>
    <col min="10786" max="10786" width="11.3984375" style="109" bestFit="1" customWidth="1"/>
    <col min="10787" max="10787" width="11" style="109" bestFit="1" customWidth="1"/>
    <col min="10788" max="10788" width="10" style="109" bestFit="1" customWidth="1"/>
    <col min="10789" max="10789" width="16.59765625" style="109" bestFit="1" customWidth="1"/>
    <col min="10790" max="10790" width="16.59765625" style="109" customWidth="1"/>
    <col min="10791" max="10791" width="13.3984375" style="109" bestFit="1" customWidth="1"/>
    <col min="10792" max="10792" width="11.86328125" style="109" bestFit="1" customWidth="1"/>
    <col min="10793" max="11008" width="9.1328125" style="109"/>
    <col min="11009" max="11009" width="3.86328125" style="109" customWidth="1"/>
    <col min="11010" max="11010" width="14.86328125" style="109" customWidth="1"/>
    <col min="11011" max="11011" width="4.59765625" style="109" bestFit="1" customWidth="1"/>
    <col min="11012" max="11012" width="13" style="109" bestFit="1" customWidth="1"/>
    <col min="11013" max="11013" width="12" style="109" bestFit="1" customWidth="1"/>
    <col min="11014" max="11014" width="11" style="109" customWidth="1"/>
    <col min="11015" max="11015" width="12" style="109" customWidth="1"/>
    <col min="11016" max="11016" width="12.1328125" style="109" customWidth="1"/>
    <col min="11017" max="11017" width="11.1328125" style="109" customWidth="1"/>
    <col min="11018" max="11039" width="0" style="109" hidden="1" customWidth="1"/>
    <col min="11040" max="11040" width="11.3984375" style="109" bestFit="1" customWidth="1"/>
    <col min="11041" max="11041" width="10" style="109" bestFit="1" customWidth="1"/>
    <col min="11042" max="11042" width="11.3984375" style="109" bestFit="1" customWidth="1"/>
    <col min="11043" max="11043" width="11" style="109" bestFit="1" customWidth="1"/>
    <col min="11044" max="11044" width="10" style="109" bestFit="1" customWidth="1"/>
    <col min="11045" max="11045" width="16.59765625" style="109" bestFit="1" customWidth="1"/>
    <col min="11046" max="11046" width="16.59765625" style="109" customWidth="1"/>
    <col min="11047" max="11047" width="13.3984375" style="109" bestFit="1" customWidth="1"/>
    <col min="11048" max="11048" width="11.86328125" style="109" bestFit="1" customWidth="1"/>
    <col min="11049" max="11264" width="9.1328125" style="109"/>
    <col min="11265" max="11265" width="3.86328125" style="109" customWidth="1"/>
    <col min="11266" max="11266" width="14.86328125" style="109" customWidth="1"/>
    <col min="11267" max="11267" width="4.59765625" style="109" bestFit="1" customWidth="1"/>
    <col min="11268" max="11268" width="13" style="109" bestFit="1" customWidth="1"/>
    <col min="11269" max="11269" width="12" style="109" bestFit="1" customWidth="1"/>
    <col min="11270" max="11270" width="11" style="109" customWidth="1"/>
    <col min="11271" max="11271" width="12" style="109" customWidth="1"/>
    <col min="11272" max="11272" width="12.1328125" style="109" customWidth="1"/>
    <col min="11273" max="11273" width="11.1328125" style="109" customWidth="1"/>
    <col min="11274" max="11295" width="0" style="109" hidden="1" customWidth="1"/>
    <col min="11296" max="11296" width="11.3984375" style="109" bestFit="1" customWidth="1"/>
    <col min="11297" max="11297" width="10" style="109" bestFit="1" customWidth="1"/>
    <col min="11298" max="11298" width="11.3984375" style="109" bestFit="1" customWidth="1"/>
    <col min="11299" max="11299" width="11" style="109" bestFit="1" customWidth="1"/>
    <col min="11300" max="11300" width="10" style="109" bestFit="1" customWidth="1"/>
    <col min="11301" max="11301" width="16.59765625" style="109" bestFit="1" customWidth="1"/>
    <col min="11302" max="11302" width="16.59765625" style="109" customWidth="1"/>
    <col min="11303" max="11303" width="13.3984375" style="109" bestFit="1" customWidth="1"/>
    <col min="11304" max="11304" width="11.86328125" style="109" bestFit="1" customWidth="1"/>
    <col min="11305" max="11520" width="9.1328125" style="109"/>
    <col min="11521" max="11521" width="3.86328125" style="109" customWidth="1"/>
    <col min="11522" max="11522" width="14.86328125" style="109" customWidth="1"/>
    <col min="11523" max="11523" width="4.59765625" style="109" bestFit="1" customWidth="1"/>
    <col min="11524" max="11524" width="13" style="109" bestFit="1" customWidth="1"/>
    <col min="11525" max="11525" width="12" style="109" bestFit="1" customWidth="1"/>
    <col min="11526" max="11526" width="11" style="109" customWidth="1"/>
    <col min="11527" max="11527" width="12" style="109" customWidth="1"/>
    <col min="11528" max="11528" width="12.1328125" style="109" customWidth="1"/>
    <col min="11529" max="11529" width="11.1328125" style="109" customWidth="1"/>
    <col min="11530" max="11551" width="0" style="109" hidden="1" customWidth="1"/>
    <col min="11552" max="11552" width="11.3984375" style="109" bestFit="1" customWidth="1"/>
    <col min="11553" max="11553" width="10" style="109" bestFit="1" customWidth="1"/>
    <col min="11554" max="11554" width="11.3984375" style="109" bestFit="1" customWidth="1"/>
    <col min="11555" max="11555" width="11" style="109" bestFit="1" customWidth="1"/>
    <col min="11556" max="11556" width="10" style="109" bestFit="1" customWidth="1"/>
    <col min="11557" max="11557" width="16.59765625" style="109" bestFit="1" customWidth="1"/>
    <col min="11558" max="11558" width="16.59765625" style="109" customWidth="1"/>
    <col min="11559" max="11559" width="13.3984375" style="109" bestFit="1" customWidth="1"/>
    <col min="11560" max="11560" width="11.86328125" style="109" bestFit="1" customWidth="1"/>
    <col min="11561" max="11776" width="9.1328125" style="109"/>
    <col min="11777" max="11777" width="3.86328125" style="109" customWidth="1"/>
    <col min="11778" max="11778" width="14.86328125" style="109" customWidth="1"/>
    <col min="11779" max="11779" width="4.59765625" style="109" bestFit="1" customWidth="1"/>
    <col min="11780" max="11780" width="13" style="109" bestFit="1" customWidth="1"/>
    <col min="11781" max="11781" width="12" style="109" bestFit="1" customWidth="1"/>
    <col min="11782" max="11782" width="11" style="109" customWidth="1"/>
    <col min="11783" max="11783" width="12" style="109" customWidth="1"/>
    <col min="11784" max="11784" width="12.1328125" style="109" customWidth="1"/>
    <col min="11785" max="11785" width="11.1328125" style="109" customWidth="1"/>
    <col min="11786" max="11807" width="0" style="109" hidden="1" customWidth="1"/>
    <col min="11808" max="11808" width="11.3984375" style="109" bestFit="1" customWidth="1"/>
    <col min="11809" max="11809" width="10" style="109" bestFit="1" customWidth="1"/>
    <col min="11810" max="11810" width="11.3984375" style="109" bestFit="1" customWidth="1"/>
    <col min="11811" max="11811" width="11" style="109" bestFit="1" customWidth="1"/>
    <col min="11812" max="11812" width="10" style="109" bestFit="1" customWidth="1"/>
    <col min="11813" max="11813" width="16.59765625" style="109" bestFit="1" customWidth="1"/>
    <col min="11814" max="11814" width="16.59765625" style="109" customWidth="1"/>
    <col min="11815" max="11815" width="13.3984375" style="109" bestFit="1" customWidth="1"/>
    <col min="11816" max="11816" width="11.86328125" style="109" bestFit="1" customWidth="1"/>
    <col min="11817" max="12032" width="9.1328125" style="109"/>
    <col min="12033" max="12033" width="3.86328125" style="109" customWidth="1"/>
    <col min="12034" max="12034" width="14.86328125" style="109" customWidth="1"/>
    <col min="12035" max="12035" width="4.59765625" style="109" bestFit="1" customWidth="1"/>
    <col min="12036" max="12036" width="13" style="109" bestFit="1" customWidth="1"/>
    <col min="12037" max="12037" width="12" style="109" bestFit="1" customWidth="1"/>
    <col min="12038" max="12038" width="11" style="109" customWidth="1"/>
    <col min="12039" max="12039" width="12" style="109" customWidth="1"/>
    <col min="12040" max="12040" width="12.1328125" style="109" customWidth="1"/>
    <col min="12041" max="12041" width="11.1328125" style="109" customWidth="1"/>
    <col min="12042" max="12063" width="0" style="109" hidden="1" customWidth="1"/>
    <col min="12064" max="12064" width="11.3984375" style="109" bestFit="1" customWidth="1"/>
    <col min="12065" max="12065" width="10" style="109" bestFit="1" customWidth="1"/>
    <col min="12066" max="12066" width="11.3984375" style="109" bestFit="1" customWidth="1"/>
    <col min="12067" max="12067" width="11" style="109" bestFit="1" customWidth="1"/>
    <col min="12068" max="12068" width="10" style="109" bestFit="1" customWidth="1"/>
    <col min="12069" max="12069" width="16.59765625" style="109" bestFit="1" customWidth="1"/>
    <col min="12070" max="12070" width="16.59765625" style="109" customWidth="1"/>
    <col min="12071" max="12071" width="13.3984375" style="109" bestFit="1" customWidth="1"/>
    <col min="12072" max="12072" width="11.86328125" style="109" bestFit="1" customWidth="1"/>
    <col min="12073" max="12288" width="9.1328125" style="109"/>
    <col min="12289" max="12289" width="3.86328125" style="109" customWidth="1"/>
    <col min="12290" max="12290" width="14.86328125" style="109" customWidth="1"/>
    <col min="12291" max="12291" width="4.59765625" style="109" bestFit="1" customWidth="1"/>
    <col min="12292" max="12292" width="13" style="109" bestFit="1" customWidth="1"/>
    <col min="12293" max="12293" width="12" style="109" bestFit="1" customWidth="1"/>
    <col min="12294" max="12294" width="11" style="109" customWidth="1"/>
    <col min="12295" max="12295" width="12" style="109" customWidth="1"/>
    <col min="12296" max="12296" width="12.1328125" style="109" customWidth="1"/>
    <col min="12297" max="12297" width="11.1328125" style="109" customWidth="1"/>
    <col min="12298" max="12319" width="0" style="109" hidden="1" customWidth="1"/>
    <col min="12320" max="12320" width="11.3984375" style="109" bestFit="1" customWidth="1"/>
    <col min="12321" max="12321" width="10" style="109" bestFit="1" customWidth="1"/>
    <col min="12322" max="12322" width="11.3984375" style="109" bestFit="1" customWidth="1"/>
    <col min="12323" max="12323" width="11" style="109" bestFit="1" customWidth="1"/>
    <col min="12324" max="12324" width="10" style="109" bestFit="1" customWidth="1"/>
    <col min="12325" max="12325" width="16.59765625" style="109" bestFit="1" customWidth="1"/>
    <col min="12326" max="12326" width="16.59765625" style="109" customWidth="1"/>
    <col min="12327" max="12327" width="13.3984375" style="109" bestFit="1" customWidth="1"/>
    <col min="12328" max="12328" width="11.86328125" style="109" bestFit="1" customWidth="1"/>
    <col min="12329" max="12544" width="9.1328125" style="109"/>
    <col min="12545" max="12545" width="3.86328125" style="109" customWidth="1"/>
    <col min="12546" max="12546" width="14.86328125" style="109" customWidth="1"/>
    <col min="12547" max="12547" width="4.59765625" style="109" bestFit="1" customWidth="1"/>
    <col min="12548" max="12548" width="13" style="109" bestFit="1" customWidth="1"/>
    <col min="12549" max="12549" width="12" style="109" bestFit="1" customWidth="1"/>
    <col min="12550" max="12550" width="11" style="109" customWidth="1"/>
    <col min="12551" max="12551" width="12" style="109" customWidth="1"/>
    <col min="12552" max="12552" width="12.1328125" style="109" customWidth="1"/>
    <col min="12553" max="12553" width="11.1328125" style="109" customWidth="1"/>
    <col min="12554" max="12575" width="0" style="109" hidden="1" customWidth="1"/>
    <col min="12576" max="12576" width="11.3984375" style="109" bestFit="1" customWidth="1"/>
    <col min="12577" max="12577" width="10" style="109" bestFit="1" customWidth="1"/>
    <col min="12578" max="12578" width="11.3984375" style="109" bestFit="1" customWidth="1"/>
    <col min="12579" max="12579" width="11" style="109" bestFit="1" customWidth="1"/>
    <col min="12580" max="12580" width="10" style="109" bestFit="1" customWidth="1"/>
    <col min="12581" max="12581" width="16.59765625" style="109" bestFit="1" customWidth="1"/>
    <col min="12582" max="12582" width="16.59765625" style="109" customWidth="1"/>
    <col min="12583" max="12583" width="13.3984375" style="109" bestFit="1" customWidth="1"/>
    <col min="12584" max="12584" width="11.86328125" style="109" bestFit="1" customWidth="1"/>
    <col min="12585" max="12800" width="9.1328125" style="109"/>
    <col min="12801" max="12801" width="3.86328125" style="109" customWidth="1"/>
    <col min="12802" max="12802" width="14.86328125" style="109" customWidth="1"/>
    <col min="12803" max="12803" width="4.59765625" style="109" bestFit="1" customWidth="1"/>
    <col min="12804" max="12804" width="13" style="109" bestFit="1" customWidth="1"/>
    <col min="12805" max="12805" width="12" style="109" bestFit="1" customWidth="1"/>
    <col min="12806" max="12806" width="11" style="109" customWidth="1"/>
    <col min="12807" max="12807" width="12" style="109" customWidth="1"/>
    <col min="12808" max="12808" width="12.1328125" style="109" customWidth="1"/>
    <col min="12809" max="12809" width="11.1328125" style="109" customWidth="1"/>
    <col min="12810" max="12831" width="0" style="109" hidden="1" customWidth="1"/>
    <col min="12832" max="12832" width="11.3984375" style="109" bestFit="1" customWidth="1"/>
    <col min="12833" max="12833" width="10" style="109" bestFit="1" customWidth="1"/>
    <col min="12834" max="12834" width="11.3984375" style="109" bestFit="1" customWidth="1"/>
    <col min="12835" max="12835" width="11" style="109" bestFit="1" customWidth="1"/>
    <col min="12836" max="12836" width="10" style="109" bestFit="1" customWidth="1"/>
    <col min="12837" max="12837" width="16.59765625" style="109" bestFit="1" customWidth="1"/>
    <col min="12838" max="12838" width="16.59765625" style="109" customWidth="1"/>
    <col min="12839" max="12839" width="13.3984375" style="109" bestFit="1" customWidth="1"/>
    <col min="12840" max="12840" width="11.86328125" style="109" bestFit="1" customWidth="1"/>
    <col min="12841" max="13056" width="9.1328125" style="109"/>
    <col min="13057" max="13057" width="3.86328125" style="109" customWidth="1"/>
    <col min="13058" max="13058" width="14.86328125" style="109" customWidth="1"/>
    <col min="13059" max="13059" width="4.59765625" style="109" bestFit="1" customWidth="1"/>
    <col min="13060" max="13060" width="13" style="109" bestFit="1" customWidth="1"/>
    <col min="13061" max="13061" width="12" style="109" bestFit="1" customWidth="1"/>
    <col min="13062" max="13062" width="11" style="109" customWidth="1"/>
    <col min="13063" max="13063" width="12" style="109" customWidth="1"/>
    <col min="13064" max="13064" width="12.1328125" style="109" customWidth="1"/>
    <col min="13065" max="13065" width="11.1328125" style="109" customWidth="1"/>
    <col min="13066" max="13087" width="0" style="109" hidden="1" customWidth="1"/>
    <col min="13088" max="13088" width="11.3984375" style="109" bestFit="1" customWidth="1"/>
    <col min="13089" max="13089" width="10" style="109" bestFit="1" customWidth="1"/>
    <col min="13090" max="13090" width="11.3984375" style="109" bestFit="1" customWidth="1"/>
    <col min="13091" max="13091" width="11" style="109" bestFit="1" customWidth="1"/>
    <col min="13092" max="13092" width="10" style="109" bestFit="1" customWidth="1"/>
    <col min="13093" max="13093" width="16.59765625" style="109" bestFit="1" customWidth="1"/>
    <col min="13094" max="13094" width="16.59765625" style="109" customWidth="1"/>
    <col min="13095" max="13095" width="13.3984375" style="109" bestFit="1" customWidth="1"/>
    <col min="13096" max="13096" width="11.86328125" style="109" bestFit="1" customWidth="1"/>
    <col min="13097" max="13312" width="9.1328125" style="109"/>
    <col min="13313" max="13313" width="3.86328125" style="109" customWidth="1"/>
    <col min="13314" max="13314" width="14.86328125" style="109" customWidth="1"/>
    <col min="13315" max="13315" width="4.59765625" style="109" bestFit="1" customWidth="1"/>
    <col min="13316" max="13316" width="13" style="109" bestFit="1" customWidth="1"/>
    <col min="13317" max="13317" width="12" style="109" bestFit="1" customWidth="1"/>
    <col min="13318" max="13318" width="11" style="109" customWidth="1"/>
    <col min="13319" max="13319" width="12" style="109" customWidth="1"/>
    <col min="13320" max="13320" width="12.1328125" style="109" customWidth="1"/>
    <col min="13321" max="13321" width="11.1328125" style="109" customWidth="1"/>
    <col min="13322" max="13343" width="0" style="109" hidden="1" customWidth="1"/>
    <col min="13344" max="13344" width="11.3984375" style="109" bestFit="1" customWidth="1"/>
    <col min="13345" max="13345" width="10" style="109" bestFit="1" customWidth="1"/>
    <col min="13346" max="13346" width="11.3984375" style="109" bestFit="1" customWidth="1"/>
    <col min="13347" max="13347" width="11" style="109" bestFit="1" customWidth="1"/>
    <col min="13348" max="13348" width="10" style="109" bestFit="1" customWidth="1"/>
    <col min="13349" max="13349" width="16.59765625" style="109" bestFit="1" customWidth="1"/>
    <col min="13350" max="13350" width="16.59765625" style="109" customWidth="1"/>
    <col min="13351" max="13351" width="13.3984375" style="109" bestFit="1" customWidth="1"/>
    <col min="13352" max="13352" width="11.86328125" style="109" bestFit="1" customWidth="1"/>
    <col min="13353" max="13568" width="9.1328125" style="109"/>
    <col min="13569" max="13569" width="3.86328125" style="109" customWidth="1"/>
    <col min="13570" max="13570" width="14.86328125" style="109" customWidth="1"/>
    <col min="13571" max="13571" width="4.59765625" style="109" bestFit="1" customWidth="1"/>
    <col min="13572" max="13572" width="13" style="109" bestFit="1" customWidth="1"/>
    <col min="13573" max="13573" width="12" style="109" bestFit="1" customWidth="1"/>
    <col min="13574" max="13574" width="11" style="109" customWidth="1"/>
    <col min="13575" max="13575" width="12" style="109" customWidth="1"/>
    <col min="13576" max="13576" width="12.1328125" style="109" customWidth="1"/>
    <col min="13577" max="13577" width="11.1328125" style="109" customWidth="1"/>
    <col min="13578" max="13599" width="0" style="109" hidden="1" customWidth="1"/>
    <col min="13600" max="13600" width="11.3984375" style="109" bestFit="1" customWidth="1"/>
    <col min="13601" max="13601" width="10" style="109" bestFit="1" customWidth="1"/>
    <col min="13602" max="13602" width="11.3984375" style="109" bestFit="1" customWidth="1"/>
    <col min="13603" max="13603" width="11" style="109" bestFit="1" customWidth="1"/>
    <col min="13604" max="13604" width="10" style="109" bestFit="1" customWidth="1"/>
    <col min="13605" max="13605" width="16.59765625" style="109" bestFit="1" customWidth="1"/>
    <col min="13606" max="13606" width="16.59765625" style="109" customWidth="1"/>
    <col min="13607" max="13607" width="13.3984375" style="109" bestFit="1" customWidth="1"/>
    <col min="13608" max="13608" width="11.86328125" style="109" bestFit="1" customWidth="1"/>
    <col min="13609" max="13824" width="9.1328125" style="109"/>
    <col min="13825" max="13825" width="3.86328125" style="109" customWidth="1"/>
    <col min="13826" max="13826" width="14.86328125" style="109" customWidth="1"/>
    <col min="13827" max="13827" width="4.59765625" style="109" bestFit="1" customWidth="1"/>
    <col min="13828" max="13828" width="13" style="109" bestFit="1" customWidth="1"/>
    <col min="13829" max="13829" width="12" style="109" bestFit="1" customWidth="1"/>
    <col min="13830" max="13830" width="11" style="109" customWidth="1"/>
    <col min="13831" max="13831" width="12" style="109" customWidth="1"/>
    <col min="13832" max="13832" width="12.1328125" style="109" customWidth="1"/>
    <col min="13833" max="13833" width="11.1328125" style="109" customWidth="1"/>
    <col min="13834" max="13855" width="0" style="109" hidden="1" customWidth="1"/>
    <col min="13856" max="13856" width="11.3984375" style="109" bestFit="1" customWidth="1"/>
    <col min="13857" max="13857" width="10" style="109" bestFit="1" customWidth="1"/>
    <col min="13858" max="13858" width="11.3984375" style="109" bestFit="1" customWidth="1"/>
    <col min="13859" max="13859" width="11" style="109" bestFit="1" customWidth="1"/>
    <col min="13860" max="13860" width="10" style="109" bestFit="1" customWidth="1"/>
    <col min="13861" max="13861" width="16.59765625" style="109" bestFit="1" customWidth="1"/>
    <col min="13862" max="13862" width="16.59765625" style="109" customWidth="1"/>
    <col min="13863" max="13863" width="13.3984375" style="109" bestFit="1" customWidth="1"/>
    <col min="13864" max="13864" width="11.86328125" style="109" bestFit="1" customWidth="1"/>
    <col min="13865" max="14080" width="9.1328125" style="109"/>
    <col min="14081" max="14081" width="3.86328125" style="109" customWidth="1"/>
    <col min="14082" max="14082" width="14.86328125" style="109" customWidth="1"/>
    <col min="14083" max="14083" width="4.59765625" style="109" bestFit="1" customWidth="1"/>
    <col min="14084" max="14084" width="13" style="109" bestFit="1" customWidth="1"/>
    <col min="14085" max="14085" width="12" style="109" bestFit="1" customWidth="1"/>
    <col min="14086" max="14086" width="11" style="109" customWidth="1"/>
    <col min="14087" max="14087" width="12" style="109" customWidth="1"/>
    <col min="14088" max="14088" width="12.1328125" style="109" customWidth="1"/>
    <col min="14089" max="14089" width="11.1328125" style="109" customWidth="1"/>
    <col min="14090" max="14111" width="0" style="109" hidden="1" customWidth="1"/>
    <col min="14112" max="14112" width="11.3984375" style="109" bestFit="1" customWidth="1"/>
    <col min="14113" max="14113" width="10" style="109" bestFit="1" customWidth="1"/>
    <col min="14114" max="14114" width="11.3984375" style="109" bestFit="1" customWidth="1"/>
    <col min="14115" max="14115" width="11" style="109" bestFit="1" customWidth="1"/>
    <col min="14116" max="14116" width="10" style="109" bestFit="1" customWidth="1"/>
    <col min="14117" max="14117" width="16.59765625" style="109" bestFit="1" customWidth="1"/>
    <col min="14118" max="14118" width="16.59765625" style="109" customWidth="1"/>
    <col min="14119" max="14119" width="13.3984375" style="109" bestFit="1" customWidth="1"/>
    <col min="14120" max="14120" width="11.86328125" style="109" bestFit="1" customWidth="1"/>
    <col min="14121" max="14336" width="9.1328125" style="109"/>
    <col min="14337" max="14337" width="3.86328125" style="109" customWidth="1"/>
    <col min="14338" max="14338" width="14.86328125" style="109" customWidth="1"/>
    <col min="14339" max="14339" width="4.59765625" style="109" bestFit="1" customWidth="1"/>
    <col min="14340" max="14340" width="13" style="109" bestFit="1" customWidth="1"/>
    <col min="14341" max="14341" width="12" style="109" bestFit="1" customWidth="1"/>
    <col min="14342" max="14342" width="11" style="109" customWidth="1"/>
    <col min="14343" max="14343" width="12" style="109" customWidth="1"/>
    <col min="14344" max="14344" width="12.1328125" style="109" customWidth="1"/>
    <col min="14345" max="14345" width="11.1328125" style="109" customWidth="1"/>
    <col min="14346" max="14367" width="0" style="109" hidden="1" customWidth="1"/>
    <col min="14368" max="14368" width="11.3984375" style="109" bestFit="1" customWidth="1"/>
    <col min="14369" max="14369" width="10" style="109" bestFit="1" customWidth="1"/>
    <col min="14370" max="14370" width="11.3984375" style="109" bestFit="1" customWidth="1"/>
    <col min="14371" max="14371" width="11" style="109" bestFit="1" customWidth="1"/>
    <col min="14372" max="14372" width="10" style="109" bestFit="1" customWidth="1"/>
    <col min="14373" max="14373" width="16.59765625" style="109" bestFit="1" customWidth="1"/>
    <col min="14374" max="14374" width="16.59765625" style="109" customWidth="1"/>
    <col min="14375" max="14375" width="13.3984375" style="109" bestFit="1" customWidth="1"/>
    <col min="14376" max="14376" width="11.86328125" style="109" bestFit="1" customWidth="1"/>
    <col min="14377" max="14592" width="9.1328125" style="109"/>
    <col min="14593" max="14593" width="3.86328125" style="109" customWidth="1"/>
    <col min="14594" max="14594" width="14.86328125" style="109" customWidth="1"/>
    <col min="14595" max="14595" width="4.59765625" style="109" bestFit="1" customWidth="1"/>
    <col min="14596" max="14596" width="13" style="109" bestFit="1" customWidth="1"/>
    <col min="14597" max="14597" width="12" style="109" bestFit="1" customWidth="1"/>
    <col min="14598" max="14598" width="11" style="109" customWidth="1"/>
    <col min="14599" max="14599" width="12" style="109" customWidth="1"/>
    <col min="14600" max="14600" width="12.1328125" style="109" customWidth="1"/>
    <col min="14601" max="14601" width="11.1328125" style="109" customWidth="1"/>
    <col min="14602" max="14623" width="0" style="109" hidden="1" customWidth="1"/>
    <col min="14624" max="14624" width="11.3984375" style="109" bestFit="1" customWidth="1"/>
    <col min="14625" max="14625" width="10" style="109" bestFit="1" customWidth="1"/>
    <col min="14626" max="14626" width="11.3984375" style="109" bestFit="1" customWidth="1"/>
    <col min="14627" max="14627" width="11" style="109" bestFit="1" customWidth="1"/>
    <col min="14628" max="14628" width="10" style="109" bestFit="1" customWidth="1"/>
    <col min="14629" max="14629" width="16.59765625" style="109" bestFit="1" customWidth="1"/>
    <col min="14630" max="14630" width="16.59765625" style="109" customWidth="1"/>
    <col min="14631" max="14631" width="13.3984375" style="109" bestFit="1" customWidth="1"/>
    <col min="14632" max="14632" width="11.86328125" style="109" bestFit="1" customWidth="1"/>
    <col min="14633" max="14848" width="9.1328125" style="109"/>
    <col min="14849" max="14849" width="3.86328125" style="109" customWidth="1"/>
    <col min="14850" max="14850" width="14.86328125" style="109" customWidth="1"/>
    <col min="14851" max="14851" width="4.59765625" style="109" bestFit="1" customWidth="1"/>
    <col min="14852" max="14852" width="13" style="109" bestFit="1" customWidth="1"/>
    <col min="14853" max="14853" width="12" style="109" bestFit="1" customWidth="1"/>
    <col min="14854" max="14854" width="11" style="109" customWidth="1"/>
    <col min="14855" max="14855" width="12" style="109" customWidth="1"/>
    <col min="14856" max="14856" width="12.1328125" style="109" customWidth="1"/>
    <col min="14857" max="14857" width="11.1328125" style="109" customWidth="1"/>
    <col min="14858" max="14879" width="0" style="109" hidden="1" customWidth="1"/>
    <col min="14880" max="14880" width="11.3984375" style="109" bestFit="1" customWidth="1"/>
    <col min="14881" max="14881" width="10" style="109" bestFit="1" customWidth="1"/>
    <col min="14882" max="14882" width="11.3984375" style="109" bestFit="1" customWidth="1"/>
    <col min="14883" max="14883" width="11" style="109" bestFit="1" customWidth="1"/>
    <col min="14884" max="14884" width="10" style="109" bestFit="1" customWidth="1"/>
    <col min="14885" max="14885" width="16.59765625" style="109" bestFit="1" customWidth="1"/>
    <col min="14886" max="14886" width="16.59765625" style="109" customWidth="1"/>
    <col min="14887" max="14887" width="13.3984375" style="109" bestFit="1" customWidth="1"/>
    <col min="14888" max="14888" width="11.86328125" style="109" bestFit="1" customWidth="1"/>
    <col min="14889" max="15104" width="9.1328125" style="109"/>
    <col min="15105" max="15105" width="3.86328125" style="109" customWidth="1"/>
    <col min="15106" max="15106" width="14.86328125" style="109" customWidth="1"/>
    <col min="15107" max="15107" width="4.59765625" style="109" bestFit="1" customWidth="1"/>
    <col min="15108" max="15108" width="13" style="109" bestFit="1" customWidth="1"/>
    <col min="15109" max="15109" width="12" style="109" bestFit="1" customWidth="1"/>
    <col min="15110" max="15110" width="11" style="109" customWidth="1"/>
    <col min="15111" max="15111" width="12" style="109" customWidth="1"/>
    <col min="15112" max="15112" width="12.1328125" style="109" customWidth="1"/>
    <col min="15113" max="15113" width="11.1328125" style="109" customWidth="1"/>
    <col min="15114" max="15135" width="0" style="109" hidden="1" customWidth="1"/>
    <col min="15136" max="15136" width="11.3984375" style="109" bestFit="1" customWidth="1"/>
    <col min="15137" max="15137" width="10" style="109" bestFit="1" customWidth="1"/>
    <col min="15138" max="15138" width="11.3984375" style="109" bestFit="1" customWidth="1"/>
    <col min="15139" max="15139" width="11" style="109" bestFit="1" customWidth="1"/>
    <col min="15140" max="15140" width="10" style="109" bestFit="1" customWidth="1"/>
    <col min="15141" max="15141" width="16.59765625" style="109" bestFit="1" customWidth="1"/>
    <col min="15142" max="15142" width="16.59765625" style="109" customWidth="1"/>
    <col min="15143" max="15143" width="13.3984375" style="109" bestFit="1" customWidth="1"/>
    <col min="15144" max="15144" width="11.86328125" style="109" bestFit="1" customWidth="1"/>
    <col min="15145" max="15360" width="9.1328125" style="109"/>
    <col min="15361" max="15361" width="3.86328125" style="109" customWidth="1"/>
    <col min="15362" max="15362" width="14.86328125" style="109" customWidth="1"/>
    <col min="15363" max="15363" width="4.59765625" style="109" bestFit="1" customWidth="1"/>
    <col min="15364" max="15364" width="13" style="109" bestFit="1" customWidth="1"/>
    <col min="15365" max="15365" width="12" style="109" bestFit="1" customWidth="1"/>
    <col min="15366" max="15366" width="11" style="109" customWidth="1"/>
    <col min="15367" max="15367" width="12" style="109" customWidth="1"/>
    <col min="15368" max="15368" width="12.1328125" style="109" customWidth="1"/>
    <col min="15369" max="15369" width="11.1328125" style="109" customWidth="1"/>
    <col min="15370" max="15391" width="0" style="109" hidden="1" customWidth="1"/>
    <col min="15392" max="15392" width="11.3984375" style="109" bestFit="1" customWidth="1"/>
    <col min="15393" max="15393" width="10" style="109" bestFit="1" customWidth="1"/>
    <col min="15394" max="15394" width="11.3984375" style="109" bestFit="1" customWidth="1"/>
    <col min="15395" max="15395" width="11" style="109" bestFit="1" customWidth="1"/>
    <col min="15396" max="15396" width="10" style="109" bestFit="1" customWidth="1"/>
    <col min="15397" max="15397" width="16.59765625" style="109" bestFit="1" customWidth="1"/>
    <col min="15398" max="15398" width="16.59765625" style="109" customWidth="1"/>
    <col min="15399" max="15399" width="13.3984375" style="109" bestFit="1" customWidth="1"/>
    <col min="15400" max="15400" width="11.86328125" style="109" bestFit="1" customWidth="1"/>
    <col min="15401" max="15616" width="9.1328125" style="109"/>
    <col min="15617" max="15617" width="3.86328125" style="109" customWidth="1"/>
    <col min="15618" max="15618" width="14.86328125" style="109" customWidth="1"/>
    <col min="15619" max="15619" width="4.59765625" style="109" bestFit="1" customWidth="1"/>
    <col min="15620" max="15620" width="13" style="109" bestFit="1" customWidth="1"/>
    <col min="15621" max="15621" width="12" style="109" bestFit="1" customWidth="1"/>
    <col min="15622" max="15622" width="11" style="109" customWidth="1"/>
    <col min="15623" max="15623" width="12" style="109" customWidth="1"/>
    <col min="15624" max="15624" width="12.1328125" style="109" customWidth="1"/>
    <col min="15625" max="15625" width="11.1328125" style="109" customWidth="1"/>
    <col min="15626" max="15647" width="0" style="109" hidden="1" customWidth="1"/>
    <col min="15648" max="15648" width="11.3984375" style="109" bestFit="1" customWidth="1"/>
    <col min="15649" max="15649" width="10" style="109" bestFit="1" customWidth="1"/>
    <col min="15650" max="15650" width="11.3984375" style="109" bestFit="1" customWidth="1"/>
    <col min="15651" max="15651" width="11" style="109" bestFit="1" customWidth="1"/>
    <col min="15652" max="15652" width="10" style="109" bestFit="1" customWidth="1"/>
    <col min="15653" max="15653" width="16.59765625" style="109" bestFit="1" customWidth="1"/>
    <col min="15654" max="15654" width="16.59765625" style="109" customWidth="1"/>
    <col min="15655" max="15655" width="13.3984375" style="109" bestFit="1" customWidth="1"/>
    <col min="15656" max="15656" width="11.86328125" style="109" bestFit="1" customWidth="1"/>
    <col min="15657" max="15872" width="9.1328125" style="109"/>
    <col min="15873" max="15873" width="3.86328125" style="109" customWidth="1"/>
    <col min="15874" max="15874" width="14.86328125" style="109" customWidth="1"/>
    <col min="15875" max="15875" width="4.59765625" style="109" bestFit="1" customWidth="1"/>
    <col min="15876" max="15876" width="13" style="109" bestFit="1" customWidth="1"/>
    <col min="15877" max="15877" width="12" style="109" bestFit="1" customWidth="1"/>
    <col min="15878" max="15878" width="11" style="109" customWidth="1"/>
    <col min="15879" max="15879" width="12" style="109" customWidth="1"/>
    <col min="15880" max="15880" width="12.1328125" style="109" customWidth="1"/>
    <col min="15881" max="15881" width="11.1328125" style="109" customWidth="1"/>
    <col min="15882" max="15903" width="0" style="109" hidden="1" customWidth="1"/>
    <col min="15904" max="15904" width="11.3984375" style="109" bestFit="1" customWidth="1"/>
    <col min="15905" max="15905" width="10" style="109" bestFit="1" customWidth="1"/>
    <col min="15906" max="15906" width="11.3984375" style="109" bestFit="1" customWidth="1"/>
    <col min="15907" max="15907" width="11" style="109" bestFit="1" customWidth="1"/>
    <col min="15908" max="15908" width="10" style="109" bestFit="1" customWidth="1"/>
    <col min="15909" max="15909" width="16.59765625" style="109" bestFit="1" customWidth="1"/>
    <col min="15910" max="15910" width="16.59765625" style="109" customWidth="1"/>
    <col min="15911" max="15911" width="13.3984375" style="109" bestFit="1" customWidth="1"/>
    <col min="15912" max="15912" width="11.86328125" style="109" bestFit="1" customWidth="1"/>
    <col min="15913" max="16128" width="9.1328125" style="109"/>
    <col min="16129" max="16129" width="3.86328125" style="109" customWidth="1"/>
    <col min="16130" max="16130" width="14.86328125" style="109" customWidth="1"/>
    <col min="16131" max="16131" width="4.59765625" style="109" bestFit="1" customWidth="1"/>
    <col min="16132" max="16132" width="13" style="109" bestFit="1" customWidth="1"/>
    <col min="16133" max="16133" width="12" style="109" bestFit="1" customWidth="1"/>
    <col min="16134" max="16134" width="11" style="109" customWidth="1"/>
    <col min="16135" max="16135" width="12" style="109" customWidth="1"/>
    <col min="16136" max="16136" width="12.1328125" style="109" customWidth="1"/>
    <col min="16137" max="16137" width="11.1328125" style="109" customWidth="1"/>
    <col min="16138" max="16159" width="0" style="109" hidden="1" customWidth="1"/>
    <col min="16160" max="16160" width="11.3984375" style="109" bestFit="1" customWidth="1"/>
    <col min="16161" max="16161" width="10" style="109" bestFit="1" customWidth="1"/>
    <col min="16162" max="16162" width="11.3984375" style="109" bestFit="1" customWidth="1"/>
    <col min="16163" max="16163" width="11" style="109" bestFit="1" customWidth="1"/>
    <col min="16164" max="16164" width="10" style="109" bestFit="1" customWidth="1"/>
    <col min="16165" max="16165" width="16.59765625" style="109" bestFit="1" customWidth="1"/>
    <col min="16166" max="16166" width="16.59765625" style="109" customWidth="1"/>
    <col min="16167" max="16167" width="13.3984375" style="109" bestFit="1" customWidth="1"/>
    <col min="16168" max="16168" width="11.86328125" style="109" bestFit="1" customWidth="1"/>
    <col min="16169" max="16384" width="9.1328125" style="109"/>
  </cols>
  <sheetData>
    <row r="1" spans="1:43">
      <c r="AM1" s="110" t="s">
        <v>278</v>
      </c>
    </row>
    <row r="2" spans="1:43">
      <c r="AM2" s="110" t="s">
        <v>279</v>
      </c>
    </row>
    <row r="3" spans="1:43">
      <c r="AM3" s="110" t="s">
        <v>280</v>
      </c>
    </row>
    <row r="4" spans="1:43">
      <c r="AM4" s="110" t="s">
        <v>282</v>
      </c>
    </row>
    <row r="6" spans="1:43">
      <c r="B6" s="108"/>
      <c r="S6" s="110"/>
      <c r="AM6" s="110" t="s">
        <v>251</v>
      </c>
    </row>
    <row r="7" spans="1:43">
      <c r="A7" s="224" t="s">
        <v>140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4"/>
      <c r="AB7" s="224"/>
      <c r="AC7" s="224"/>
      <c r="AD7" s="224"/>
      <c r="AE7" s="224"/>
      <c r="AF7" s="224"/>
      <c r="AG7" s="224"/>
      <c r="AH7" s="224"/>
      <c r="AI7" s="224"/>
      <c r="AJ7" s="224"/>
      <c r="AK7" s="224"/>
      <c r="AL7" s="224"/>
      <c r="AM7" s="224"/>
    </row>
    <row r="8" spans="1:43">
      <c r="A8" s="224" t="s">
        <v>171</v>
      </c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224"/>
      <c r="AD8" s="224"/>
      <c r="AE8" s="224"/>
      <c r="AF8" s="224"/>
      <c r="AG8" s="224"/>
      <c r="AH8" s="224"/>
      <c r="AI8" s="224"/>
      <c r="AJ8" s="224"/>
      <c r="AK8" s="224"/>
      <c r="AL8" s="224"/>
      <c r="AM8" s="224"/>
    </row>
    <row r="9" spans="1:43">
      <c r="A9" s="224" t="s">
        <v>141</v>
      </c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24"/>
      <c r="AI9" s="224"/>
      <c r="AJ9" s="224"/>
      <c r="AK9" s="224"/>
      <c r="AL9" s="224"/>
      <c r="AM9" s="224"/>
    </row>
    <row r="10" spans="1:43" ht="12.75" customHeight="1">
      <c r="B10" s="113"/>
      <c r="AJ10" s="114"/>
      <c r="AK10" s="114"/>
      <c r="AL10" s="114"/>
    </row>
    <row r="11" spans="1:43">
      <c r="I11" s="114"/>
      <c r="J11" s="114"/>
      <c r="K11" s="114">
        <f t="shared" ref="K11:AE11" si="0">+J11+1</f>
        <v>1</v>
      </c>
      <c r="L11" s="114">
        <f t="shared" si="0"/>
        <v>2</v>
      </c>
      <c r="M11" s="114">
        <f t="shared" si="0"/>
        <v>3</v>
      </c>
      <c r="N11" s="114">
        <f t="shared" si="0"/>
        <v>4</v>
      </c>
      <c r="O11" s="114">
        <f t="shared" si="0"/>
        <v>5</v>
      </c>
      <c r="P11" s="114">
        <f t="shared" si="0"/>
        <v>6</v>
      </c>
      <c r="Q11" s="114">
        <f t="shared" si="0"/>
        <v>7</v>
      </c>
      <c r="R11" s="114">
        <f>+Q11+1</f>
        <v>8</v>
      </c>
      <c r="S11" s="114">
        <f t="shared" si="0"/>
        <v>9</v>
      </c>
      <c r="T11" s="114">
        <f t="shared" si="0"/>
        <v>10</v>
      </c>
      <c r="U11" s="114">
        <f t="shared" si="0"/>
        <v>11</v>
      </c>
      <c r="V11" s="114">
        <f t="shared" si="0"/>
        <v>12</v>
      </c>
      <c r="W11" s="114">
        <f t="shared" si="0"/>
        <v>13</v>
      </c>
      <c r="X11" s="114">
        <f t="shared" si="0"/>
        <v>14</v>
      </c>
      <c r="Y11" s="114">
        <f t="shared" si="0"/>
        <v>15</v>
      </c>
      <c r="Z11" s="114">
        <f t="shared" si="0"/>
        <v>16</v>
      </c>
      <c r="AA11" s="114">
        <f t="shared" si="0"/>
        <v>17</v>
      </c>
      <c r="AB11" s="114">
        <f t="shared" si="0"/>
        <v>18</v>
      </c>
      <c r="AC11" s="114">
        <f t="shared" si="0"/>
        <v>19</v>
      </c>
      <c r="AD11" s="114">
        <f t="shared" si="0"/>
        <v>20</v>
      </c>
      <c r="AE11" s="114">
        <f t="shared" si="0"/>
        <v>21</v>
      </c>
      <c r="AF11" s="114" t="s">
        <v>172</v>
      </c>
      <c r="AG11" s="114"/>
      <c r="AI11" s="114"/>
      <c r="AJ11" s="114" t="s">
        <v>30</v>
      </c>
      <c r="AK11" s="114" t="s">
        <v>31</v>
      </c>
      <c r="AL11" s="114" t="s">
        <v>85</v>
      </c>
      <c r="AM11" s="114" t="s">
        <v>31</v>
      </c>
      <c r="AN11" s="111"/>
    </row>
    <row r="12" spans="1:43">
      <c r="A12" s="114" t="s">
        <v>173</v>
      </c>
      <c r="B12" s="113" t="s">
        <v>174</v>
      </c>
      <c r="D12" s="114" t="s">
        <v>175</v>
      </c>
      <c r="E12" s="114" t="s">
        <v>176</v>
      </c>
      <c r="F12" s="114">
        <v>2018</v>
      </c>
      <c r="G12" s="114">
        <f>+F12+1</f>
        <v>2019</v>
      </c>
      <c r="H12" s="114">
        <f>+G12+1</f>
        <v>2020</v>
      </c>
      <c r="I12" s="114">
        <f>+H12+1</f>
        <v>2021</v>
      </c>
      <c r="J12" s="213">
        <v>2022</v>
      </c>
      <c r="K12" s="114" t="s">
        <v>178</v>
      </c>
      <c r="L12" s="114" t="s">
        <v>179</v>
      </c>
      <c r="M12" s="114" t="s">
        <v>180</v>
      </c>
      <c r="N12" s="114" t="s">
        <v>181</v>
      </c>
      <c r="O12" s="114" t="s">
        <v>182</v>
      </c>
      <c r="P12" s="114" t="s">
        <v>183</v>
      </c>
      <c r="Q12" s="114" t="s">
        <v>184</v>
      </c>
      <c r="R12" s="114" t="s">
        <v>185</v>
      </c>
      <c r="S12" s="114" t="s">
        <v>186</v>
      </c>
      <c r="T12" s="114" t="s">
        <v>187</v>
      </c>
      <c r="U12" s="114" t="s">
        <v>188</v>
      </c>
      <c r="V12" s="114" t="s">
        <v>189</v>
      </c>
      <c r="W12" s="114" t="s">
        <v>190</v>
      </c>
      <c r="X12" s="114" t="s">
        <v>191</v>
      </c>
      <c r="Y12" s="114" t="s">
        <v>192</v>
      </c>
      <c r="Z12" s="114" t="s">
        <v>193</v>
      </c>
      <c r="AA12" s="114" t="s">
        <v>194</v>
      </c>
      <c r="AB12" s="114" t="s">
        <v>195</v>
      </c>
      <c r="AC12" s="114" t="s">
        <v>196</v>
      </c>
      <c r="AD12" s="114" t="s">
        <v>197</v>
      </c>
      <c r="AE12" s="114" t="s">
        <v>198</v>
      </c>
      <c r="AF12" s="114" t="s">
        <v>25</v>
      </c>
      <c r="AG12" s="114" t="s">
        <v>199</v>
      </c>
      <c r="AH12" s="114" t="s">
        <v>200</v>
      </c>
      <c r="AI12" s="114"/>
      <c r="AJ12" s="114" t="s">
        <v>215</v>
      </c>
      <c r="AK12" s="114" t="s">
        <v>202</v>
      </c>
      <c r="AL12" s="114" t="s">
        <v>203</v>
      </c>
      <c r="AM12" s="114" t="s">
        <v>204</v>
      </c>
      <c r="AN12" s="111"/>
      <c r="AP12" s="150">
        <v>0.38900000000000001</v>
      </c>
      <c r="AQ12" s="109" t="s">
        <v>214</v>
      </c>
    </row>
    <row r="13" spans="1:43" ht="15">
      <c r="A13" s="112" t="s">
        <v>5</v>
      </c>
      <c r="B13" s="116" t="s">
        <v>205</v>
      </c>
      <c r="C13" s="112" t="s">
        <v>24</v>
      </c>
      <c r="D13" s="112" t="s">
        <v>20</v>
      </c>
      <c r="E13" s="112" t="s">
        <v>20</v>
      </c>
      <c r="F13" s="112" t="s">
        <v>20</v>
      </c>
      <c r="G13" s="112" t="s">
        <v>20</v>
      </c>
      <c r="H13" s="112" t="s">
        <v>20</v>
      </c>
      <c r="I13" s="112" t="s">
        <v>20</v>
      </c>
      <c r="J13" s="112" t="s">
        <v>20</v>
      </c>
      <c r="K13" s="112" t="s">
        <v>20</v>
      </c>
      <c r="L13" s="112" t="s">
        <v>20</v>
      </c>
      <c r="M13" s="112" t="s">
        <v>20</v>
      </c>
      <c r="N13" s="112" t="s">
        <v>20</v>
      </c>
      <c r="O13" s="112" t="s">
        <v>20</v>
      </c>
      <c r="P13" s="112" t="s">
        <v>20</v>
      </c>
      <c r="Q13" s="112" t="s">
        <v>20</v>
      </c>
      <c r="R13" s="112" t="s">
        <v>20</v>
      </c>
      <c r="S13" s="112" t="s">
        <v>20</v>
      </c>
      <c r="T13" s="112" t="s">
        <v>20</v>
      </c>
      <c r="U13" s="112" t="s">
        <v>20</v>
      </c>
      <c r="V13" s="112" t="s">
        <v>20</v>
      </c>
      <c r="W13" s="112" t="s">
        <v>20</v>
      </c>
      <c r="X13" s="112" t="s">
        <v>20</v>
      </c>
      <c r="Y13" s="112" t="s">
        <v>20</v>
      </c>
      <c r="Z13" s="112" t="s">
        <v>20</v>
      </c>
      <c r="AA13" s="112" t="s">
        <v>20</v>
      </c>
      <c r="AB13" s="112" t="s">
        <v>20</v>
      </c>
      <c r="AC13" s="112" t="s">
        <v>20</v>
      </c>
      <c r="AD13" s="112" t="s">
        <v>20</v>
      </c>
      <c r="AE13" s="112" t="s">
        <v>20</v>
      </c>
      <c r="AF13" s="112" t="s">
        <v>0</v>
      </c>
      <c r="AG13" s="112" t="s">
        <v>27</v>
      </c>
      <c r="AH13" s="112" t="s">
        <v>0</v>
      </c>
      <c r="AI13" s="112" t="s">
        <v>29</v>
      </c>
      <c r="AJ13" s="139" t="s">
        <v>217</v>
      </c>
      <c r="AK13" s="112" t="s">
        <v>206</v>
      </c>
      <c r="AL13" s="112" t="s">
        <v>152</v>
      </c>
      <c r="AM13" s="112" t="s">
        <v>207</v>
      </c>
      <c r="AN13" s="111"/>
      <c r="AP13" s="150">
        <v>0.2495</v>
      </c>
      <c r="AQ13" s="109" t="s">
        <v>216</v>
      </c>
    </row>
    <row r="14" spans="1:43">
      <c r="A14" s="112"/>
      <c r="B14" s="118">
        <v>-1</v>
      </c>
      <c r="C14" s="118">
        <f>+B14-1</f>
        <v>-2</v>
      </c>
      <c r="D14" s="118">
        <f>C14-1</f>
        <v>-3</v>
      </c>
      <c r="E14" s="118">
        <f>D14-1</f>
        <v>-4</v>
      </c>
      <c r="F14" s="118">
        <f>+D14-1</f>
        <v>-4</v>
      </c>
      <c r="G14" s="118">
        <f t="shared" ref="G14:AH14" si="1">+F14-1</f>
        <v>-5</v>
      </c>
      <c r="H14" s="118">
        <f t="shared" si="1"/>
        <v>-6</v>
      </c>
      <c r="I14" s="118">
        <f t="shared" si="1"/>
        <v>-7</v>
      </c>
      <c r="J14" s="118">
        <f t="shared" si="1"/>
        <v>-8</v>
      </c>
      <c r="K14" s="118">
        <f t="shared" si="1"/>
        <v>-9</v>
      </c>
      <c r="L14" s="118">
        <f t="shared" si="1"/>
        <v>-10</v>
      </c>
      <c r="M14" s="118">
        <f t="shared" si="1"/>
        <v>-11</v>
      </c>
      <c r="N14" s="118">
        <f t="shared" si="1"/>
        <v>-12</v>
      </c>
      <c r="O14" s="118">
        <f t="shared" si="1"/>
        <v>-13</v>
      </c>
      <c r="P14" s="118">
        <f t="shared" si="1"/>
        <v>-14</v>
      </c>
      <c r="Q14" s="118">
        <f t="shared" si="1"/>
        <v>-15</v>
      </c>
      <c r="R14" s="118">
        <f>+Q14-1</f>
        <v>-16</v>
      </c>
      <c r="S14" s="118">
        <f t="shared" si="1"/>
        <v>-17</v>
      </c>
      <c r="T14" s="118">
        <f t="shared" si="1"/>
        <v>-18</v>
      </c>
      <c r="U14" s="118">
        <f t="shared" si="1"/>
        <v>-19</v>
      </c>
      <c r="V14" s="118">
        <f t="shared" si="1"/>
        <v>-20</v>
      </c>
      <c r="W14" s="118">
        <f t="shared" si="1"/>
        <v>-21</v>
      </c>
      <c r="X14" s="118">
        <f t="shared" si="1"/>
        <v>-22</v>
      </c>
      <c r="Y14" s="118">
        <f t="shared" si="1"/>
        <v>-23</v>
      </c>
      <c r="Z14" s="118">
        <f t="shared" si="1"/>
        <v>-24</v>
      </c>
      <c r="AA14" s="118">
        <f t="shared" si="1"/>
        <v>-25</v>
      </c>
      <c r="AB14" s="118">
        <f t="shared" si="1"/>
        <v>-26</v>
      </c>
      <c r="AC14" s="118">
        <f t="shared" si="1"/>
        <v>-27</v>
      </c>
      <c r="AD14" s="118">
        <f t="shared" si="1"/>
        <v>-28</v>
      </c>
      <c r="AE14" s="118">
        <f t="shared" si="1"/>
        <v>-29</v>
      </c>
      <c r="AF14" s="118">
        <f>H14-1</f>
        <v>-7</v>
      </c>
      <c r="AG14" s="118">
        <f t="shared" si="1"/>
        <v>-8</v>
      </c>
      <c r="AH14" s="118">
        <f t="shared" si="1"/>
        <v>-9</v>
      </c>
      <c r="AI14" s="118">
        <f>+AH14-1</f>
        <v>-10</v>
      </c>
      <c r="AJ14" s="118">
        <f>+AI14-1</f>
        <v>-11</v>
      </c>
      <c r="AK14" s="118">
        <f>+AJ14-1</f>
        <v>-12</v>
      </c>
      <c r="AL14" s="118">
        <f>+AK14-1</f>
        <v>-13</v>
      </c>
      <c r="AM14" s="118">
        <f>+AL14-1</f>
        <v>-14</v>
      </c>
      <c r="AN14" s="111"/>
    </row>
    <row r="15" spans="1:43">
      <c r="A15" s="112"/>
      <c r="B15" s="119"/>
      <c r="C15" s="114"/>
      <c r="D15" s="115" t="s">
        <v>142</v>
      </c>
      <c r="E15" s="115" t="s">
        <v>142</v>
      </c>
      <c r="F15" s="115" t="s">
        <v>142</v>
      </c>
      <c r="G15" s="115" t="s">
        <v>142</v>
      </c>
      <c r="H15" s="115" t="s">
        <v>142</v>
      </c>
      <c r="I15" s="115" t="s">
        <v>142</v>
      </c>
      <c r="J15" s="115" t="s">
        <v>142</v>
      </c>
      <c r="K15" s="115" t="s">
        <v>142</v>
      </c>
      <c r="L15" s="115" t="s">
        <v>142</v>
      </c>
      <c r="M15" s="115" t="s">
        <v>142</v>
      </c>
      <c r="N15" s="115" t="s">
        <v>142</v>
      </c>
      <c r="O15" s="115" t="s">
        <v>142</v>
      </c>
      <c r="P15" s="115" t="s">
        <v>142</v>
      </c>
      <c r="Q15" s="115" t="s">
        <v>142</v>
      </c>
      <c r="R15" s="115" t="s">
        <v>142</v>
      </c>
      <c r="S15" s="115" t="s">
        <v>142</v>
      </c>
      <c r="T15" s="115" t="s">
        <v>142</v>
      </c>
      <c r="U15" s="115" t="s">
        <v>142</v>
      </c>
      <c r="V15" s="115" t="s">
        <v>142</v>
      </c>
      <c r="W15" s="115" t="s">
        <v>142</v>
      </c>
      <c r="X15" s="115" t="s">
        <v>142</v>
      </c>
      <c r="Y15" s="115" t="s">
        <v>142</v>
      </c>
      <c r="Z15" s="115" t="s">
        <v>142</v>
      </c>
      <c r="AA15" s="115" t="s">
        <v>142</v>
      </c>
      <c r="AB15" s="115" t="s">
        <v>142</v>
      </c>
      <c r="AC15" s="115" t="s">
        <v>142</v>
      </c>
      <c r="AD15" s="115" t="s">
        <v>142</v>
      </c>
      <c r="AE15" s="115" t="s">
        <v>142</v>
      </c>
      <c r="AF15" s="115" t="s">
        <v>142</v>
      </c>
      <c r="AG15" s="114" t="s">
        <v>142</v>
      </c>
      <c r="AH15" s="115" t="s">
        <v>142</v>
      </c>
      <c r="AI15" s="115" t="s">
        <v>142</v>
      </c>
      <c r="AJ15" s="115" t="s">
        <v>142</v>
      </c>
      <c r="AK15" s="115" t="s">
        <v>142</v>
      </c>
      <c r="AL15" s="115" t="s">
        <v>142</v>
      </c>
      <c r="AM15" s="115" t="s">
        <v>142</v>
      </c>
      <c r="AN15" s="111"/>
    </row>
    <row r="16" spans="1:43">
      <c r="A16" s="112"/>
      <c r="B16" s="120"/>
      <c r="C16" s="121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N16" s="111"/>
    </row>
    <row r="17" spans="1:47" ht="12.75">
      <c r="A17" s="107">
        <v>1</v>
      </c>
      <c r="B17" s="109" t="s">
        <v>234</v>
      </c>
      <c r="C17" s="121"/>
      <c r="D17" s="123" t="e">
        <f>SUM(#REF!)-SUM(#REF!)+SUM(#REF!)-SUM(#REF!)+SUM(#REF!)-SUM(#REF!)+SUM(#REF!)-SUM(#REF!)</f>
        <v>#REF!</v>
      </c>
      <c r="E17" s="123" t="e">
        <f>SUM(#REF!)-SUM(#REF!)+SUM(#REF!)-SUM(#REF!)+SUM(#REF!)-SUM(#REF!)+SUM(#REF!)-SUM(#REF!)</f>
        <v>#REF!</v>
      </c>
      <c r="F17" s="123" t="e">
        <f>'Plant &amp; Book Depr Form 2.0'!#REF!+'Plant &amp; Book Depr Form 2.0'!#REF!+'Plant &amp; Book Depr Form 2.0'!#REF!+'Plant &amp; Book Depr Form 2.0'!#REF!</f>
        <v>#REF!</v>
      </c>
      <c r="G17" s="123" t="e">
        <f>+'Plant &amp; Book Depr Form 2.0'!#REF!+'Plant &amp; Book Depr Form 2.0'!#REF!+'Plant &amp; Book Depr Form 2.0'!#REF!+'Plant &amp; Book Depr Form 2.0'!#REF!+'Plant &amp; Book Depr Form 2.0'!#REF!</f>
        <v>#REF!</v>
      </c>
      <c r="H17" s="123" t="e">
        <f>'Plant &amp; Book Depr Form 2.0'!#REF!+'Plant &amp; Book Depr Form 2.0'!#REF!+'Plant &amp; Book Depr Form 2.0'!#REF!+'Plant &amp; Book Depr Form 2.0'!#REF!+'Plant &amp; Book Depr Form 2.0'!#REF!</f>
        <v>#REF!</v>
      </c>
      <c r="I17" s="123" t="e">
        <f>+'Plant &amp; Book Depr Form 2.0'!#REF!+'Plant &amp; Book Depr Form 2.0'!#REF!+'Plant &amp; Book Depr Form 2.0'!#REF!+'Plant &amp; Book Depr Form 2.0'!#REF!+'Plant &amp; Book Depr Form 2.0'!#REF!</f>
        <v>#REF!</v>
      </c>
      <c r="J17" s="123">
        <f>'Plant &amp; Book Depr Form 2.0'!H21+'Plant &amp; Book Depr Form 2.0'!H22+'Plant &amp; Book Depr Form 2.0'!H24+'Plant &amp; Book Depr Form 2.0'!H25</f>
        <v>1023143.7799999998</v>
      </c>
      <c r="K17" s="123" t="e">
        <f>#REF!+#REF!</f>
        <v>#REF!</v>
      </c>
      <c r="L17" s="123" t="e">
        <f>#REF!+#REF!</f>
        <v>#REF!</v>
      </c>
      <c r="M17" s="123" t="e">
        <f>#REF!+#REF!</f>
        <v>#REF!</v>
      </c>
      <c r="N17" s="123" t="e">
        <f>#REF!+#REF!</f>
        <v>#REF!</v>
      </c>
      <c r="O17" s="123" t="e">
        <f>#REF!+#REF!</f>
        <v>#REF!</v>
      </c>
      <c r="P17" s="123" t="e">
        <f>#REF!+#REF!</f>
        <v>#REF!</v>
      </c>
      <c r="Q17" s="123" t="e">
        <f>#REF!+#REF!</f>
        <v>#REF!</v>
      </c>
      <c r="R17" s="123" t="e">
        <f>#REF!+#REF!</f>
        <v>#REF!</v>
      </c>
      <c r="S17" s="123" t="e">
        <f>#REF!+#REF!</f>
        <v>#REF!</v>
      </c>
      <c r="T17" s="123" t="e">
        <f>#REF!+#REF!</f>
        <v>#REF!</v>
      </c>
      <c r="U17" s="123" t="e">
        <f>#REF!+#REF!</f>
        <v>#REF!</v>
      </c>
      <c r="V17" s="123" t="e">
        <f>#REF!+#REF!</f>
        <v>#REF!</v>
      </c>
      <c r="W17" s="123" t="e">
        <f>#REF!+#REF!</f>
        <v>#REF!</v>
      </c>
      <c r="X17" s="123" t="e">
        <f>#REF!+#REF!</f>
        <v>#REF!</v>
      </c>
      <c r="Y17" s="123" t="e">
        <f>#REF!+#REF!</f>
        <v>#REF!</v>
      </c>
      <c r="Z17" s="123" t="e">
        <f>#REF!+#REF!</f>
        <v>#REF!</v>
      </c>
      <c r="AA17" s="123" t="e">
        <f>#REF!+#REF!</f>
        <v>#REF!</v>
      </c>
      <c r="AB17" s="123" t="e">
        <f>#REF!+#REF!</f>
        <v>#REF!</v>
      </c>
      <c r="AC17" s="123" t="e">
        <f>#REF!+#REF!</f>
        <v>#REF!</v>
      </c>
      <c r="AD17" s="123" t="e">
        <f>#REF!+#REF!</f>
        <v>#REF!</v>
      </c>
      <c r="AE17" s="123" t="e">
        <f>#REF!+#REF!</f>
        <v>#REF!</v>
      </c>
      <c r="AH17" s="124"/>
      <c r="AN17" s="111"/>
    </row>
    <row r="18" spans="1:47" ht="13.5" customHeight="1" thickBot="1">
      <c r="A18" s="112"/>
      <c r="B18" s="120"/>
      <c r="C18" s="121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  <c r="AC18" s="225"/>
      <c r="AD18" s="225"/>
      <c r="AE18" s="225"/>
      <c r="AF18" s="225"/>
      <c r="AG18" s="225"/>
      <c r="AN18" s="111" t="s">
        <v>209</v>
      </c>
    </row>
    <row r="19" spans="1:47" ht="13.5" customHeight="1">
      <c r="A19" s="107">
        <f>A17+1</f>
        <v>2</v>
      </c>
      <c r="B19" s="122" t="s">
        <v>219</v>
      </c>
      <c r="C19" s="121"/>
      <c r="D19" s="125">
        <f t="shared" ref="D19:J19" si="2">D58+D57</f>
        <v>0.52005000000000001</v>
      </c>
      <c r="E19" s="125">
        <f t="shared" si="2"/>
        <v>0.52005000000000001</v>
      </c>
      <c r="F19" s="125">
        <f t="shared" si="2"/>
        <v>4.0099999999999997E-2</v>
      </c>
      <c r="G19" s="125">
        <f t="shared" si="2"/>
        <v>4.0099999999999997E-2</v>
      </c>
      <c r="H19" s="125">
        <f t="shared" si="2"/>
        <v>4.0099999999999997E-2</v>
      </c>
      <c r="I19" s="125">
        <f t="shared" si="2"/>
        <v>4.0099999999999997E-2</v>
      </c>
      <c r="J19" s="125">
        <f t="shared" si="2"/>
        <v>4.0099999999999997E-2</v>
      </c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N19" s="111"/>
    </row>
    <row r="20" spans="1:47" ht="13.5" customHeight="1" thickBot="1">
      <c r="B20" s="122"/>
      <c r="C20" s="121"/>
      <c r="D20" s="125"/>
      <c r="E20" s="125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N20" s="111"/>
    </row>
    <row r="21" spans="1:47">
      <c r="A21" s="107">
        <f>A19+1</f>
        <v>3</v>
      </c>
      <c r="B21" s="126">
        <v>3.7500000000000089E-2</v>
      </c>
      <c r="C21" s="107">
        <v>1</v>
      </c>
      <c r="D21" s="127">
        <v>212982</v>
      </c>
      <c r="E21" s="127">
        <v>7358</v>
      </c>
      <c r="AF21" s="127">
        <f>SUM(D21:G21)</f>
        <v>220340</v>
      </c>
      <c r="AG21" s="127">
        <v>4035</v>
      </c>
      <c r="AH21" s="127">
        <v>3687.2073875000001</v>
      </c>
      <c r="AI21" s="124">
        <f>AF21+AG21-AH21</f>
        <v>220687.79261249999</v>
      </c>
      <c r="AJ21" s="127">
        <f>ROUND($AP$12*AI21,0)</f>
        <v>85848</v>
      </c>
      <c r="AK21" s="140">
        <v>-28997.780772129401</v>
      </c>
      <c r="AL21" s="127">
        <v>0</v>
      </c>
      <c r="AM21" s="127">
        <f>+AJ21+AK21</f>
        <v>56850.219227870599</v>
      </c>
      <c r="AN21" s="111" t="str">
        <f t="shared" ref="AN21:AN43" si="3">IF(AM21&gt;0,"DTL","DTA")</f>
        <v>DTL</v>
      </c>
      <c r="AO21" s="127"/>
      <c r="AP21" s="128" t="s">
        <v>210</v>
      </c>
      <c r="AQ21" s="129" t="s">
        <v>211</v>
      </c>
      <c r="AR21" s="129"/>
      <c r="AS21" s="130"/>
      <c r="AT21" s="126"/>
      <c r="AU21" s="131"/>
    </row>
    <row r="22" spans="1:47" ht="12" thickBot="1">
      <c r="A22" s="107">
        <f>A21+1</f>
        <v>4</v>
      </c>
      <c r="B22" s="126">
        <v>7.2190000000000004E-2</v>
      </c>
      <c r="C22" s="107">
        <f>+C21+1</f>
        <v>2</v>
      </c>
      <c r="D22" s="127">
        <v>13715</v>
      </c>
      <c r="E22" s="127">
        <v>474</v>
      </c>
      <c r="F22" s="127">
        <v>22528</v>
      </c>
      <c r="AF22" s="127">
        <f>SUM(D22:G22)</f>
        <v>36717</v>
      </c>
      <c r="AG22" s="127">
        <v>1074.8200000000002</v>
      </c>
      <c r="AH22" s="127">
        <v>13613</v>
      </c>
      <c r="AI22" s="124">
        <f>AF22+AG22-AH22</f>
        <v>24178.82</v>
      </c>
      <c r="AJ22" s="127">
        <f>ROUND($AP$13*AI22,0)</f>
        <v>6033</v>
      </c>
      <c r="AK22" s="141">
        <v>299.52450332438889</v>
      </c>
      <c r="AL22" s="127">
        <v>0</v>
      </c>
      <c r="AM22" s="127">
        <f>AM21+AJ22+AK22+AL22</f>
        <v>63182.743731194991</v>
      </c>
      <c r="AN22" s="111" t="str">
        <f t="shared" si="3"/>
        <v>DTL</v>
      </c>
      <c r="AP22" s="132"/>
      <c r="AQ22" s="133" t="s">
        <v>212</v>
      </c>
      <c r="AR22" s="133"/>
      <c r="AS22" s="134"/>
      <c r="AT22" s="126"/>
      <c r="AU22" s="131"/>
    </row>
    <row r="23" spans="1:47">
      <c r="A23" s="107">
        <f t="shared" ref="A23:A47" si="4">A22+1</f>
        <v>5</v>
      </c>
      <c r="B23" s="126">
        <v>6.6769999999999996E-2</v>
      </c>
      <c r="C23" s="107">
        <f t="shared" ref="C23:C42" si="5">+C22+1</f>
        <v>3</v>
      </c>
      <c r="D23" s="127">
        <v>12685</v>
      </c>
      <c r="E23" s="127">
        <v>438</v>
      </c>
      <c r="F23" s="127">
        <v>20515</v>
      </c>
      <c r="G23" s="127">
        <v>39295</v>
      </c>
      <c r="AF23" s="127">
        <f>SUM(D23:G23)</f>
        <v>72933</v>
      </c>
      <c r="AG23" s="127">
        <v>3368.4500000000003</v>
      </c>
      <c r="AH23" s="127">
        <v>21855</v>
      </c>
      <c r="AI23" s="124">
        <f>AF23+AG23-AH23</f>
        <v>54446.45</v>
      </c>
      <c r="AJ23" s="127">
        <f t="shared" ref="AJ23:AJ43" si="6">ROUND($AP$13*AI23,0)</f>
        <v>13584</v>
      </c>
      <c r="AK23" s="141">
        <v>63.456855278752194</v>
      </c>
      <c r="AL23" s="127">
        <v>0</v>
      </c>
      <c r="AM23" s="127">
        <f>AM22+AJ23+AK23+AL23</f>
        <v>76830.200586473744</v>
      </c>
      <c r="AN23" s="111" t="str">
        <f t="shared" si="3"/>
        <v>DTL</v>
      </c>
      <c r="AT23" s="126"/>
      <c r="AU23" s="131"/>
    </row>
    <row r="24" spans="1:47">
      <c r="A24" s="107">
        <f t="shared" si="4"/>
        <v>6</v>
      </c>
      <c r="B24" s="126">
        <v>6.1769999999999999E-2</v>
      </c>
      <c r="C24" s="107">
        <f t="shared" si="5"/>
        <v>4</v>
      </c>
      <c r="D24" s="127">
        <v>11735</v>
      </c>
      <c r="E24" s="127">
        <v>405</v>
      </c>
      <c r="F24" s="127">
        <v>18974</v>
      </c>
      <c r="G24" s="127">
        <v>35783</v>
      </c>
      <c r="H24" s="127">
        <v>345900</v>
      </c>
      <c r="AF24" s="127">
        <f>SUM(D24:H24)</f>
        <v>412797</v>
      </c>
      <c r="AG24" s="127">
        <v>30000.722609561781</v>
      </c>
      <c r="AH24" s="127">
        <v>74904</v>
      </c>
      <c r="AI24" s="124">
        <f t="shared" ref="AI24:AI44" si="7">AF24+AG24-AH24</f>
        <v>367893.72260956175</v>
      </c>
      <c r="AJ24" s="127">
        <f t="shared" si="6"/>
        <v>91789</v>
      </c>
      <c r="AK24" s="127">
        <v>0</v>
      </c>
      <c r="AL24" s="127">
        <v>0</v>
      </c>
      <c r="AM24" s="127">
        <f>AM23+AJ24+AK24+AL24</f>
        <v>168619.20058647374</v>
      </c>
      <c r="AN24" s="111" t="str">
        <f t="shared" si="3"/>
        <v>DTL</v>
      </c>
      <c r="AT24" s="126"/>
      <c r="AU24" s="131"/>
    </row>
    <row r="25" spans="1:47">
      <c r="A25" s="107">
        <f t="shared" si="4"/>
        <v>7</v>
      </c>
      <c r="B25" s="126">
        <v>5.713E-2</v>
      </c>
      <c r="C25" s="107">
        <f t="shared" si="5"/>
        <v>5</v>
      </c>
      <c r="D25" s="127">
        <v>10854</v>
      </c>
      <c r="E25" s="127">
        <v>375</v>
      </c>
      <c r="F25" s="127">
        <v>17553</v>
      </c>
      <c r="G25" s="127">
        <v>33097</v>
      </c>
      <c r="H25" s="127">
        <v>314986</v>
      </c>
      <c r="I25" s="127">
        <v>74652</v>
      </c>
      <c r="AF25" s="127">
        <f>SUM(D25:I25)</f>
        <v>451517</v>
      </c>
      <c r="AG25" s="127">
        <v>6416.5667795105392</v>
      </c>
      <c r="AH25" s="127">
        <v>102074</v>
      </c>
      <c r="AI25" s="124">
        <f t="shared" si="7"/>
        <v>355859.56677951053</v>
      </c>
      <c r="AJ25" s="127">
        <f t="shared" si="6"/>
        <v>88787</v>
      </c>
      <c r="AK25" s="127">
        <v>0</v>
      </c>
      <c r="AL25" s="140">
        <v>-75291.191617974808</v>
      </c>
      <c r="AM25" s="127">
        <f>AM24+AJ25+AK25+AL25</f>
        <v>182115.00896849894</v>
      </c>
      <c r="AN25" s="111" t="str">
        <f t="shared" si="3"/>
        <v>DTL</v>
      </c>
      <c r="AT25" s="126"/>
      <c r="AU25" s="131"/>
    </row>
    <row r="26" spans="1:47">
      <c r="A26" s="107">
        <f t="shared" si="4"/>
        <v>8</v>
      </c>
      <c r="B26" s="126">
        <v>5.2850000000000001E-2</v>
      </c>
      <c r="C26" s="107">
        <f t="shared" si="5"/>
        <v>6</v>
      </c>
      <c r="D26" s="127">
        <v>10041</v>
      </c>
      <c r="E26" s="127">
        <v>347</v>
      </c>
      <c r="F26" s="127">
        <v>16235</v>
      </c>
      <c r="G26" s="127">
        <v>30618</v>
      </c>
      <c r="H26" s="127">
        <v>291337</v>
      </c>
      <c r="I26" s="127">
        <v>67981</v>
      </c>
      <c r="J26" s="127">
        <f>ROUND((J$17)*J$19,0)+ROUND((J$17-(J$17*J$19))*$B21,0)</f>
        <v>77857</v>
      </c>
      <c r="AF26" s="127">
        <f>SUM(D26:J26)</f>
        <v>494416</v>
      </c>
      <c r="AG26" s="127">
        <f>'Plant &amp; Book Depr Form 2.0'!H46+'Plant &amp; Book Depr Form 2.0'!H47+'Plant &amp; Book Depr Form 2.0'!H49+'Plant &amp; Book Depr Form 2.0'!H50+'Plant &amp; Book Depr Form 2.0'!H51</f>
        <v>6417</v>
      </c>
      <c r="AH26" s="127">
        <f>+'202201 Bk Depr Form 2.1'!P54+'202202 Bk Depr Form 2.2'!P54+'202203 Bk Depr Form 2.3'!P54+'202204 Bk Depr Form 2.4'!P54+'202205 Bk Depr Form 2.5'!P54+'202206 Bk Depr Form 2.6'!P54+'202207 Bk Depr Form 2.7'!P54+'202208 Bk Depr Form 2.8'!P54+'202209 Bk Depr Form 2.9'!P54+'202210 Bk Depr Form 2.10'!P54+'202211 Bk Depr Form 2.11'!P54+'202212 Bk Depr Form 2.12'!P54</f>
        <v>129992.47619020403</v>
      </c>
      <c r="AI26" s="124">
        <f t="shared" si="7"/>
        <v>370840.52380979597</v>
      </c>
      <c r="AJ26" s="127">
        <f t="shared" si="6"/>
        <v>92525</v>
      </c>
      <c r="AK26" s="127">
        <v>0</v>
      </c>
      <c r="AL26" s="127">
        <v>0</v>
      </c>
      <c r="AM26" s="127">
        <f t="shared" ref="AM26:AM42" si="8">AM25+AJ26+AK26</f>
        <v>274640.00896849891</v>
      </c>
      <c r="AN26" s="111" t="str">
        <f t="shared" si="3"/>
        <v>DTL</v>
      </c>
      <c r="AT26" s="126"/>
      <c r="AU26" s="131"/>
    </row>
    <row r="27" spans="1:47">
      <c r="A27" s="107">
        <f t="shared" si="4"/>
        <v>9</v>
      </c>
      <c r="B27" s="126">
        <v>4.888E-2</v>
      </c>
      <c r="C27" s="107">
        <f t="shared" si="5"/>
        <v>7</v>
      </c>
      <c r="D27" s="127">
        <v>9286</v>
      </c>
      <c r="E27" s="127">
        <v>321</v>
      </c>
      <c r="F27" s="127">
        <v>15019</v>
      </c>
      <c r="G27" s="127">
        <v>28318</v>
      </c>
      <c r="H27" s="127">
        <v>269520</v>
      </c>
      <c r="I27" s="127">
        <v>62877</v>
      </c>
      <c r="J27" s="127">
        <f t="shared" ref="J27:J46" si="9">ROUND((J$17-(J$17*J$19))*$B22,0)</f>
        <v>70899</v>
      </c>
      <c r="AF27" s="127">
        <f t="shared" ref="AF27:AF41" si="10">SUM(D27:J27)</f>
        <v>456240</v>
      </c>
      <c r="AG27" s="127"/>
      <c r="AH27" s="127">
        <f t="shared" ref="AH27:AH45" si="11">AH26</f>
        <v>129992.47619020403</v>
      </c>
      <c r="AI27" s="124">
        <f t="shared" si="7"/>
        <v>326247.52380979597</v>
      </c>
      <c r="AJ27" s="127">
        <f t="shared" si="6"/>
        <v>81399</v>
      </c>
      <c r="AK27" s="127">
        <v>0</v>
      </c>
      <c r="AL27" s="127">
        <v>0</v>
      </c>
      <c r="AM27" s="127">
        <f t="shared" si="8"/>
        <v>356039.00896849891</v>
      </c>
      <c r="AN27" s="111" t="str">
        <f t="shared" si="3"/>
        <v>DTL</v>
      </c>
      <c r="AT27" s="126"/>
      <c r="AU27" s="131"/>
    </row>
    <row r="28" spans="1:47">
      <c r="A28" s="107">
        <f t="shared" si="4"/>
        <v>10</v>
      </c>
      <c r="B28" s="126">
        <v>4.5220000000000003E-2</v>
      </c>
      <c r="C28" s="107">
        <f t="shared" si="5"/>
        <v>8</v>
      </c>
      <c r="D28" s="127">
        <v>8591</v>
      </c>
      <c r="E28" s="127">
        <v>297</v>
      </c>
      <c r="F28" s="127">
        <v>13890</v>
      </c>
      <c r="G28" s="127">
        <v>26197</v>
      </c>
      <c r="H28" s="127">
        <v>249275</v>
      </c>
      <c r="I28" s="127">
        <v>58168</v>
      </c>
      <c r="J28" s="127">
        <f t="shared" si="9"/>
        <v>65576</v>
      </c>
      <c r="AF28" s="127">
        <f t="shared" si="10"/>
        <v>421994</v>
      </c>
      <c r="AG28" s="127"/>
      <c r="AH28" s="127">
        <f t="shared" si="11"/>
        <v>129992.47619020403</v>
      </c>
      <c r="AI28" s="124">
        <f t="shared" si="7"/>
        <v>292001.52380979597</v>
      </c>
      <c r="AJ28" s="127">
        <f t="shared" si="6"/>
        <v>72854</v>
      </c>
      <c r="AK28" s="127">
        <v>0</v>
      </c>
      <c r="AL28" s="127">
        <v>0</v>
      </c>
      <c r="AM28" s="127">
        <f t="shared" si="8"/>
        <v>428893.00896849891</v>
      </c>
      <c r="AN28" s="111" t="str">
        <f t="shared" si="3"/>
        <v>DTL</v>
      </c>
      <c r="AT28" s="126"/>
      <c r="AU28" s="131"/>
    </row>
    <row r="29" spans="1:47">
      <c r="A29" s="107">
        <f t="shared" si="4"/>
        <v>11</v>
      </c>
      <c r="B29" s="126">
        <v>4.462E-2</v>
      </c>
      <c r="C29" s="107">
        <f t="shared" si="5"/>
        <v>9</v>
      </c>
      <c r="D29" s="127">
        <v>8477</v>
      </c>
      <c r="E29" s="127">
        <v>293</v>
      </c>
      <c r="F29" s="127">
        <v>12850</v>
      </c>
      <c r="G29" s="127">
        <v>24229</v>
      </c>
      <c r="H29" s="127">
        <v>230600</v>
      </c>
      <c r="I29" s="127">
        <v>53799</v>
      </c>
      <c r="J29" s="127">
        <f t="shared" si="9"/>
        <v>60665</v>
      </c>
      <c r="AF29" s="127">
        <f t="shared" si="10"/>
        <v>390913</v>
      </c>
      <c r="AG29" s="127"/>
      <c r="AH29" s="127">
        <f t="shared" si="11"/>
        <v>129992.47619020403</v>
      </c>
      <c r="AI29" s="124">
        <f t="shared" si="7"/>
        <v>260920.52380979597</v>
      </c>
      <c r="AJ29" s="127">
        <f t="shared" si="6"/>
        <v>65100</v>
      </c>
      <c r="AK29" s="127">
        <v>0</v>
      </c>
      <c r="AL29" s="127">
        <v>0</v>
      </c>
      <c r="AM29" s="127">
        <f t="shared" si="8"/>
        <v>493993.00896849891</v>
      </c>
      <c r="AN29" s="111" t="str">
        <f t="shared" si="3"/>
        <v>DTL</v>
      </c>
      <c r="AT29" s="126"/>
      <c r="AU29" s="131"/>
    </row>
    <row r="30" spans="1:47">
      <c r="A30" s="107">
        <f t="shared" si="4"/>
        <v>12</v>
      </c>
      <c r="B30" s="126">
        <v>4.4609999999999997E-2</v>
      </c>
      <c r="C30" s="107">
        <f t="shared" si="5"/>
        <v>10</v>
      </c>
      <c r="D30" s="127">
        <v>8475</v>
      </c>
      <c r="E30" s="127">
        <v>293</v>
      </c>
      <c r="F30" s="127">
        <v>12680</v>
      </c>
      <c r="G30" s="127">
        <v>22415</v>
      </c>
      <c r="H30" s="127">
        <v>213277</v>
      </c>
      <c r="I30" s="127">
        <v>49768</v>
      </c>
      <c r="J30" s="127">
        <f t="shared" si="9"/>
        <v>56108</v>
      </c>
      <c r="K30" s="127"/>
      <c r="AF30" s="127">
        <f t="shared" si="10"/>
        <v>363016</v>
      </c>
      <c r="AG30" s="127"/>
      <c r="AH30" s="127">
        <f t="shared" si="11"/>
        <v>129992.47619020403</v>
      </c>
      <c r="AI30" s="124">
        <f t="shared" si="7"/>
        <v>233023.52380979597</v>
      </c>
      <c r="AJ30" s="127">
        <f t="shared" si="6"/>
        <v>58139</v>
      </c>
      <c r="AK30" s="127">
        <v>0</v>
      </c>
      <c r="AL30" s="127">
        <v>0</v>
      </c>
      <c r="AM30" s="127">
        <f t="shared" si="8"/>
        <v>552132.00896849891</v>
      </c>
      <c r="AN30" s="111" t="str">
        <f t="shared" si="3"/>
        <v>DTL</v>
      </c>
      <c r="AT30" s="126"/>
      <c r="AU30" s="131"/>
    </row>
    <row r="31" spans="1:47">
      <c r="A31" s="107">
        <f t="shared" si="4"/>
        <v>13</v>
      </c>
      <c r="B31" s="126">
        <v>4.462E-2</v>
      </c>
      <c r="C31" s="107">
        <f t="shared" si="5"/>
        <v>11</v>
      </c>
      <c r="D31" s="127">
        <v>8477</v>
      </c>
      <c r="E31" s="127">
        <v>293</v>
      </c>
      <c r="F31" s="127">
        <v>12677</v>
      </c>
      <c r="G31" s="127">
        <v>22117</v>
      </c>
      <c r="H31" s="127">
        <v>197308</v>
      </c>
      <c r="I31" s="127">
        <v>46030</v>
      </c>
      <c r="J31" s="127">
        <f t="shared" si="9"/>
        <v>51905</v>
      </c>
      <c r="K31" s="127"/>
      <c r="L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>
        <f t="shared" si="10"/>
        <v>338807</v>
      </c>
      <c r="AG31" s="127"/>
      <c r="AH31" s="127">
        <f t="shared" si="11"/>
        <v>129992.47619020403</v>
      </c>
      <c r="AI31" s="124">
        <f t="shared" si="7"/>
        <v>208814.52380979597</v>
      </c>
      <c r="AJ31" s="127">
        <f t="shared" si="6"/>
        <v>52099</v>
      </c>
      <c r="AK31" s="127">
        <v>0</v>
      </c>
      <c r="AL31" s="127">
        <v>0</v>
      </c>
      <c r="AM31" s="127">
        <f t="shared" si="8"/>
        <v>604231.00896849891</v>
      </c>
      <c r="AN31" s="111" t="str">
        <f t="shared" si="3"/>
        <v>DTL</v>
      </c>
      <c r="AT31" s="126"/>
      <c r="AU31" s="131"/>
    </row>
    <row r="32" spans="1:47">
      <c r="A32" s="107">
        <f t="shared" si="4"/>
        <v>14</v>
      </c>
      <c r="B32" s="126">
        <v>4.4609999999999997E-2</v>
      </c>
      <c r="C32" s="107">
        <f t="shared" si="5"/>
        <v>12</v>
      </c>
      <c r="D32" s="127">
        <v>8475</v>
      </c>
      <c r="E32" s="127">
        <v>293</v>
      </c>
      <c r="F32" s="127">
        <v>12680</v>
      </c>
      <c r="G32" s="127">
        <v>22112</v>
      </c>
      <c r="H32" s="127">
        <v>194690</v>
      </c>
      <c r="I32" s="127">
        <v>42583</v>
      </c>
      <c r="J32" s="127">
        <f t="shared" si="9"/>
        <v>48006</v>
      </c>
      <c r="K32" s="127"/>
      <c r="L32" s="127"/>
      <c r="M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>
        <f t="shared" si="10"/>
        <v>328839</v>
      </c>
      <c r="AG32" s="127"/>
      <c r="AH32" s="127">
        <f t="shared" si="11"/>
        <v>129992.47619020403</v>
      </c>
      <c r="AI32" s="124">
        <f t="shared" si="7"/>
        <v>198846.52380979597</v>
      </c>
      <c r="AJ32" s="127">
        <f t="shared" si="6"/>
        <v>49612</v>
      </c>
      <c r="AK32" s="127">
        <v>0</v>
      </c>
      <c r="AL32" s="127">
        <v>0</v>
      </c>
      <c r="AM32" s="127">
        <f t="shared" si="8"/>
        <v>653843.00896849891</v>
      </c>
      <c r="AN32" s="111" t="str">
        <f t="shared" si="3"/>
        <v>DTL</v>
      </c>
      <c r="AT32" s="126"/>
      <c r="AU32" s="131"/>
    </row>
    <row r="33" spans="1:47">
      <c r="A33" s="107">
        <f t="shared" si="4"/>
        <v>15</v>
      </c>
      <c r="B33" s="126">
        <v>4.462E-2</v>
      </c>
      <c r="C33" s="107">
        <f t="shared" si="5"/>
        <v>13</v>
      </c>
      <c r="D33" s="127">
        <v>8477</v>
      </c>
      <c r="E33" s="127">
        <v>293</v>
      </c>
      <c r="F33" s="127">
        <v>12677</v>
      </c>
      <c r="G33" s="127">
        <v>22117</v>
      </c>
      <c r="H33" s="127">
        <v>194646</v>
      </c>
      <c r="I33" s="127">
        <v>42018</v>
      </c>
      <c r="J33" s="127">
        <f t="shared" si="9"/>
        <v>44411</v>
      </c>
      <c r="K33" s="127"/>
      <c r="L33" s="127"/>
      <c r="M33" s="127"/>
      <c r="N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>
        <f t="shared" si="10"/>
        <v>324639</v>
      </c>
      <c r="AG33" s="127"/>
      <c r="AH33" s="127">
        <f t="shared" si="11"/>
        <v>129992.47619020403</v>
      </c>
      <c r="AI33" s="124">
        <f t="shared" si="7"/>
        <v>194646.52380979597</v>
      </c>
      <c r="AJ33" s="127">
        <f t="shared" si="6"/>
        <v>48564</v>
      </c>
      <c r="AK33" s="127">
        <v>0</v>
      </c>
      <c r="AL33" s="127">
        <v>0</v>
      </c>
      <c r="AM33" s="127">
        <f t="shared" si="8"/>
        <v>702407.00896849891</v>
      </c>
      <c r="AN33" s="111" t="str">
        <f t="shared" si="3"/>
        <v>DTL</v>
      </c>
      <c r="AT33" s="126"/>
      <c r="AU33" s="131"/>
    </row>
    <row r="34" spans="1:47">
      <c r="A34" s="107">
        <f t="shared" si="4"/>
        <v>16</v>
      </c>
      <c r="B34" s="126">
        <v>4.4609999999999997E-2</v>
      </c>
      <c r="C34" s="107">
        <f t="shared" si="5"/>
        <v>14</v>
      </c>
      <c r="D34" s="127">
        <v>8475</v>
      </c>
      <c r="E34" s="127">
        <v>293</v>
      </c>
      <c r="F34" s="127">
        <v>12680</v>
      </c>
      <c r="G34" s="127">
        <v>22112</v>
      </c>
      <c r="H34" s="127">
        <v>194690</v>
      </c>
      <c r="I34" s="127">
        <v>42009</v>
      </c>
      <c r="J34" s="127">
        <f t="shared" si="9"/>
        <v>43822</v>
      </c>
      <c r="K34" s="127"/>
      <c r="L34" s="127"/>
      <c r="M34" s="127"/>
      <c r="N34" s="127"/>
      <c r="O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>
        <f t="shared" si="10"/>
        <v>324081</v>
      </c>
      <c r="AG34" s="127"/>
      <c r="AH34" s="127">
        <f t="shared" si="11"/>
        <v>129992.47619020403</v>
      </c>
      <c r="AI34" s="124">
        <f t="shared" si="7"/>
        <v>194088.52380979597</v>
      </c>
      <c r="AJ34" s="127">
        <f t="shared" si="6"/>
        <v>48425</v>
      </c>
      <c r="AK34" s="127">
        <v>0</v>
      </c>
      <c r="AL34" s="127">
        <v>0</v>
      </c>
      <c r="AM34" s="127">
        <f t="shared" si="8"/>
        <v>750832.00896849891</v>
      </c>
      <c r="AN34" s="111" t="str">
        <f t="shared" si="3"/>
        <v>DTL</v>
      </c>
      <c r="AT34" s="126"/>
      <c r="AU34" s="131"/>
    </row>
    <row r="35" spans="1:47">
      <c r="A35" s="107">
        <f t="shared" si="4"/>
        <v>17</v>
      </c>
      <c r="B35" s="126">
        <v>4.462E-2</v>
      </c>
      <c r="C35" s="107">
        <f t="shared" si="5"/>
        <v>15</v>
      </c>
      <c r="D35" s="127">
        <v>8477</v>
      </c>
      <c r="E35" s="127">
        <v>293</v>
      </c>
      <c r="F35" s="127">
        <v>12677</v>
      </c>
      <c r="G35" s="127">
        <v>22117</v>
      </c>
      <c r="H35" s="127">
        <v>194646</v>
      </c>
      <c r="I35" s="127">
        <v>42018</v>
      </c>
      <c r="J35" s="127">
        <f t="shared" si="9"/>
        <v>43812</v>
      </c>
      <c r="K35" s="127"/>
      <c r="L35" s="127"/>
      <c r="M35" s="127"/>
      <c r="N35" s="127"/>
      <c r="O35" s="127"/>
      <c r="P35" s="127"/>
      <c r="AF35" s="127">
        <f t="shared" si="10"/>
        <v>324040</v>
      </c>
      <c r="AG35" s="127"/>
      <c r="AH35" s="127">
        <f t="shared" si="11"/>
        <v>129992.47619020403</v>
      </c>
      <c r="AI35" s="124">
        <f t="shared" si="7"/>
        <v>194047.52380979597</v>
      </c>
      <c r="AJ35" s="127">
        <f t="shared" si="6"/>
        <v>48415</v>
      </c>
      <c r="AK35" s="127">
        <v>0</v>
      </c>
      <c r="AL35" s="127">
        <v>0</v>
      </c>
      <c r="AM35" s="127">
        <f t="shared" si="8"/>
        <v>799247.00896849891</v>
      </c>
      <c r="AN35" s="111" t="str">
        <f t="shared" si="3"/>
        <v>DTL</v>
      </c>
      <c r="AT35" s="126"/>
      <c r="AU35" s="131"/>
    </row>
    <row r="36" spans="1:47">
      <c r="A36" s="107">
        <f t="shared" si="4"/>
        <v>18</v>
      </c>
      <c r="B36" s="126">
        <v>4.4609999999999997E-2</v>
      </c>
      <c r="C36" s="107">
        <f t="shared" si="5"/>
        <v>16</v>
      </c>
      <c r="D36" s="127">
        <v>8475</v>
      </c>
      <c r="E36" s="127">
        <v>293</v>
      </c>
      <c r="F36" s="127">
        <v>12680</v>
      </c>
      <c r="G36" s="127">
        <v>22112</v>
      </c>
      <c r="H36" s="127">
        <v>194690</v>
      </c>
      <c r="I36" s="127">
        <v>42009</v>
      </c>
      <c r="J36" s="127">
        <f t="shared" si="9"/>
        <v>43822</v>
      </c>
      <c r="K36" s="127"/>
      <c r="L36" s="127"/>
      <c r="M36" s="127"/>
      <c r="N36" s="127"/>
      <c r="O36" s="127"/>
      <c r="P36" s="127"/>
      <c r="Q36" s="127"/>
      <c r="AF36" s="127">
        <f t="shared" si="10"/>
        <v>324081</v>
      </c>
      <c r="AG36" s="127"/>
      <c r="AH36" s="127">
        <f t="shared" si="11"/>
        <v>129992.47619020403</v>
      </c>
      <c r="AI36" s="124">
        <f t="shared" si="7"/>
        <v>194088.52380979597</v>
      </c>
      <c r="AJ36" s="127">
        <f t="shared" si="6"/>
        <v>48425</v>
      </c>
      <c r="AK36" s="127">
        <v>0</v>
      </c>
      <c r="AL36" s="127">
        <v>0</v>
      </c>
      <c r="AM36" s="127">
        <f t="shared" si="8"/>
        <v>847672.00896849891</v>
      </c>
      <c r="AN36" s="111" t="str">
        <f t="shared" si="3"/>
        <v>DTL</v>
      </c>
      <c r="AT36" s="126"/>
      <c r="AU36" s="131"/>
    </row>
    <row r="37" spans="1:47">
      <c r="A37" s="107">
        <f t="shared" si="4"/>
        <v>19</v>
      </c>
      <c r="B37" s="126">
        <v>4.462E-2</v>
      </c>
      <c r="C37" s="107">
        <f t="shared" si="5"/>
        <v>17</v>
      </c>
      <c r="D37" s="127">
        <v>8477</v>
      </c>
      <c r="E37" s="127">
        <v>293</v>
      </c>
      <c r="F37" s="127">
        <v>12677</v>
      </c>
      <c r="G37" s="127">
        <v>22117</v>
      </c>
      <c r="H37" s="127">
        <v>194646</v>
      </c>
      <c r="I37" s="127">
        <v>42018</v>
      </c>
      <c r="J37" s="127">
        <f t="shared" si="9"/>
        <v>43812</v>
      </c>
      <c r="K37" s="127"/>
      <c r="L37" s="127"/>
      <c r="M37" s="127"/>
      <c r="N37" s="127"/>
      <c r="O37" s="127"/>
      <c r="P37" s="127"/>
      <c r="Q37" s="127"/>
      <c r="R37" s="127"/>
      <c r="AF37" s="127">
        <f t="shared" si="10"/>
        <v>324040</v>
      </c>
      <c r="AG37" s="127"/>
      <c r="AH37" s="127">
        <f t="shared" si="11"/>
        <v>129992.47619020403</v>
      </c>
      <c r="AI37" s="124">
        <f t="shared" si="7"/>
        <v>194047.52380979597</v>
      </c>
      <c r="AJ37" s="127">
        <f t="shared" si="6"/>
        <v>48415</v>
      </c>
      <c r="AK37" s="127">
        <v>0</v>
      </c>
      <c r="AL37" s="127">
        <v>0</v>
      </c>
      <c r="AM37" s="127">
        <f t="shared" si="8"/>
        <v>896087.00896849891</v>
      </c>
      <c r="AN37" s="111" t="str">
        <f t="shared" si="3"/>
        <v>DTL</v>
      </c>
      <c r="AT37" s="126"/>
      <c r="AU37" s="131"/>
    </row>
    <row r="38" spans="1:47">
      <c r="A38" s="107">
        <f t="shared" si="4"/>
        <v>20</v>
      </c>
      <c r="B38" s="126">
        <v>4.4609999999999997E-2</v>
      </c>
      <c r="C38" s="107">
        <f t="shared" si="5"/>
        <v>18</v>
      </c>
      <c r="D38" s="127">
        <v>8475</v>
      </c>
      <c r="E38" s="127">
        <v>293</v>
      </c>
      <c r="F38" s="127">
        <v>12680</v>
      </c>
      <c r="G38" s="127">
        <v>22112</v>
      </c>
      <c r="H38" s="127">
        <v>194690</v>
      </c>
      <c r="I38" s="127">
        <v>42009</v>
      </c>
      <c r="J38" s="127">
        <f t="shared" si="9"/>
        <v>43822</v>
      </c>
      <c r="K38" s="127"/>
      <c r="L38" s="127"/>
      <c r="M38" s="127"/>
      <c r="N38" s="127"/>
      <c r="O38" s="127"/>
      <c r="P38" s="127"/>
      <c r="Q38" s="127"/>
      <c r="R38" s="127"/>
      <c r="S38" s="127"/>
      <c r="AF38" s="127">
        <f t="shared" si="10"/>
        <v>324081</v>
      </c>
      <c r="AG38" s="127"/>
      <c r="AH38" s="127">
        <f t="shared" si="11"/>
        <v>129992.47619020403</v>
      </c>
      <c r="AI38" s="124">
        <f t="shared" si="7"/>
        <v>194088.52380979597</v>
      </c>
      <c r="AJ38" s="127">
        <f t="shared" si="6"/>
        <v>48425</v>
      </c>
      <c r="AK38" s="127">
        <v>0</v>
      </c>
      <c r="AL38" s="127">
        <v>0</v>
      </c>
      <c r="AM38" s="127">
        <f t="shared" si="8"/>
        <v>944512.00896849891</v>
      </c>
      <c r="AN38" s="111" t="str">
        <f t="shared" si="3"/>
        <v>DTL</v>
      </c>
      <c r="AT38" s="126"/>
      <c r="AU38" s="131"/>
    </row>
    <row r="39" spans="1:47">
      <c r="A39" s="107">
        <f t="shared" si="4"/>
        <v>21</v>
      </c>
      <c r="B39" s="126">
        <v>4.462E-2</v>
      </c>
      <c r="C39" s="107">
        <f t="shared" si="5"/>
        <v>19</v>
      </c>
      <c r="D39" s="127">
        <v>8477</v>
      </c>
      <c r="E39" s="127">
        <v>293</v>
      </c>
      <c r="F39" s="127">
        <v>12677</v>
      </c>
      <c r="G39" s="127">
        <v>22117</v>
      </c>
      <c r="H39" s="127">
        <v>194646</v>
      </c>
      <c r="I39" s="127">
        <v>42018</v>
      </c>
      <c r="J39" s="127">
        <f t="shared" si="9"/>
        <v>43812</v>
      </c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F39" s="127">
        <f t="shared" si="10"/>
        <v>324040</v>
      </c>
      <c r="AG39" s="127"/>
      <c r="AH39" s="127">
        <f t="shared" si="11"/>
        <v>129992.47619020403</v>
      </c>
      <c r="AI39" s="124">
        <f t="shared" si="7"/>
        <v>194047.52380979597</v>
      </c>
      <c r="AJ39" s="127">
        <f t="shared" si="6"/>
        <v>48415</v>
      </c>
      <c r="AK39" s="127">
        <v>0</v>
      </c>
      <c r="AL39" s="127">
        <v>0</v>
      </c>
      <c r="AM39" s="127">
        <f t="shared" si="8"/>
        <v>992927.00896849891</v>
      </c>
      <c r="AN39" s="111" t="str">
        <f t="shared" si="3"/>
        <v>DTL</v>
      </c>
      <c r="AT39" s="126"/>
      <c r="AU39" s="131"/>
    </row>
    <row r="40" spans="1:47">
      <c r="A40" s="107">
        <f t="shared" si="4"/>
        <v>22</v>
      </c>
      <c r="B40" s="126">
        <v>4.4609999999999997E-2</v>
      </c>
      <c r="C40" s="107">
        <f t="shared" si="5"/>
        <v>20</v>
      </c>
      <c r="D40" s="127">
        <v>8475</v>
      </c>
      <c r="E40" s="127">
        <v>293</v>
      </c>
      <c r="F40" s="127">
        <v>12680</v>
      </c>
      <c r="G40" s="127">
        <v>22112</v>
      </c>
      <c r="H40" s="127">
        <v>194690</v>
      </c>
      <c r="I40" s="127">
        <v>42009</v>
      </c>
      <c r="J40" s="127">
        <f t="shared" si="9"/>
        <v>43822</v>
      </c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>
        <f t="shared" si="10"/>
        <v>324081</v>
      </c>
      <c r="AG40" s="127"/>
      <c r="AH40" s="127">
        <f t="shared" si="11"/>
        <v>129992.47619020403</v>
      </c>
      <c r="AI40" s="124">
        <f t="shared" si="7"/>
        <v>194088.52380979597</v>
      </c>
      <c r="AJ40" s="127">
        <f t="shared" si="6"/>
        <v>48425</v>
      </c>
      <c r="AK40" s="127">
        <v>0</v>
      </c>
      <c r="AL40" s="127">
        <v>0</v>
      </c>
      <c r="AM40" s="127">
        <f t="shared" si="8"/>
        <v>1041352.0089684989</v>
      </c>
      <c r="AN40" s="111" t="str">
        <f t="shared" si="3"/>
        <v>DTL</v>
      </c>
      <c r="AT40" s="126"/>
      <c r="AU40" s="131"/>
    </row>
    <row r="41" spans="1:47">
      <c r="A41" s="107">
        <f t="shared" si="4"/>
        <v>23</v>
      </c>
      <c r="B41" s="126">
        <v>2.231E-2</v>
      </c>
      <c r="C41" s="107">
        <f t="shared" si="5"/>
        <v>21</v>
      </c>
      <c r="D41" s="127">
        <v>4239</v>
      </c>
      <c r="E41" s="127">
        <v>146</v>
      </c>
      <c r="F41" s="127">
        <v>12677</v>
      </c>
      <c r="G41" s="127">
        <v>22117</v>
      </c>
      <c r="H41" s="127">
        <v>194646</v>
      </c>
      <c r="I41" s="127">
        <v>42018</v>
      </c>
      <c r="J41" s="127">
        <f t="shared" si="9"/>
        <v>43812</v>
      </c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>
        <f t="shared" si="10"/>
        <v>319655</v>
      </c>
      <c r="AG41" s="127"/>
      <c r="AH41" s="127">
        <f t="shared" si="11"/>
        <v>129992.47619020403</v>
      </c>
      <c r="AI41" s="124">
        <f t="shared" si="7"/>
        <v>189662.52380979597</v>
      </c>
      <c r="AJ41" s="127">
        <f t="shared" si="6"/>
        <v>47321</v>
      </c>
      <c r="AK41" s="127">
        <v>0</v>
      </c>
      <c r="AL41" s="127">
        <v>0</v>
      </c>
      <c r="AM41" s="127">
        <f t="shared" si="8"/>
        <v>1088673.008968499</v>
      </c>
      <c r="AN41" s="111" t="str">
        <f t="shared" si="3"/>
        <v>DTL</v>
      </c>
      <c r="AT41" s="126"/>
      <c r="AU41" s="131"/>
    </row>
    <row r="42" spans="1:47">
      <c r="A42" s="107">
        <f t="shared" si="4"/>
        <v>24</v>
      </c>
      <c r="B42" s="126"/>
      <c r="C42" s="107">
        <f t="shared" si="5"/>
        <v>22</v>
      </c>
      <c r="F42" s="127">
        <v>6340</v>
      </c>
      <c r="G42" s="127">
        <v>22112</v>
      </c>
      <c r="H42" s="127">
        <v>194690</v>
      </c>
      <c r="I42" s="127">
        <v>42009</v>
      </c>
      <c r="J42" s="127">
        <f t="shared" si="9"/>
        <v>43822</v>
      </c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>
        <f>SUM(F42:J42)</f>
        <v>308973</v>
      </c>
      <c r="AH42" s="127">
        <f t="shared" si="11"/>
        <v>129992.47619020403</v>
      </c>
      <c r="AI42" s="124">
        <f t="shared" si="7"/>
        <v>178980.52380979597</v>
      </c>
      <c r="AJ42" s="127">
        <f t="shared" si="6"/>
        <v>44656</v>
      </c>
      <c r="AK42" s="127">
        <v>0</v>
      </c>
      <c r="AL42" s="127">
        <v>0</v>
      </c>
      <c r="AM42" s="127">
        <f t="shared" si="8"/>
        <v>1133329.008968499</v>
      </c>
      <c r="AN42" s="111" t="str">
        <f t="shared" si="3"/>
        <v>DTL</v>
      </c>
    </row>
    <row r="43" spans="1:47">
      <c r="A43" s="107">
        <f t="shared" si="4"/>
        <v>25</v>
      </c>
      <c r="B43" s="126"/>
      <c r="C43" s="107"/>
      <c r="F43" s="127"/>
      <c r="G43" s="127">
        <v>11059</v>
      </c>
      <c r="H43" s="127">
        <v>194646</v>
      </c>
      <c r="I43" s="127">
        <v>42018</v>
      </c>
      <c r="J43" s="127">
        <f t="shared" si="9"/>
        <v>43812</v>
      </c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>
        <f>SUM(G43:J43)</f>
        <v>291535</v>
      </c>
      <c r="AH43" s="127">
        <f t="shared" si="11"/>
        <v>129992.47619020403</v>
      </c>
      <c r="AI43" s="124">
        <f t="shared" si="7"/>
        <v>161542.52380979597</v>
      </c>
      <c r="AJ43" s="127">
        <f t="shared" si="6"/>
        <v>40305</v>
      </c>
      <c r="AK43" s="127">
        <v>0</v>
      </c>
      <c r="AL43" s="127">
        <v>0</v>
      </c>
      <c r="AM43" s="127">
        <f>AM42+AJ43+AK43</f>
        <v>1173634.008968499</v>
      </c>
      <c r="AN43" s="111" t="str">
        <f t="shared" si="3"/>
        <v>DTL</v>
      </c>
    </row>
    <row r="44" spans="1:47">
      <c r="A44" s="107">
        <f t="shared" si="4"/>
        <v>26</v>
      </c>
      <c r="B44" s="126"/>
      <c r="C44" s="107"/>
      <c r="F44" s="127"/>
      <c r="G44" s="127"/>
      <c r="H44" s="127">
        <v>97345</v>
      </c>
      <c r="I44" s="127">
        <v>42009</v>
      </c>
      <c r="J44" s="127">
        <f t="shared" si="9"/>
        <v>43822</v>
      </c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>
        <f>SUM(H44:J44)</f>
        <v>183176</v>
      </c>
      <c r="AH44" s="127">
        <f t="shared" si="11"/>
        <v>129992.47619020403</v>
      </c>
      <c r="AI44" s="124">
        <f t="shared" si="7"/>
        <v>53183.523809795966</v>
      </c>
      <c r="AJ44" s="127">
        <f>ROUND($AP$13*AI44,0)</f>
        <v>13269</v>
      </c>
      <c r="AK44" s="127">
        <v>0</v>
      </c>
      <c r="AL44" s="127">
        <v>0</v>
      </c>
      <c r="AM44" s="127">
        <f>AM43+AJ44+AK44</f>
        <v>1186903.008968499</v>
      </c>
      <c r="AN44" s="111" t="str">
        <f>IF(AM44&gt;0,"DTL","DTA")</f>
        <v>DTL</v>
      </c>
    </row>
    <row r="45" spans="1:47">
      <c r="A45" s="107">
        <f t="shared" si="4"/>
        <v>27</v>
      </c>
      <c r="B45" s="126"/>
      <c r="C45" s="107"/>
      <c r="F45" s="127"/>
      <c r="G45" s="127"/>
      <c r="H45" s="127"/>
      <c r="I45" s="127">
        <v>21009</v>
      </c>
      <c r="J45" s="127">
        <f t="shared" si="9"/>
        <v>43812</v>
      </c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>
        <f>SUM(I45:J45)</f>
        <v>64821</v>
      </c>
      <c r="AH45" s="127">
        <f t="shared" si="11"/>
        <v>129992.47619020403</v>
      </c>
      <c r="AI45" s="124">
        <f t="shared" ref="AI45" si="12">AF45+AG45-AH45</f>
        <v>-65171.476190204034</v>
      </c>
      <c r="AJ45" s="127">
        <f t="shared" ref="AJ45" si="13">ROUND($AP$13*AI45,0)</f>
        <v>-16260</v>
      </c>
      <c r="AK45" s="127">
        <v>0</v>
      </c>
      <c r="AL45" s="127">
        <v>0</v>
      </c>
      <c r="AM45" s="127">
        <f t="shared" ref="AM45" si="14">AM44+AJ45+AK45</f>
        <v>1170643.008968499</v>
      </c>
      <c r="AN45" s="111" t="str">
        <f t="shared" ref="AN45" si="15">IF(AM45&gt;0,"DTL","DTA")</f>
        <v>DTL</v>
      </c>
    </row>
    <row r="46" spans="1:47">
      <c r="A46" s="107">
        <f t="shared" si="4"/>
        <v>28</v>
      </c>
      <c r="B46" s="126"/>
      <c r="C46" s="107"/>
      <c r="F46" s="127"/>
      <c r="G46" s="127"/>
      <c r="H46" s="127"/>
      <c r="I46" s="127"/>
      <c r="J46" s="127">
        <f t="shared" si="9"/>
        <v>21911</v>
      </c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>
        <f>SUM(J46)</f>
        <v>21911</v>
      </c>
      <c r="AH46" s="127"/>
      <c r="AI46" s="124"/>
      <c r="AJ46" s="127"/>
      <c r="AK46" s="127"/>
      <c r="AL46" s="127"/>
      <c r="AM46" s="127"/>
      <c r="AN46" s="111"/>
    </row>
    <row r="47" spans="1:47">
      <c r="A47" s="107">
        <f t="shared" si="4"/>
        <v>29</v>
      </c>
      <c r="D47" s="124">
        <f>SUM(D21:D42)</f>
        <v>395840</v>
      </c>
      <c r="E47" s="124">
        <f>SUM(E21:E42)</f>
        <v>13677</v>
      </c>
      <c r="F47" s="124">
        <f t="shared" ref="F47:AE47" si="16">SUM(F21:F42)</f>
        <v>296046</v>
      </c>
      <c r="G47" s="124">
        <f>SUM(G21:G43)</f>
        <v>516385</v>
      </c>
      <c r="H47" s="124">
        <f>SUM(H21:H45)</f>
        <v>4545564</v>
      </c>
      <c r="I47" s="124">
        <f>SUM(I21:I45)</f>
        <v>981029</v>
      </c>
      <c r="J47" s="124">
        <f>SUM(J21:AE46)</f>
        <v>1023142</v>
      </c>
      <c r="K47" s="124">
        <f t="shared" si="16"/>
        <v>0</v>
      </c>
      <c r="L47" s="124">
        <f t="shared" si="16"/>
        <v>0</v>
      </c>
      <c r="M47" s="124">
        <f t="shared" si="16"/>
        <v>0</v>
      </c>
      <c r="N47" s="124">
        <f t="shared" si="16"/>
        <v>0</v>
      </c>
      <c r="O47" s="124">
        <f t="shared" si="16"/>
        <v>0</v>
      </c>
      <c r="P47" s="124">
        <f t="shared" si="16"/>
        <v>0</v>
      </c>
      <c r="Q47" s="124">
        <f t="shared" si="16"/>
        <v>0</v>
      </c>
      <c r="R47" s="124">
        <f t="shared" si="16"/>
        <v>0</v>
      </c>
      <c r="S47" s="124">
        <f t="shared" si="16"/>
        <v>0</v>
      </c>
      <c r="T47" s="124">
        <f t="shared" si="16"/>
        <v>0</v>
      </c>
      <c r="U47" s="124">
        <f t="shared" si="16"/>
        <v>0</v>
      </c>
      <c r="V47" s="124">
        <f t="shared" si="16"/>
        <v>0</v>
      </c>
      <c r="W47" s="124">
        <f t="shared" si="16"/>
        <v>0</v>
      </c>
      <c r="X47" s="124">
        <f t="shared" si="16"/>
        <v>0</v>
      </c>
      <c r="Y47" s="124">
        <f t="shared" si="16"/>
        <v>0</v>
      </c>
      <c r="Z47" s="124">
        <f t="shared" si="16"/>
        <v>0</v>
      </c>
      <c r="AA47" s="124">
        <f t="shared" si="16"/>
        <v>0</v>
      </c>
      <c r="AB47" s="124">
        <f t="shared" si="16"/>
        <v>0</v>
      </c>
      <c r="AC47" s="124">
        <f t="shared" si="16"/>
        <v>0</v>
      </c>
      <c r="AD47" s="124">
        <f t="shared" si="16"/>
        <v>0</v>
      </c>
      <c r="AE47" s="124">
        <f t="shared" si="16"/>
        <v>0</v>
      </c>
      <c r="AF47" s="124">
        <f>SUM(AF21:AF46)</f>
        <v>7771683</v>
      </c>
      <c r="AG47" s="124">
        <f>SUM(AG21:AG46)</f>
        <v>51312.559389072325</v>
      </c>
      <c r="AH47" s="124">
        <f>SUM(AH21:AH46)</f>
        <v>2815982.7311915793</v>
      </c>
      <c r="AI47" s="127"/>
      <c r="AJ47" s="127"/>
      <c r="AK47" s="127"/>
      <c r="AL47" s="127"/>
      <c r="AM47" s="124"/>
      <c r="AN47" s="124"/>
    </row>
    <row r="48" spans="1:47"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7"/>
      <c r="AG48" s="124"/>
      <c r="AH48" s="127"/>
      <c r="AI48" s="127"/>
      <c r="AJ48" s="127"/>
      <c r="AK48" s="127"/>
      <c r="AL48" s="127"/>
      <c r="AM48" s="124"/>
      <c r="AN48" s="124"/>
    </row>
    <row r="49" spans="1:40">
      <c r="A49" s="135" t="s">
        <v>134</v>
      </c>
      <c r="F49" s="124"/>
      <c r="AF49" s="124"/>
      <c r="AG49" s="124"/>
      <c r="AH49" s="127"/>
      <c r="AI49" s="127"/>
      <c r="AJ49" s="136"/>
      <c r="AK49" s="136"/>
      <c r="AL49" s="136"/>
      <c r="AM49" s="124"/>
      <c r="AN49" s="124"/>
    </row>
    <row r="50" spans="1:40">
      <c r="A50" s="135" t="s">
        <v>235</v>
      </c>
      <c r="AH50" s="124"/>
      <c r="AI50" s="127"/>
      <c r="AJ50" s="127"/>
      <c r="AK50" s="127"/>
      <c r="AL50" s="127"/>
    </row>
    <row r="51" spans="1:40">
      <c r="A51" s="135" t="s">
        <v>236</v>
      </c>
      <c r="AH51" s="124"/>
      <c r="AI51" s="127"/>
      <c r="AJ51" s="127"/>
      <c r="AK51" s="127"/>
      <c r="AL51" s="127"/>
    </row>
    <row r="52" spans="1:40">
      <c r="A52" s="135" t="s">
        <v>222</v>
      </c>
      <c r="AH52" s="124"/>
      <c r="AI52" s="127"/>
      <c r="AJ52" s="127"/>
      <c r="AK52" s="127"/>
      <c r="AL52" s="127"/>
    </row>
    <row r="53" spans="1:40">
      <c r="D53" s="142">
        <v>2017</v>
      </c>
      <c r="E53" s="142">
        <v>2017</v>
      </c>
      <c r="F53" s="142">
        <v>2018</v>
      </c>
      <c r="G53" s="142">
        <v>2019</v>
      </c>
      <c r="H53" s="142">
        <v>2020</v>
      </c>
      <c r="I53" s="142">
        <v>2021</v>
      </c>
      <c r="J53" s="142">
        <v>2022</v>
      </c>
      <c r="AH53" s="124"/>
      <c r="AI53" s="127"/>
      <c r="AJ53" s="127"/>
      <c r="AK53" s="127"/>
      <c r="AL53" s="127"/>
      <c r="AM53" s="143"/>
    </row>
    <row r="54" spans="1:40">
      <c r="B54" s="144" t="s">
        <v>223</v>
      </c>
      <c r="D54" s="145">
        <v>0</v>
      </c>
      <c r="E54" s="145">
        <v>0</v>
      </c>
      <c r="F54" s="145">
        <v>0</v>
      </c>
      <c r="G54" s="146">
        <v>0</v>
      </c>
      <c r="H54" s="146">
        <v>0</v>
      </c>
      <c r="I54" s="146">
        <v>0</v>
      </c>
      <c r="J54" s="214">
        <v>0</v>
      </c>
      <c r="AH54" s="124"/>
      <c r="AI54" s="127"/>
      <c r="AJ54" s="127"/>
      <c r="AK54" s="127"/>
      <c r="AL54" s="127"/>
      <c r="AM54" s="143"/>
    </row>
    <row r="55" spans="1:40">
      <c r="B55" s="144" t="s">
        <v>224</v>
      </c>
      <c r="D55" s="145">
        <v>4.0099999999999997E-2</v>
      </c>
      <c r="E55" s="145">
        <v>4.0099999999999997E-2</v>
      </c>
      <c r="F55" s="145">
        <v>4.0099999999999997E-2</v>
      </c>
      <c r="G55" s="146">
        <v>4.0099999999999997E-2</v>
      </c>
      <c r="H55" s="146">
        <v>4.0099999999999997E-2</v>
      </c>
      <c r="I55" s="146">
        <v>4.0099999999999997E-2</v>
      </c>
      <c r="J55" s="214">
        <v>4.0099999999999997E-2</v>
      </c>
      <c r="AG55" s="108" t="s">
        <v>225</v>
      </c>
      <c r="AM55" s="124"/>
    </row>
    <row r="56" spans="1:40">
      <c r="B56" s="151"/>
      <c r="D56" s="152">
        <f>(1-D54)*D55</f>
        <v>4.0099999999999997E-2</v>
      </c>
      <c r="E56" s="152">
        <f>(1-E54)*E55</f>
        <v>4.0099999999999997E-2</v>
      </c>
      <c r="F56" s="152">
        <f t="shared" ref="F56:AE56" si="17">(1-F54)*F55</f>
        <v>4.0099999999999997E-2</v>
      </c>
      <c r="G56" s="152">
        <f>(1-G54)*G55</f>
        <v>4.0099999999999997E-2</v>
      </c>
      <c r="H56" s="152">
        <f>(1-H54)*H55</f>
        <v>4.0099999999999997E-2</v>
      </c>
      <c r="I56" s="152">
        <f>(1-I54)*I55</f>
        <v>4.0099999999999997E-2</v>
      </c>
      <c r="J56" s="152">
        <f>(1-J54)*J55</f>
        <v>4.0099999999999997E-2</v>
      </c>
      <c r="K56" s="152">
        <f t="shared" si="17"/>
        <v>0</v>
      </c>
      <c r="L56" s="152">
        <f t="shared" si="17"/>
        <v>0</v>
      </c>
      <c r="M56" s="152">
        <f t="shared" si="17"/>
        <v>0</v>
      </c>
      <c r="N56" s="152">
        <f t="shared" si="17"/>
        <v>0</v>
      </c>
      <c r="O56" s="152">
        <f t="shared" si="17"/>
        <v>0</v>
      </c>
      <c r="P56" s="152">
        <f t="shared" si="17"/>
        <v>0</v>
      </c>
      <c r="Q56" s="152">
        <f t="shared" si="17"/>
        <v>0</v>
      </c>
      <c r="R56" s="152">
        <f t="shared" si="17"/>
        <v>0</v>
      </c>
      <c r="S56" s="152">
        <f t="shared" si="17"/>
        <v>0</v>
      </c>
      <c r="T56" s="152">
        <f t="shared" si="17"/>
        <v>0</v>
      </c>
      <c r="U56" s="152">
        <f t="shared" si="17"/>
        <v>0</v>
      </c>
      <c r="V56" s="152">
        <f t="shared" si="17"/>
        <v>0</v>
      </c>
      <c r="W56" s="152">
        <f t="shared" si="17"/>
        <v>0</v>
      </c>
      <c r="X56" s="152">
        <f t="shared" si="17"/>
        <v>0</v>
      </c>
      <c r="Y56" s="152">
        <f t="shared" si="17"/>
        <v>0</v>
      </c>
      <c r="Z56" s="152">
        <f t="shared" si="17"/>
        <v>0</v>
      </c>
      <c r="AA56" s="152">
        <f t="shared" si="17"/>
        <v>0</v>
      </c>
      <c r="AB56" s="152">
        <f t="shared" si="17"/>
        <v>0</v>
      </c>
      <c r="AC56" s="152">
        <f t="shared" si="17"/>
        <v>0</v>
      </c>
      <c r="AD56" s="152">
        <f t="shared" si="17"/>
        <v>0</v>
      </c>
      <c r="AE56" s="152">
        <f t="shared" si="17"/>
        <v>0</v>
      </c>
      <c r="AJ56" s="107" t="s">
        <v>226</v>
      </c>
      <c r="AM56" s="124"/>
    </row>
    <row r="57" spans="1:40">
      <c r="B57" s="153" t="s">
        <v>227</v>
      </c>
      <c r="D57" s="152">
        <f>(1-D54-D56)*0.5</f>
        <v>0.47994999999999999</v>
      </c>
      <c r="E57" s="152">
        <f>(1-E54-E56)*0.5</f>
        <v>0.47994999999999999</v>
      </c>
      <c r="F57" s="152">
        <f>(1-F54-F56)*0</f>
        <v>0</v>
      </c>
      <c r="G57" s="152">
        <f>(1-G54-G56)*0</f>
        <v>0</v>
      </c>
      <c r="H57" s="152">
        <f>(1-H54-H56)*0</f>
        <v>0</v>
      </c>
      <c r="I57" s="152">
        <f>(1-I54-I56)*0</f>
        <v>0</v>
      </c>
      <c r="J57" s="152">
        <f>(1-J54-J56)*0</f>
        <v>0</v>
      </c>
      <c r="AG57" s="107"/>
      <c r="AH57" s="107"/>
      <c r="AI57" s="107" t="s">
        <v>228</v>
      </c>
      <c r="AJ57" s="107" t="s">
        <v>229</v>
      </c>
      <c r="AK57" s="107" t="s">
        <v>230</v>
      </c>
      <c r="AL57" s="107"/>
      <c r="AM57" s="107" t="s">
        <v>3</v>
      </c>
      <c r="AN57" s="107" t="s">
        <v>118</v>
      </c>
    </row>
    <row r="58" spans="1:40">
      <c r="B58" s="154"/>
      <c r="D58" s="152">
        <f t="shared" ref="D58:I58" si="18">D54+D56</f>
        <v>4.0099999999999997E-2</v>
      </c>
      <c r="E58" s="152">
        <f t="shared" si="18"/>
        <v>4.0099999999999997E-2</v>
      </c>
      <c r="F58" s="152">
        <f t="shared" si="18"/>
        <v>4.0099999999999997E-2</v>
      </c>
      <c r="G58" s="152">
        <f t="shared" si="18"/>
        <v>4.0099999999999997E-2</v>
      </c>
      <c r="H58" s="152">
        <f t="shared" si="18"/>
        <v>4.0099999999999997E-2</v>
      </c>
      <c r="I58" s="152">
        <f t="shared" si="18"/>
        <v>4.0099999999999997E-2</v>
      </c>
      <c r="J58" s="152">
        <f t="shared" ref="J58" si="19">J54+J56</f>
        <v>4.0099999999999997E-2</v>
      </c>
      <c r="AG58" s="149" t="s">
        <v>24</v>
      </c>
      <c r="AH58" s="149" t="s">
        <v>231</v>
      </c>
      <c r="AI58" s="149" t="s">
        <v>232</v>
      </c>
      <c r="AJ58" s="149" t="s">
        <v>76</v>
      </c>
      <c r="AK58" s="149" t="s">
        <v>85</v>
      </c>
      <c r="AL58" s="149"/>
      <c r="AM58" s="149" t="s">
        <v>233</v>
      </c>
      <c r="AN58" s="149" t="s">
        <v>233</v>
      </c>
    </row>
    <row r="59" spans="1:40">
      <c r="D59" s="137"/>
      <c r="E59" s="137"/>
      <c r="F59" s="137"/>
      <c r="AG59" s="109">
        <v>2017</v>
      </c>
      <c r="AH59" s="127" t="e">
        <f t="shared" ref="AH59:AH79" si="20">($D$17+$E$17)*B21</f>
        <v>#REF!</v>
      </c>
      <c r="AI59" s="124" t="e">
        <f t="shared" ref="AI59:AI79" si="21">D21+E21-AH59</f>
        <v>#REF!</v>
      </c>
      <c r="AJ59" s="127" t="e">
        <f>AI59*0.06</f>
        <v>#REF!</v>
      </c>
      <c r="AK59" s="127" t="e">
        <f>-AJ59*0.35</f>
        <v>#REF!</v>
      </c>
      <c r="AL59" s="127"/>
      <c r="AM59" s="124" t="e">
        <f>AK59+AJ59</f>
        <v>#REF!</v>
      </c>
      <c r="AN59" s="124" t="e">
        <f>AM59</f>
        <v>#REF!</v>
      </c>
    </row>
    <row r="60" spans="1:40">
      <c r="D60" s="137"/>
      <c r="E60" s="137"/>
      <c r="F60" s="137"/>
      <c r="AG60" s="109">
        <v>2018</v>
      </c>
      <c r="AH60" s="127" t="e">
        <f t="shared" si="20"/>
        <v>#REF!</v>
      </c>
      <c r="AI60" s="124" t="e">
        <f t="shared" si="21"/>
        <v>#REF!</v>
      </c>
      <c r="AJ60" s="127" t="e">
        <f>AI60*0.05</f>
        <v>#REF!</v>
      </c>
      <c r="AK60" s="127" t="e">
        <f t="shared" ref="AK60:AK79" si="22">-AJ60*0.21</f>
        <v>#REF!</v>
      </c>
      <c r="AL60" s="127"/>
      <c r="AM60" s="124" t="e">
        <f t="shared" ref="AM60:AM79" si="23">AK60+AJ60</f>
        <v>#REF!</v>
      </c>
      <c r="AN60" s="124" t="e">
        <f>AM60+AN59</f>
        <v>#REF!</v>
      </c>
    </row>
    <row r="61" spans="1:40">
      <c r="AG61" s="109">
        <v>2019</v>
      </c>
      <c r="AH61" s="127" t="e">
        <f t="shared" si="20"/>
        <v>#REF!</v>
      </c>
      <c r="AI61" s="124" t="e">
        <f t="shared" si="21"/>
        <v>#REF!</v>
      </c>
      <c r="AJ61" s="127" t="e">
        <f t="shared" ref="AJ61:AJ79" si="24">AI61*0.05</f>
        <v>#REF!</v>
      </c>
      <c r="AK61" s="127" t="e">
        <f t="shared" si="22"/>
        <v>#REF!</v>
      </c>
      <c r="AL61" s="127"/>
      <c r="AM61" s="124" t="e">
        <f t="shared" si="23"/>
        <v>#REF!</v>
      </c>
      <c r="AN61" s="124" t="e">
        <f t="shared" ref="AN61:AN79" si="25">AM61+AN60</f>
        <v>#REF!</v>
      </c>
    </row>
    <row r="62" spans="1:40">
      <c r="AG62" s="109">
        <v>2020</v>
      </c>
      <c r="AH62" s="127" t="e">
        <f t="shared" si="20"/>
        <v>#REF!</v>
      </c>
      <c r="AI62" s="124" t="e">
        <f t="shared" si="21"/>
        <v>#REF!</v>
      </c>
      <c r="AJ62" s="127" t="e">
        <f t="shared" si="24"/>
        <v>#REF!</v>
      </c>
      <c r="AK62" s="127" t="e">
        <f t="shared" si="22"/>
        <v>#REF!</v>
      </c>
      <c r="AL62" s="127"/>
      <c r="AM62" s="124" t="e">
        <f t="shared" si="23"/>
        <v>#REF!</v>
      </c>
      <c r="AN62" s="124" t="e">
        <f t="shared" si="25"/>
        <v>#REF!</v>
      </c>
    </row>
    <row r="63" spans="1:40">
      <c r="AG63" s="109">
        <v>2021</v>
      </c>
      <c r="AH63" s="127" t="e">
        <f t="shared" si="20"/>
        <v>#REF!</v>
      </c>
      <c r="AI63" s="124" t="e">
        <f t="shared" si="21"/>
        <v>#REF!</v>
      </c>
      <c r="AJ63" s="127" t="e">
        <f t="shared" si="24"/>
        <v>#REF!</v>
      </c>
      <c r="AK63" s="127" t="e">
        <f t="shared" si="22"/>
        <v>#REF!</v>
      </c>
      <c r="AL63" s="127"/>
      <c r="AM63" s="124" t="e">
        <f t="shared" si="23"/>
        <v>#REF!</v>
      </c>
      <c r="AN63" s="124" t="e">
        <f t="shared" si="25"/>
        <v>#REF!</v>
      </c>
    </row>
    <row r="64" spans="1:40">
      <c r="AG64" s="109">
        <v>2022</v>
      </c>
      <c r="AH64" s="127" t="e">
        <f t="shared" si="20"/>
        <v>#REF!</v>
      </c>
      <c r="AI64" s="124" t="e">
        <f t="shared" si="21"/>
        <v>#REF!</v>
      </c>
      <c r="AJ64" s="127" t="e">
        <f t="shared" si="24"/>
        <v>#REF!</v>
      </c>
      <c r="AK64" s="127" t="e">
        <f t="shared" si="22"/>
        <v>#REF!</v>
      </c>
      <c r="AL64" s="127"/>
      <c r="AM64" s="124" t="e">
        <f t="shared" si="23"/>
        <v>#REF!</v>
      </c>
      <c r="AN64" s="124" t="e">
        <f t="shared" si="25"/>
        <v>#REF!</v>
      </c>
    </row>
    <row r="65" spans="7:40">
      <c r="AF65" s="124"/>
      <c r="AG65" s="109">
        <v>2023</v>
      </c>
      <c r="AH65" s="127" t="e">
        <f t="shared" si="20"/>
        <v>#REF!</v>
      </c>
      <c r="AI65" s="124" t="e">
        <f t="shared" si="21"/>
        <v>#REF!</v>
      </c>
      <c r="AJ65" s="127" t="e">
        <f t="shared" si="24"/>
        <v>#REF!</v>
      </c>
      <c r="AK65" s="127" t="e">
        <f t="shared" si="22"/>
        <v>#REF!</v>
      </c>
      <c r="AL65" s="127"/>
      <c r="AM65" s="124" t="e">
        <f t="shared" si="23"/>
        <v>#REF!</v>
      </c>
      <c r="AN65" s="124" t="e">
        <f t="shared" si="25"/>
        <v>#REF!</v>
      </c>
    </row>
    <row r="66" spans="7:40">
      <c r="AF66" s="124"/>
      <c r="AG66" s="109">
        <v>2024</v>
      </c>
      <c r="AH66" s="127" t="e">
        <f t="shared" si="20"/>
        <v>#REF!</v>
      </c>
      <c r="AI66" s="124" t="e">
        <f t="shared" si="21"/>
        <v>#REF!</v>
      </c>
      <c r="AJ66" s="127" t="e">
        <f t="shared" si="24"/>
        <v>#REF!</v>
      </c>
      <c r="AK66" s="127" t="e">
        <f t="shared" si="22"/>
        <v>#REF!</v>
      </c>
      <c r="AL66" s="127"/>
      <c r="AM66" s="124" t="e">
        <f t="shared" si="23"/>
        <v>#REF!</v>
      </c>
      <c r="AN66" s="124" t="e">
        <f t="shared" si="25"/>
        <v>#REF!</v>
      </c>
    </row>
    <row r="67" spans="7:40">
      <c r="AF67" s="124"/>
      <c r="AG67" s="109">
        <v>2025</v>
      </c>
      <c r="AH67" s="127" t="e">
        <f t="shared" si="20"/>
        <v>#REF!</v>
      </c>
      <c r="AI67" s="124" t="e">
        <f t="shared" si="21"/>
        <v>#REF!</v>
      </c>
      <c r="AJ67" s="127" t="e">
        <f t="shared" si="24"/>
        <v>#REF!</v>
      </c>
      <c r="AK67" s="127" t="e">
        <f t="shared" si="22"/>
        <v>#REF!</v>
      </c>
      <c r="AL67" s="127"/>
      <c r="AM67" s="124" t="e">
        <f t="shared" si="23"/>
        <v>#REF!</v>
      </c>
      <c r="AN67" s="124" t="e">
        <f t="shared" si="25"/>
        <v>#REF!</v>
      </c>
    </row>
    <row r="68" spans="7:40">
      <c r="AF68" s="124"/>
      <c r="AG68" s="109">
        <v>2026</v>
      </c>
      <c r="AH68" s="127" t="e">
        <f t="shared" si="20"/>
        <v>#REF!</v>
      </c>
      <c r="AI68" s="124" t="e">
        <f t="shared" si="21"/>
        <v>#REF!</v>
      </c>
      <c r="AJ68" s="127" t="e">
        <f t="shared" si="24"/>
        <v>#REF!</v>
      </c>
      <c r="AK68" s="127" t="e">
        <f t="shared" si="22"/>
        <v>#REF!</v>
      </c>
      <c r="AL68" s="127"/>
      <c r="AM68" s="124" t="e">
        <f t="shared" si="23"/>
        <v>#REF!</v>
      </c>
      <c r="AN68" s="124" t="e">
        <f t="shared" si="25"/>
        <v>#REF!</v>
      </c>
    </row>
    <row r="69" spans="7:40">
      <c r="G69" s="127"/>
      <c r="AF69" s="124"/>
      <c r="AG69" s="109">
        <v>2027</v>
      </c>
      <c r="AH69" s="127" t="e">
        <f t="shared" si="20"/>
        <v>#REF!</v>
      </c>
      <c r="AI69" s="124" t="e">
        <f t="shared" si="21"/>
        <v>#REF!</v>
      </c>
      <c r="AJ69" s="127" t="e">
        <f t="shared" si="24"/>
        <v>#REF!</v>
      </c>
      <c r="AK69" s="127" t="e">
        <f t="shared" si="22"/>
        <v>#REF!</v>
      </c>
      <c r="AL69" s="127"/>
      <c r="AM69" s="124" t="e">
        <f t="shared" si="23"/>
        <v>#REF!</v>
      </c>
      <c r="AN69" s="124" t="e">
        <f t="shared" si="25"/>
        <v>#REF!</v>
      </c>
    </row>
    <row r="70" spans="7:40">
      <c r="G70" s="127"/>
      <c r="H70" s="127"/>
      <c r="AF70" s="124"/>
      <c r="AG70" s="109">
        <v>2028</v>
      </c>
      <c r="AH70" s="127" t="e">
        <f t="shared" si="20"/>
        <v>#REF!</v>
      </c>
      <c r="AI70" s="124" t="e">
        <f t="shared" si="21"/>
        <v>#REF!</v>
      </c>
      <c r="AJ70" s="127" t="e">
        <f t="shared" si="24"/>
        <v>#REF!</v>
      </c>
      <c r="AK70" s="127" t="e">
        <f t="shared" si="22"/>
        <v>#REF!</v>
      </c>
      <c r="AL70" s="127"/>
      <c r="AM70" s="124" t="e">
        <f t="shared" si="23"/>
        <v>#REF!</v>
      </c>
      <c r="AN70" s="124" t="e">
        <f t="shared" si="25"/>
        <v>#REF!</v>
      </c>
    </row>
    <row r="71" spans="7:40">
      <c r="G71" s="127"/>
      <c r="H71" s="127"/>
      <c r="I71" s="127"/>
      <c r="AF71" s="124"/>
      <c r="AG71" s="109">
        <v>2029</v>
      </c>
      <c r="AH71" s="127" t="e">
        <f t="shared" si="20"/>
        <v>#REF!</v>
      </c>
      <c r="AI71" s="124" t="e">
        <f t="shared" si="21"/>
        <v>#REF!</v>
      </c>
      <c r="AJ71" s="127" t="e">
        <f t="shared" si="24"/>
        <v>#REF!</v>
      </c>
      <c r="AK71" s="127" t="e">
        <f t="shared" si="22"/>
        <v>#REF!</v>
      </c>
      <c r="AL71" s="127"/>
      <c r="AM71" s="124" t="e">
        <f t="shared" si="23"/>
        <v>#REF!</v>
      </c>
      <c r="AN71" s="124" t="e">
        <f t="shared" si="25"/>
        <v>#REF!</v>
      </c>
    </row>
    <row r="72" spans="7:40">
      <c r="G72" s="127"/>
      <c r="H72" s="127"/>
      <c r="I72" s="127"/>
      <c r="J72" s="127"/>
      <c r="AF72" s="124"/>
      <c r="AG72" s="109">
        <v>2030</v>
      </c>
      <c r="AH72" s="127" t="e">
        <f t="shared" si="20"/>
        <v>#REF!</v>
      </c>
      <c r="AI72" s="124" t="e">
        <f t="shared" si="21"/>
        <v>#REF!</v>
      </c>
      <c r="AJ72" s="127" t="e">
        <f t="shared" si="24"/>
        <v>#REF!</v>
      </c>
      <c r="AK72" s="127" t="e">
        <f t="shared" si="22"/>
        <v>#REF!</v>
      </c>
      <c r="AL72" s="127"/>
      <c r="AM72" s="124" t="e">
        <f t="shared" si="23"/>
        <v>#REF!</v>
      </c>
      <c r="AN72" s="124" t="e">
        <f t="shared" si="25"/>
        <v>#REF!</v>
      </c>
    </row>
    <row r="73" spans="7:40">
      <c r="G73" s="127"/>
      <c r="H73" s="127"/>
      <c r="I73" s="127"/>
      <c r="J73" s="127"/>
      <c r="K73" s="127"/>
      <c r="AF73" s="124"/>
      <c r="AG73" s="109">
        <v>2031</v>
      </c>
      <c r="AH73" s="127" t="e">
        <f t="shared" si="20"/>
        <v>#REF!</v>
      </c>
      <c r="AI73" s="124" t="e">
        <f t="shared" si="21"/>
        <v>#REF!</v>
      </c>
      <c r="AJ73" s="127" t="e">
        <f t="shared" si="24"/>
        <v>#REF!</v>
      </c>
      <c r="AK73" s="127" t="e">
        <f t="shared" si="22"/>
        <v>#REF!</v>
      </c>
      <c r="AL73" s="127"/>
      <c r="AM73" s="124" t="e">
        <f t="shared" si="23"/>
        <v>#REF!</v>
      </c>
      <c r="AN73" s="124" t="e">
        <f t="shared" si="25"/>
        <v>#REF!</v>
      </c>
    </row>
    <row r="74" spans="7:40"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27"/>
      <c r="AE74" s="127"/>
      <c r="AF74" s="124"/>
      <c r="AG74" s="109">
        <v>2032</v>
      </c>
      <c r="AH74" s="127" t="e">
        <f t="shared" si="20"/>
        <v>#REF!</v>
      </c>
      <c r="AI74" s="124" t="e">
        <f t="shared" si="21"/>
        <v>#REF!</v>
      </c>
      <c r="AJ74" s="127" t="e">
        <f t="shared" si="24"/>
        <v>#REF!</v>
      </c>
      <c r="AK74" s="127" t="e">
        <f t="shared" si="22"/>
        <v>#REF!</v>
      </c>
      <c r="AL74" s="127"/>
      <c r="AM74" s="124" t="e">
        <f t="shared" si="23"/>
        <v>#REF!</v>
      </c>
      <c r="AN74" s="124" t="e">
        <f t="shared" si="25"/>
        <v>#REF!</v>
      </c>
    </row>
    <row r="75" spans="7:40"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  <c r="AF75" s="124"/>
      <c r="AG75" s="109">
        <v>2033</v>
      </c>
      <c r="AH75" s="127" t="e">
        <f t="shared" si="20"/>
        <v>#REF!</v>
      </c>
      <c r="AI75" s="124" t="e">
        <f t="shared" si="21"/>
        <v>#REF!</v>
      </c>
      <c r="AJ75" s="127" t="e">
        <f t="shared" si="24"/>
        <v>#REF!</v>
      </c>
      <c r="AK75" s="127" t="e">
        <f t="shared" si="22"/>
        <v>#REF!</v>
      </c>
      <c r="AL75" s="127"/>
      <c r="AM75" s="124" t="e">
        <f t="shared" si="23"/>
        <v>#REF!</v>
      </c>
      <c r="AN75" s="124" t="e">
        <f t="shared" si="25"/>
        <v>#REF!</v>
      </c>
    </row>
    <row r="76" spans="7:40"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  <c r="AA76" s="127"/>
      <c r="AB76" s="127"/>
      <c r="AC76" s="127"/>
      <c r="AD76" s="127"/>
      <c r="AE76" s="127"/>
      <c r="AF76" s="124"/>
      <c r="AG76" s="109">
        <v>2034</v>
      </c>
      <c r="AH76" s="127" t="e">
        <f t="shared" si="20"/>
        <v>#REF!</v>
      </c>
      <c r="AI76" s="124" t="e">
        <f t="shared" si="21"/>
        <v>#REF!</v>
      </c>
      <c r="AJ76" s="127" t="e">
        <f t="shared" si="24"/>
        <v>#REF!</v>
      </c>
      <c r="AK76" s="127" t="e">
        <f t="shared" si="22"/>
        <v>#REF!</v>
      </c>
      <c r="AL76" s="127"/>
      <c r="AM76" s="124" t="e">
        <f t="shared" si="23"/>
        <v>#REF!</v>
      </c>
      <c r="AN76" s="124" t="e">
        <f t="shared" si="25"/>
        <v>#REF!</v>
      </c>
    </row>
    <row r="77" spans="7:40"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27"/>
      <c r="AA77" s="127"/>
      <c r="AB77" s="127"/>
      <c r="AC77" s="127"/>
      <c r="AD77" s="127"/>
      <c r="AE77" s="127"/>
      <c r="AF77" s="124"/>
      <c r="AG77" s="109">
        <v>2035</v>
      </c>
      <c r="AH77" s="127" t="e">
        <f t="shared" si="20"/>
        <v>#REF!</v>
      </c>
      <c r="AI77" s="124" t="e">
        <f t="shared" si="21"/>
        <v>#REF!</v>
      </c>
      <c r="AJ77" s="127" t="e">
        <f t="shared" si="24"/>
        <v>#REF!</v>
      </c>
      <c r="AK77" s="127" t="e">
        <f t="shared" si="22"/>
        <v>#REF!</v>
      </c>
      <c r="AL77" s="127"/>
      <c r="AM77" s="124" t="e">
        <f t="shared" si="23"/>
        <v>#REF!</v>
      </c>
      <c r="AN77" s="124" t="e">
        <f t="shared" si="25"/>
        <v>#REF!</v>
      </c>
    </row>
    <row r="78" spans="7:40"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  <c r="AA78" s="127"/>
      <c r="AB78" s="127"/>
      <c r="AC78" s="127"/>
      <c r="AD78" s="127"/>
      <c r="AE78" s="127"/>
      <c r="AG78" s="109">
        <v>2036</v>
      </c>
      <c r="AH78" s="127" t="e">
        <f t="shared" si="20"/>
        <v>#REF!</v>
      </c>
      <c r="AI78" s="124" t="e">
        <f t="shared" si="21"/>
        <v>#REF!</v>
      </c>
      <c r="AJ78" s="127" t="e">
        <f t="shared" si="24"/>
        <v>#REF!</v>
      </c>
      <c r="AK78" s="127" t="e">
        <f t="shared" si="22"/>
        <v>#REF!</v>
      </c>
      <c r="AL78" s="127"/>
      <c r="AM78" s="124" t="e">
        <f t="shared" si="23"/>
        <v>#REF!</v>
      </c>
      <c r="AN78" s="124" t="e">
        <f t="shared" si="25"/>
        <v>#REF!</v>
      </c>
    </row>
    <row r="79" spans="7:40"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27"/>
      <c r="Z79" s="127"/>
      <c r="AA79" s="127"/>
      <c r="AB79" s="127"/>
      <c r="AC79" s="127"/>
      <c r="AD79" s="127"/>
      <c r="AE79" s="127"/>
      <c r="AG79" s="109">
        <v>2037</v>
      </c>
      <c r="AH79" s="127" t="e">
        <f t="shared" si="20"/>
        <v>#REF!</v>
      </c>
      <c r="AI79" s="124" t="e">
        <f t="shared" si="21"/>
        <v>#REF!</v>
      </c>
      <c r="AJ79" s="127" t="e">
        <f t="shared" si="24"/>
        <v>#REF!</v>
      </c>
      <c r="AK79" s="127" t="e">
        <f t="shared" si="22"/>
        <v>#REF!</v>
      </c>
      <c r="AL79" s="127"/>
      <c r="AM79" s="124" t="e">
        <f t="shared" si="23"/>
        <v>#REF!</v>
      </c>
      <c r="AN79" s="124" t="e">
        <f t="shared" si="25"/>
        <v>#REF!</v>
      </c>
    </row>
    <row r="80" spans="7:40"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127"/>
      <c r="U80" s="127"/>
      <c r="V80" s="127"/>
      <c r="W80" s="127"/>
      <c r="X80" s="127"/>
      <c r="Y80" s="127"/>
      <c r="Z80" s="127"/>
      <c r="AA80" s="127"/>
      <c r="AB80" s="127"/>
      <c r="AC80" s="127"/>
      <c r="AD80" s="127"/>
      <c r="AE80" s="127"/>
      <c r="AH80" s="124" t="e">
        <f>SUM(AH59:AH79)</f>
        <v>#REF!</v>
      </c>
      <c r="AI80" s="124" t="e">
        <f>SUM(AI59:AI79)</f>
        <v>#REF!</v>
      </c>
      <c r="AJ80" s="124" t="e">
        <f>SUM(AJ59:AJ79)</f>
        <v>#REF!</v>
      </c>
      <c r="AK80" s="124" t="e">
        <f>SUM(AK59:AK79)</f>
        <v>#REF!</v>
      </c>
      <c r="AL80" s="124"/>
      <c r="AM80" s="124" t="e">
        <f>SUM(AM59:AM79)</f>
        <v>#REF!</v>
      </c>
    </row>
    <row r="81" spans="10:31"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27"/>
      <c r="Y81" s="127"/>
      <c r="Z81" s="127"/>
      <c r="AA81" s="127"/>
      <c r="AB81" s="127"/>
      <c r="AC81" s="127"/>
      <c r="AD81" s="127"/>
      <c r="AE81" s="127"/>
    </row>
  </sheetData>
  <mergeCells count="4">
    <mergeCell ref="A7:AM7"/>
    <mergeCell ref="A8:AM8"/>
    <mergeCell ref="A9:AM9"/>
    <mergeCell ref="D18:AG18"/>
  </mergeCells>
  <printOptions horizontalCentered="1"/>
  <pageMargins left="0" right="0" top="0.5" bottom="0" header="0.5" footer="0.5"/>
  <pageSetup scale="61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2">
    <tabColor rgb="FF00B050"/>
  </sheetPr>
  <dimension ref="A1:AL35"/>
  <sheetViews>
    <sheetView zoomScale="90" zoomScaleNormal="90" workbookViewId="0">
      <selection activeCell="F36" sqref="F36"/>
    </sheetView>
  </sheetViews>
  <sheetFormatPr defaultRowHeight="12.75"/>
  <cols>
    <col min="1" max="1" width="3.86328125" style="157" bestFit="1" customWidth="1"/>
    <col min="2" max="2" width="9.1328125" style="157"/>
    <col min="3" max="3" width="12.59765625" style="157" bestFit="1" customWidth="1"/>
    <col min="4" max="5" width="12.3984375" style="157" bestFit="1" customWidth="1"/>
    <col min="6" max="6" width="11.59765625" style="157" bestFit="1" customWidth="1"/>
    <col min="7" max="7" width="11" style="157" bestFit="1" customWidth="1"/>
    <col min="8" max="8" width="14.1328125" style="157" customWidth="1"/>
    <col min="9" max="9" width="13.3984375" style="157" bestFit="1" customWidth="1"/>
    <col min="10" max="256" width="9.1328125" style="157"/>
    <col min="257" max="257" width="3.86328125" style="157" bestFit="1" customWidth="1"/>
    <col min="258" max="258" width="9.1328125" style="157"/>
    <col min="259" max="259" width="12.59765625" style="157" bestFit="1" customWidth="1"/>
    <col min="260" max="261" width="12.3984375" style="157" bestFit="1" customWidth="1"/>
    <col min="262" max="262" width="11.59765625" style="157" bestFit="1" customWidth="1"/>
    <col min="263" max="263" width="11" style="157" bestFit="1" customWidth="1"/>
    <col min="264" max="264" width="14.1328125" style="157" customWidth="1"/>
    <col min="265" max="265" width="13.3984375" style="157" bestFit="1" customWidth="1"/>
    <col min="266" max="512" width="9.1328125" style="157"/>
    <col min="513" max="513" width="3.86328125" style="157" bestFit="1" customWidth="1"/>
    <col min="514" max="514" width="9.1328125" style="157"/>
    <col min="515" max="515" width="12.59765625" style="157" bestFit="1" customWidth="1"/>
    <col min="516" max="517" width="12.3984375" style="157" bestFit="1" customWidth="1"/>
    <col min="518" max="518" width="11.59765625" style="157" bestFit="1" customWidth="1"/>
    <col min="519" max="519" width="11" style="157" bestFit="1" customWidth="1"/>
    <col min="520" max="520" width="14.1328125" style="157" customWidth="1"/>
    <col min="521" max="521" width="13.3984375" style="157" bestFit="1" customWidth="1"/>
    <col min="522" max="768" width="9.1328125" style="157"/>
    <col min="769" max="769" width="3.86328125" style="157" bestFit="1" customWidth="1"/>
    <col min="770" max="770" width="9.1328125" style="157"/>
    <col min="771" max="771" width="12.59765625" style="157" bestFit="1" customWidth="1"/>
    <col min="772" max="773" width="12.3984375" style="157" bestFit="1" customWidth="1"/>
    <col min="774" max="774" width="11.59765625" style="157" bestFit="1" customWidth="1"/>
    <col min="775" max="775" width="11" style="157" bestFit="1" customWidth="1"/>
    <col min="776" max="776" width="14.1328125" style="157" customWidth="1"/>
    <col min="777" max="777" width="13.3984375" style="157" bestFit="1" customWidth="1"/>
    <col min="778" max="1024" width="9.1328125" style="157"/>
    <col min="1025" max="1025" width="3.86328125" style="157" bestFit="1" customWidth="1"/>
    <col min="1026" max="1026" width="9.1328125" style="157"/>
    <col min="1027" max="1027" width="12.59765625" style="157" bestFit="1" customWidth="1"/>
    <col min="1028" max="1029" width="12.3984375" style="157" bestFit="1" customWidth="1"/>
    <col min="1030" max="1030" width="11.59765625" style="157" bestFit="1" customWidth="1"/>
    <col min="1031" max="1031" width="11" style="157" bestFit="1" customWidth="1"/>
    <col min="1032" max="1032" width="14.1328125" style="157" customWidth="1"/>
    <col min="1033" max="1033" width="13.3984375" style="157" bestFit="1" customWidth="1"/>
    <col min="1034" max="1280" width="9.1328125" style="157"/>
    <col min="1281" max="1281" width="3.86328125" style="157" bestFit="1" customWidth="1"/>
    <col min="1282" max="1282" width="9.1328125" style="157"/>
    <col min="1283" max="1283" width="12.59765625" style="157" bestFit="1" customWidth="1"/>
    <col min="1284" max="1285" width="12.3984375" style="157" bestFit="1" customWidth="1"/>
    <col min="1286" max="1286" width="11.59765625" style="157" bestFit="1" customWidth="1"/>
    <col min="1287" max="1287" width="11" style="157" bestFit="1" customWidth="1"/>
    <col min="1288" max="1288" width="14.1328125" style="157" customWidth="1"/>
    <col min="1289" max="1289" width="13.3984375" style="157" bestFit="1" customWidth="1"/>
    <col min="1290" max="1536" width="9.1328125" style="157"/>
    <col min="1537" max="1537" width="3.86328125" style="157" bestFit="1" customWidth="1"/>
    <col min="1538" max="1538" width="9.1328125" style="157"/>
    <col min="1539" max="1539" width="12.59765625" style="157" bestFit="1" customWidth="1"/>
    <col min="1540" max="1541" width="12.3984375" style="157" bestFit="1" customWidth="1"/>
    <col min="1542" max="1542" width="11.59765625" style="157" bestFit="1" customWidth="1"/>
    <col min="1543" max="1543" width="11" style="157" bestFit="1" customWidth="1"/>
    <col min="1544" max="1544" width="14.1328125" style="157" customWidth="1"/>
    <col min="1545" max="1545" width="13.3984375" style="157" bestFit="1" customWidth="1"/>
    <col min="1546" max="1792" width="9.1328125" style="157"/>
    <col min="1793" max="1793" width="3.86328125" style="157" bestFit="1" customWidth="1"/>
    <col min="1794" max="1794" width="9.1328125" style="157"/>
    <col min="1795" max="1795" width="12.59765625" style="157" bestFit="1" customWidth="1"/>
    <col min="1796" max="1797" width="12.3984375" style="157" bestFit="1" customWidth="1"/>
    <col min="1798" max="1798" width="11.59765625" style="157" bestFit="1" customWidth="1"/>
    <col min="1799" max="1799" width="11" style="157" bestFit="1" customWidth="1"/>
    <col min="1800" max="1800" width="14.1328125" style="157" customWidth="1"/>
    <col min="1801" max="1801" width="13.3984375" style="157" bestFit="1" customWidth="1"/>
    <col min="1802" max="2048" width="9.1328125" style="157"/>
    <col min="2049" max="2049" width="3.86328125" style="157" bestFit="1" customWidth="1"/>
    <col min="2050" max="2050" width="9.1328125" style="157"/>
    <col min="2051" max="2051" width="12.59765625" style="157" bestFit="1" customWidth="1"/>
    <col min="2052" max="2053" width="12.3984375" style="157" bestFit="1" customWidth="1"/>
    <col min="2054" max="2054" width="11.59765625" style="157" bestFit="1" customWidth="1"/>
    <col min="2055" max="2055" width="11" style="157" bestFit="1" customWidth="1"/>
    <col min="2056" max="2056" width="14.1328125" style="157" customWidth="1"/>
    <col min="2057" max="2057" width="13.3984375" style="157" bestFit="1" customWidth="1"/>
    <col min="2058" max="2304" width="9.1328125" style="157"/>
    <col min="2305" max="2305" width="3.86328125" style="157" bestFit="1" customWidth="1"/>
    <col min="2306" max="2306" width="9.1328125" style="157"/>
    <col min="2307" max="2307" width="12.59765625" style="157" bestFit="1" customWidth="1"/>
    <col min="2308" max="2309" width="12.3984375" style="157" bestFit="1" customWidth="1"/>
    <col min="2310" max="2310" width="11.59765625" style="157" bestFit="1" customWidth="1"/>
    <col min="2311" max="2311" width="11" style="157" bestFit="1" customWidth="1"/>
    <col min="2312" max="2312" width="14.1328125" style="157" customWidth="1"/>
    <col min="2313" max="2313" width="13.3984375" style="157" bestFit="1" customWidth="1"/>
    <col min="2314" max="2560" width="9.1328125" style="157"/>
    <col min="2561" max="2561" width="3.86328125" style="157" bestFit="1" customWidth="1"/>
    <col min="2562" max="2562" width="9.1328125" style="157"/>
    <col min="2563" max="2563" width="12.59765625" style="157" bestFit="1" customWidth="1"/>
    <col min="2564" max="2565" width="12.3984375" style="157" bestFit="1" customWidth="1"/>
    <col min="2566" max="2566" width="11.59765625" style="157" bestFit="1" customWidth="1"/>
    <col min="2567" max="2567" width="11" style="157" bestFit="1" customWidth="1"/>
    <col min="2568" max="2568" width="14.1328125" style="157" customWidth="1"/>
    <col min="2569" max="2569" width="13.3984375" style="157" bestFit="1" customWidth="1"/>
    <col min="2570" max="2816" width="9.1328125" style="157"/>
    <col min="2817" max="2817" width="3.86328125" style="157" bestFit="1" customWidth="1"/>
    <col min="2818" max="2818" width="9.1328125" style="157"/>
    <col min="2819" max="2819" width="12.59765625" style="157" bestFit="1" customWidth="1"/>
    <col min="2820" max="2821" width="12.3984375" style="157" bestFit="1" customWidth="1"/>
    <col min="2822" max="2822" width="11.59765625" style="157" bestFit="1" customWidth="1"/>
    <col min="2823" max="2823" width="11" style="157" bestFit="1" customWidth="1"/>
    <col min="2824" max="2824" width="14.1328125" style="157" customWidth="1"/>
    <col min="2825" max="2825" width="13.3984375" style="157" bestFit="1" customWidth="1"/>
    <col min="2826" max="3072" width="9.1328125" style="157"/>
    <col min="3073" max="3073" width="3.86328125" style="157" bestFit="1" customWidth="1"/>
    <col min="3074" max="3074" width="9.1328125" style="157"/>
    <col min="3075" max="3075" width="12.59765625" style="157" bestFit="1" customWidth="1"/>
    <col min="3076" max="3077" width="12.3984375" style="157" bestFit="1" customWidth="1"/>
    <col min="3078" max="3078" width="11.59765625" style="157" bestFit="1" customWidth="1"/>
    <col min="3079" max="3079" width="11" style="157" bestFit="1" customWidth="1"/>
    <col min="3080" max="3080" width="14.1328125" style="157" customWidth="1"/>
    <col min="3081" max="3081" width="13.3984375" style="157" bestFit="1" customWidth="1"/>
    <col min="3082" max="3328" width="9.1328125" style="157"/>
    <col min="3329" max="3329" width="3.86328125" style="157" bestFit="1" customWidth="1"/>
    <col min="3330" max="3330" width="9.1328125" style="157"/>
    <col min="3331" max="3331" width="12.59765625" style="157" bestFit="1" customWidth="1"/>
    <col min="3332" max="3333" width="12.3984375" style="157" bestFit="1" customWidth="1"/>
    <col min="3334" max="3334" width="11.59765625" style="157" bestFit="1" customWidth="1"/>
    <col min="3335" max="3335" width="11" style="157" bestFit="1" customWidth="1"/>
    <col min="3336" max="3336" width="14.1328125" style="157" customWidth="1"/>
    <col min="3337" max="3337" width="13.3984375" style="157" bestFit="1" customWidth="1"/>
    <col min="3338" max="3584" width="9.1328125" style="157"/>
    <col min="3585" max="3585" width="3.86328125" style="157" bestFit="1" customWidth="1"/>
    <col min="3586" max="3586" width="9.1328125" style="157"/>
    <col min="3587" max="3587" width="12.59765625" style="157" bestFit="1" customWidth="1"/>
    <col min="3588" max="3589" width="12.3984375" style="157" bestFit="1" customWidth="1"/>
    <col min="3590" max="3590" width="11.59765625" style="157" bestFit="1" customWidth="1"/>
    <col min="3591" max="3591" width="11" style="157" bestFit="1" customWidth="1"/>
    <col min="3592" max="3592" width="14.1328125" style="157" customWidth="1"/>
    <col min="3593" max="3593" width="13.3984375" style="157" bestFit="1" customWidth="1"/>
    <col min="3594" max="3840" width="9.1328125" style="157"/>
    <col min="3841" max="3841" width="3.86328125" style="157" bestFit="1" customWidth="1"/>
    <col min="3842" max="3842" width="9.1328125" style="157"/>
    <col min="3843" max="3843" width="12.59765625" style="157" bestFit="1" customWidth="1"/>
    <col min="3844" max="3845" width="12.3984375" style="157" bestFit="1" customWidth="1"/>
    <col min="3846" max="3846" width="11.59765625" style="157" bestFit="1" customWidth="1"/>
    <col min="3847" max="3847" width="11" style="157" bestFit="1" customWidth="1"/>
    <col min="3848" max="3848" width="14.1328125" style="157" customWidth="1"/>
    <col min="3849" max="3849" width="13.3984375" style="157" bestFit="1" customWidth="1"/>
    <col min="3850" max="4096" width="9.1328125" style="157"/>
    <col min="4097" max="4097" width="3.86328125" style="157" bestFit="1" customWidth="1"/>
    <col min="4098" max="4098" width="9.1328125" style="157"/>
    <col min="4099" max="4099" width="12.59765625" style="157" bestFit="1" customWidth="1"/>
    <col min="4100" max="4101" width="12.3984375" style="157" bestFit="1" customWidth="1"/>
    <col min="4102" max="4102" width="11.59765625" style="157" bestFit="1" customWidth="1"/>
    <col min="4103" max="4103" width="11" style="157" bestFit="1" customWidth="1"/>
    <col min="4104" max="4104" width="14.1328125" style="157" customWidth="1"/>
    <col min="4105" max="4105" width="13.3984375" style="157" bestFit="1" customWidth="1"/>
    <col min="4106" max="4352" width="9.1328125" style="157"/>
    <col min="4353" max="4353" width="3.86328125" style="157" bestFit="1" customWidth="1"/>
    <col min="4354" max="4354" width="9.1328125" style="157"/>
    <col min="4355" max="4355" width="12.59765625" style="157" bestFit="1" customWidth="1"/>
    <col min="4356" max="4357" width="12.3984375" style="157" bestFit="1" customWidth="1"/>
    <col min="4358" max="4358" width="11.59765625" style="157" bestFit="1" customWidth="1"/>
    <col min="4359" max="4359" width="11" style="157" bestFit="1" customWidth="1"/>
    <col min="4360" max="4360" width="14.1328125" style="157" customWidth="1"/>
    <col min="4361" max="4361" width="13.3984375" style="157" bestFit="1" customWidth="1"/>
    <col min="4362" max="4608" width="9.1328125" style="157"/>
    <col min="4609" max="4609" width="3.86328125" style="157" bestFit="1" customWidth="1"/>
    <col min="4610" max="4610" width="9.1328125" style="157"/>
    <col min="4611" max="4611" width="12.59765625" style="157" bestFit="1" customWidth="1"/>
    <col min="4612" max="4613" width="12.3984375" style="157" bestFit="1" customWidth="1"/>
    <col min="4614" max="4614" width="11.59765625" style="157" bestFit="1" customWidth="1"/>
    <col min="4615" max="4615" width="11" style="157" bestFit="1" customWidth="1"/>
    <col min="4616" max="4616" width="14.1328125" style="157" customWidth="1"/>
    <col min="4617" max="4617" width="13.3984375" style="157" bestFit="1" customWidth="1"/>
    <col min="4618" max="4864" width="9.1328125" style="157"/>
    <col min="4865" max="4865" width="3.86328125" style="157" bestFit="1" customWidth="1"/>
    <col min="4866" max="4866" width="9.1328125" style="157"/>
    <col min="4867" max="4867" width="12.59765625" style="157" bestFit="1" customWidth="1"/>
    <col min="4868" max="4869" width="12.3984375" style="157" bestFit="1" customWidth="1"/>
    <col min="4870" max="4870" width="11.59765625" style="157" bestFit="1" customWidth="1"/>
    <col min="4871" max="4871" width="11" style="157" bestFit="1" customWidth="1"/>
    <col min="4872" max="4872" width="14.1328125" style="157" customWidth="1"/>
    <col min="4873" max="4873" width="13.3984375" style="157" bestFit="1" customWidth="1"/>
    <col min="4874" max="5120" width="9.1328125" style="157"/>
    <col min="5121" max="5121" width="3.86328125" style="157" bestFit="1" customWidth="1"/>
    <col min="5122" max="5122" width="9.1328125" style="157"/>
    <col min="5123" max="5123" width="12.59765625" style="157" bestFit="1" customWidth="1"/>
    <col min="5124" max="5125" width="12.3984375" style="157" bestFit="1" customWidth="1"/>
    <col min="5126" max="5126" width="11.59765625" style="157" bestFit="1" customWidth="1"/>
    <col min="5127" max="5127" width="11" style="157" bestFit="1" customWidth="1"/>
    <col min="5128" max="5128" width="14.1328125" style="157" customWidth="1"/>
    <col min="5129" max="5129" width="13.3984375" style="157" bestFit="1" customWidth="1"/>
    <col min="5130" max="5376" width="9.1328125" style="157"/>
    <col min="5377" max="5377" width="3.86328125" style="157" bestFit="1" customWidth="1"/>
    <col min="5378" max="5378" width="9.1328125" style="157"/>
    <col min="5379" max="5379" width="12.59765625" style="157" bestFit="1" customWidth="1"/>
    <col min="5380" max="5381" width="12.3984375" style="157" bestFit="1" customWidth="1"/>
    <col min="5382" max="5382" width="11.59765625" style="157" bestFit="1" customWidth="1"/>
    <col min="5383" max="5383" width="11" style="157" bestFit="1" customWidth="1"/>
    <col min="5384" max="5384" width="14.1328125" style="157" customWidth="1"/>
    <col min="5385" max="5385" width="13.3984375" style="157" bestFit="1" customWidth="1"/>
    <col min="5386" max="5632" width="9.1328125" style="157"/>
    <col min="5633" max="5633" width="3.86328125" style="157" bestFit="1" customWidth="1"/>
    <col min="5634" max="5634" width="9.1328125" style="157"/>
    <col min="5635" max="5635" width="12.59765625" style="157" bestFit="1" customWidth="1"/>
    <col min="5636" max="5637" width="12.3984375" style="157" bestFit="1" customWidth="1"/>
    <col min="5638" max="5638" width="11.59765625" style="157" bestFit="1" customWidth="1"/>
    <col min="5639" max="5639" width="11" style="157" bestFit="1" customWidth="1"/>
    <col min="5640" max="5640" width="14.1328125" style="157" customWidth="1"/>
    <col min="5641" max="5641" width="13.3984375" style="157" bestFit="1" customWidth="1"/>
    <col min="5642" max="5888" width="9.1328125" style="157"/>
    <col min="5889" max="5889" width="3.86328125" style="157" bestFit="1" customWidth="1"/>
    <col min="5890" max="5890" width="9.1328125" style="157"/>
    <col min="5891" max="5891" width="12.59765625" style="157" bestFit="1" customWidth="1"/>
    <col min="5892" max="5893" width="12.3984375" style="157" bestFit="1" customWidth="1"/>
    <col min="5894" max="5894" width="11.59765625" style="157" bestFit="1" customWidth="1"/>
    <col min="5895" max="5895" width="11" style="157" bestFit="1" customWidth="1"/>
    <col min="5896" max="5896" width="14.1328125" style="157" customWidth="1"/>
    <col min="5897" max="5897" width="13.3984375" style="157" bestFit="1" customWidth="1"/>
    <col min="5898" max="6144" width="9.1328125" style="157"/>
    <col min="6145" max="6145" width="3.86328125" style="157" bestFit="1" customWidth="1"/>
    <col min="6146" max="6146" width="9.1328125" style="157"/>
    <col min="6147" max="6147" width="12.59765625" style="157" bestFit="1" customWidth="1"/>
    <col min="6148" max="6149" width="12.3984375" style="157" bestFit="1" customWidth="1"/>
    <col min="6150" max="6150" width="11.59765625" style="157" bestFit="1" customWidth="1"/>
    <col min="6151" max="6151" width="11" style="157" bestFit="1" customWidth="1"/>
    <col min="6152" max="6152" width="14.1328125" style="157" customWidth="1"/>
    <col min="6153" max="6153" width="13.3984375" style="157" bestFit="1" customWidth="1"/>
    <col min="6154" max="6400" width="9.1328125" style="157"/>
    <col min="6401" max="6401" width="3.86328125" style="157" bestFit="1" customWidth="1"/>
    <col min="6402" max="6402" width="9.1328125" style="157"/>
    <col min="6403" max="6403" width="12.59765625" style="157" bestFit="1" customWidth="1"/>
    <col min="6404" max="6405" width="12.3984375" style="157" bestFit="1" customWidth="1"/>
    <col min="6406" max="6406" width="11.59765625" style="157" bestFit="1" customWidth="1"/>
    <col min="6407" max="6407" width="11" style="157" bestFit="1" customWidth="1"/>
    <col min="6408" max="6408" width="14.1328125" style="157" customWidth="1"/>
    <col min="6409" max="6409" width="13.3984375" style="157" bestFit="1" customWidth="1"/>
    <col min="6410" max="6656" width="9.1328125" style="157"/>
    <col min="6657" max="6657" width="3.86328125" style="157" bestFit="1" customWidth="1"/>
    <col min="6658" max="6658" width="9.1328125" style="157"/>
    <col min="6659" max="6659" width="12.59765625" style="157" bestFit="1" customWidth="1"/>
    <col min="6660" max="6661" width="12.3984375" style="157" bestFit="1" customWidth="1"/>
    <col min="6662" max="6662" width="11.59765625" style="157" bestFit="1" customWidth="1"/>
    <col min="6663" max="6663" width="11" style="157" bestFit="1" customWidth="1"/>
    <col min="6664" max="6664" width="14.1328125" style="157" customWidth="1"/>
    <col min="6665" max="6665" width="13.3984375" style="157" bestFit="1" customWidth="1"/>
    <col min="6666" max="6912" width="9.1328125" style="157"/>
    <col min="6913" max="6913" width="3.86328125" style="157" bestFit="1" customWidth="1"/>
    <col min="6914" max="6914" width="9.1328125" style="157"/>
    <col min="6915" max="6915" width="12.59765625" style="157" bestFit="1" customWidth="1"/>
    <col min="6916" max="6917" width="12.3984375" style="157" bestFit="1" customWidth="1"/>
    <col min="6918" max="6918" width="11.59765625" style="157" bestFit="1" customWidth="1"/>
    <col min="6919" max="6919" width="11" style="157" bestFit="1" customWidth="1"/>
    <col min="6920" max="6920" width="14.1328125" style="157" customWidth="1"/>
    <col min="6921" max="6921" width="13.3984375" style="157" bestFit="1" customWidth="1"/>
    <col min="6922" max="7168" width="9.1328125" style="157"/>
    <col min="7169" max="7169" width="3.86328125" style="157" bestFit="1" customWidth="1"/>
    <col min="7170" max="7170" width="9.1328125" style="157"/>
    <col min="7171" max="7171" width="12.59765625" style="157" bestFit="1" customWidth="1"/>
    <col min="7172" max="7173" width="12.3984375" style="157" bestFit="1" customWidth="1"/>
    <col min="7174" max="7174" width="11.59765625" style="157" bestFit="1" customWidth="1"/>
    <col min="7175" max="7175" width="11" style="157" bestFit="1" customWidth="1"/>
    <col min="7176" max="7176" width="14.1328125" style="157" customWidth="1"/>
    <col min="7177" max="7177" width="13.3984375" style="157" bestFit="1" customWidth="1"/>
    <col min="7178" max="7424" width="9.1328125" style="157"/>
    <col min="7425" max="7425" width="3.86328125" style="157" bestFit="1" customWidth="1"/>
    <col min="7426" max="7426" width="9.1328125" style="157"/>
    <col min="7427" max="7427" width="12.59765625" style="157" bestFit="1" customWidth="1"/>
    <col min="7428" max="7429" width="12.3984375" style="157" bestFit="1" customWidth="1"/>
    <col min="7430" max="7430" width="11.59765625" style="157" bestFit="1" customWidth="1"/>
    <col min="7431" max="7431" width="11" style="157" bestFit="1" customWidth="1"/>
    <col min="7432" max="7432" width="14.1328125" style="157" customWidth="1"/>
    <col min="7433" max="7433" width="13.3984375" style="157" bestFit="1" customWidth="1"/>
    <col min="7434" max="7680" width="9.1328125" style="157"/>
    <col min="7681" max="7681" width="3.86328125" style="157" bestFit="1" customWidth="1"/>
    <col min="7682" max="7682" width="9.1328125" style="157"/>
    <col min="7683" max="7683" width="12.59765625" style="157" bestFit="1" customWidth="1"/>
    <col min="7684" max="7685" width="12.3984375" style="157" bestFit="1" customWidth="1"/>
    <col min="7686" max="7686" width="11.59765625" style="157" bestFit="1" customWidth="1"/>
    <col min="7687" max="7687" width="11" style="157" bestFit="1" customWidth="1"/>
    <col min="7688" max="7688" width="14.1328125" style="157" customWidth="1"/>
    <col min="7689" max="7689" width="13.3984375" style="157" bestFit="1" customWidth="1"/>
    <col min="7690" max="7936" width="9.1328125" style="157"/>
    <col min="7937" max="7937" width="3.86328125" style="157" bestFit="1" customWidth="1"/>
    <col min="7938" max="7938" width="9.1328125" style="157"/>
    <col min="7939" max="7939" width="12.59765625" style="157" bestFit="1" customWidth="1"/>
    <col min="7940" max="7941" width="12.3984375" style="157" bestFit="1" customWidth="1"/>
    <col min="7942" max="7942" width="11.59765625" style="157" bestFit="1" customWidth="1"/>
    <col min="7943" max="7943" width="11" style="157" bestFit="1" customWidth="1"/>
    <col min="7944" max="7944" width="14.1328125" style="157" customWidth="1"/>
    <col min="7945" max="7945" width="13.3984375" style="157" bestFit="1" customWidth="1"/>
    <col min="7946" max="8192" width="9.1328125" style="157"/>
    <col min="8193" max="8193" width="3.86328125" style="157" bestFit="1" customWidth="1"/>
    <col min="8194" max="8194" width="9.1328125" style="157"/>
    <col min="8195" max="8195" width="12.59765625" style="157" bestFit="1" customWidth="1"/>
    <col min="8196" max="8197" width="12.3984375" style="157" bestFit="1" customWidth="1"/>
    <col min="8198" max="8198" width="11.59765625" style="157" bestFit="1" customWidth="1"/>
    <col min="8199" max="8199" width="11" style="157" bestFit="1" customWidth="1"/>
    <col min="8200" max="8200" width="14.1328125" style="157" customWidth="1"/>
    <col min="8201" max="8201" width="13.3984375" style="157" bestFit="1" customWidth="1"/>
    <col min="8202" max="8448" width="9.1328125" style="157"/>
    <col min="8449" max="8449" width="3.86328125" style="157" bestFit="1" customWidth="1"/>
    <col min="8450" max="8450" width="9.1328125" style="157"/>
    <col min="8451" max="8451" width="12.59765625" style="157" bestFit="1" customWidth="1"/>
    <col min="8452" max="8453" width="12.3984375" style="157" bestFit="1" customWidth="1"/>
    <col min="8454" max="8454" width="11.59765625" style="157" bestFit="1" customWidth="1"/>
    <col min="8455" max="8455" width="11" style="157" bestFit="1" customWidth="1"/>
    <col min="8456" max="8456" width="14.1328125" style="157" customWidth="1"/>
    <col min="8457" max="8457" width="13.3984375" style="157" bestFit="1" customWidth="1"/>
    <col min="8458" max="8704" width="9.1328125" style="157"/>
    <col min="8705" max="8705" width="3.86328125" style="157" bestFit="1" customWidth="1"/>
    <col min="8706" max="8706" width="9.1328125" style="157"/>
    <col min="8707" max="8707" width="12.59765625" style="157" bestFit="1" customWidth="1"/>
    <col min="8708" max="8709" width="12.3984375" style="157" bestFit="1" customWidth="1"/>
    <col min="8710" max="8710" width="11.59765625" style="157" bestFit="1" customWidth="1"/>
    <col min="8711" max="8711" width="11" style="157" bestFit="1" customWidth="1"/>
    <col min="8712" max="8712" width="14.1328125" style="157" customWidth="1"/>
    <col min="8713" max="8713" width="13.3984375" style="157" bestFit="1" customWidth="1"/>
    <col min="8714" max="8960" width="9.1328125" style="157"/>
    <col min="8961" max="8961" width="3.86328125" style="157" bestFit="1" customWidth="1"/>
    <col min="8962" max="8962" width="9.1328125" style="157"/>
    <col min="8963" max="8963" width="12.59765625" style="157" bestFit="1" customWidth="1"/>
    <col min="8964" max="8965" width="12.3984375" style="157" bestFit="1" customWidth="1"/>
    <col min="8966" max="8966" width="11.59765625" style="157" bestFit="1" customWidth="1"/>
    <col min="8967" max="8967" width="11" style="157" bestFit="1" customWidth="1"/>
    <col min="8968" max="8968" width="14.1328125" style="157" customWidth="1"/>
    <col min="8969" max="8969" width="13.3984375" style="157" bestFit="1" customWidth="1"/>
    <col min="8970" max="9216" width="9.1328125" style="157"/>
    <col min="9217" max="9217" width="3.86328125" style="157" bestFit="1" customWidth="1"/>
    <col min="9218" max="9218" width="9.1328125" style="157"/>
    <col min="9219" max="9219" width="12.59765625" style="157" bestFit="1" customWidth="1"/>
    <col min="9220" max="9221" width="12.3984375" style="157" bestFit="1" customWidth="1"/>
    <col min="9222" max="9222" width="11.59765625" style="157" bestFit="1" customWidth="1"/>
    <col min="9223" max="9223" width="11" style="157" bestFit="1" customWidth="1"/>
    <col min="9224" max="9224" width="14.1328125" style="157" customWidth="1"/>
    <col min="9225" max="9225" width="13.3984375" style="157" bestFit="1" customWidth="1"/>
    <col min="9226" max="9472" width="9.1328125" style="157"/>
    <col min="9473" max="9473" width="3.86328125" style="157" bestFit="1" customWidth="1"/>
    <col min="9474" max="9474" width="9.1328125" style="157"/>
    <col min="9475" max="9475" width="12.59765625" style="157" bestFit="1" customWidth="1"/>
    <col min="9476" max="9477" width="12.3984375" style="157" bestFit="1" customWidth="1"/>
    <col min="9478" max="9478" width="11.59765625" style="157" bestFit="1" customWidth="1"/>
    <col min="9479" max="9479" width="11" style="157" bestFit="1" customWidth="1"/>
    <col min="9480" max="9480" width="14.1328125" style="157" customWidth="1"/>
    <col min="9481" max="9481" width="13.3984375" style="157" bestFit="1" customWidth="1"/>
    <col min="9482" max="9728" width="9.1328125" style="157"/>
    <col min="9729" max="9729" width="3.86328125" style="157" bestFit="1" customWidth="1"/>
    <col min="9730" max="9730" width="9.1328125" style="157"/>
    <col min="9731" max="9731" width="12.59765625" style="157" bestFit="1" customWidth="1"/>
    <col min="9732" max="9733" width="12.3984375" style="157" bestFit="1" customWidth="1"/>
    <col min="9734" max="9734" width="11.59765625" style="157" bestFit="1" customWidth="1"/>
    <col min="9735" max="9735" width="11" style="157" bestFit="1" customWidth="1"/>
    <col min="9736" max="9736" width="14.1328125" style="157" customWidth="1"/>
    <col min="9737" max="9737" width="13.3984375" style="157" bestFit="1" customWidth="1"/>
    <col min="9738" max="9984" width="9.1328125" style="157"/>
    <col min="9985" max="9985" width="3.86328125" style="157" bestFit="1" customWidth="1"/>
    <col min="9986" max="9986" width="9.1328125" style="157"/>
    <col min="9987" max="9987" width="12.59765625" style="157" bestFit="1" customWidth="1"/>
    <col min="9988" max="9989" width="12.3984375" style="157" bestFit="1" customWidth="1"/>
    <col min="9990" max="9990" width="11.59765625" style="157" bestFit="1" customWidth="1"/>
    <col min="9991" max="9991" width="11" style="157" bestFit="1" customWidth="1"/>
    <col min="9992" max="9992" width="14.1328125" style="157" customWidth="1"/>
    <col min="9993" max="9993" width="13.3984375" style="157" bestFit="1" customWidth="1"/>
    <col min="9994" max="10240" width="9.1328125" style="157"/>
    <col min="10241" max="10241" width="3.86328125" style="157" bestFit="1" customWidth="1"/>
    <col min="10242" max="10242" width="9.1328125" style="157"/>
    <col min="10243" max="10243" width="12.59765625" style="157" bestFit="1" customWidth="1"/>
    <col min="10244" max="10245" width="12.3984375" style="157" bestFit="1" customWidth="1"/>
    <col min="10246" max="10246" width="11.59765625" style="157" bestFit="1" customWidth="1"/>
    <col min="10247" max="10247" width="11" style="157" bestFit="1" customWidth="1"/>
    <col min="10248" max="10248" width="14.1328125" style="157" customWidth="1"/>
    <col min="10249" max="10249" width="13.3984375" style="157" bestFit="1" customWidth="1"/>
    <col min="10250" max="10496" width="9.1328125" style="157"/>
    <col min="10497" max="10497" width="3.86328125" style="157" bestFit="1" customWidth="1"/>
    <col min="10498" max="10498" width="9.1328125" style="157"/>
    <col min="10499" max="10499" width="12.59765625" style="157" bestFit="1" customWidth="1"/>
    <col min="10500" max="10501" width="12.3984375" style="157" bestFit="1" customWidth="1"/>
    <col min="10502" max="10502" width="11.59765625" style="157" bestFit="1" customWidth="1"/>
    <col min="10503" max="10503" width="11" style="157" bestFit="1" customWidth="1"/>
    <col min="10504" max="10504" width="14.1328125" style="157" customWidth="1"/>
    <col min="10505" max="10505" width="13.3984375" style="157" bestFit="1" customWidth="1"/>
    <col min="10506" max="10752" width="9.1328125" style="157"/>
    <col min="10753" max="10753" width="3.86328125" style="157" bestFit="1" customWidth="1"/>
    <col min="10754" max="10754" width="9.1328125" style="157"/>
    <col min="10755" max="10755" width="12.59765625" style="157" bestFit="1" customWidth="1"/>
    <col min="10756" max="10757" width="12.3984375" style="157" bestFit="1" customWidth="1"/>
    <col min="10758" max="10758" width="11.59765625" style="157" bestFit="1" customWidth="1"/>
    <col min="10759" max="10759" width="11" style="157" bestFit="1" customWidth="1"/>
    <col min="10760" max="10760" width="14.1328125" style="157" customWidth="1"/>
    <col min="10761" max="10761" width="13.3984375" style="157" bestFit="1" customWidth="1"/>
    <col min="10762" max="11008" width="9.1328125" style="157"/>
    <col min="11009" max="11009" width="3.86328125" style="157" bestFit="1" customWidth="1"/>
    <col min="11010" max="11010" width="9.1328125" style="157"/>
    <col min="11011" max="11011" width="12.59765625" style="157" bestFit="1" customWidth="1"/>
    <col min="11012" max="11013" width="12.3984375" style="157" bestFit="1" customWidth="1"/>
    <col min="11014" max="11014" width="11.59765625" style="157" bestFit="1" customWidth="1"/>
    <col min="11015" max="11015" width="11" style="157" bestFit="1" customWidth="1"/>
    <col min="11016" max="11016" width="14.1328125" style="157" customWidth="1"/>
    <col min="11017" max="11017" width="13.3984375" style="157" bestFit="1" customWidth="1"/>
    <col min="11018" max="11264" width="9.1328125" style="157"/>
    <col min="11265" max="11265" width="3.86328125" style="157" bestFit="1" customWidth="1"/>
    <col min="11266" max="11266" width="9.1328125" style="157"/>
    <col min="11267" max="11267" width="12.59765625" style="157" bestFit="1" customWidth="1"/>
    <col min="11268" max="11269" width="12.3984375" style="157" bestFit="1" customWidth="1"/>
    <col min="11270" max="11270" width="11.59765625" style="157" bestFit="1" customWidth="1"/>
    <col min="11271" max="11271" width="11" style="157" bestFit="1" customWidth="1"/>
    <col min="11272" max="11272" width="14.1328125" style="157" customWidth="1"/>
    <col min="11273" max="11273" width="13.3984375" style="157" bestFit="1" customWidth="1"/>
    <col min="11274" max="11520" width="9.1328125" style="157"/>
    <col min="11521" max="11521" width="3.86328125" style="157" bestFit="1" customWidth="1"/>
    <col min="11522" max="11522" width="9.1328125" style="157"/>
    <col min="11523" max="11523" width="12.59765625" style="157" bestFit="1" customWidth="1"/>
    <col min="11524" max="11525" width="12.3984375" style="157" bestFit="1" customWidth="1"/>
    <col min="11526" max="11526" width="11.59765625" style="157" bestFit="1" customWidth="1"/>
    <col min="11527" max="11527" width="11" style="157" bestFit="1" customWidth="1"/>
    <col min="11528" max="11528" width="14.1328125" style="157" customWidth="1"/>
    <col min="11529" max="11529" width="13.3984375" style="157" bestFit="1" customWidth="1"/>
    <col min="11530" max="11776" width="9.1328125" style="157"/>
    <col min="11777" max="11777" width="3.86328125" style="157" bestFit="1" customWidth="1"/>
    <col min="11778" max="11778" width="9.1328125" style="157"/>
    <col min="11779" max="11779" width="12.59765625" style="157" bestFit="1" customWidth="1"/>
    <col min="11780" max="11781" width="12.3984375" style="157" bestFit="1" customWidth="1"/>
    <col min="11782" max="11782" width="11.59765625" style="157" bestFit="1" customWidth="1"/>
    <col min="11783" max="11783" width="11" style="157" bestFit="1" customWidth="1"/>
    <col min="11784" max="11784" width="14.1328125" style="157" customWidth="1"/>
    <col min="11785" max="11785" width="13.3984375" style="157" bestFit="1" customWidth="1"/>
    <col min="11786" max="12032" width="9.1328125" style="157"/>
    <col min="12033" max="12033" width="3.86328125" style="157" bestFit="1" customWidth="1"/>
    <col min="12034" max="12034" width="9.1328125" style="157"/>
    <col min="12035" max="12035" width="12.59765625" style="157" bestFit="1" customWidth="1"/>
    <col min="12036" max="12037" width="12.3984375" style="157" bestFit="1" customWidth="1"/>
    <col min="12038" max="12038" width="11.59765625" style="157" bestFit="1" customWidth="1"/>
    <col min="12039" max="12039" width="11" style="157" bestFit="1" customWidth="1"/>
    <col min="12040" max="12040" width="14.1328125" style="157" customWidth="1"/>
    <col min="12041" max="12041" width="13.3984375" style="157" bestFit="1" customWidth="1"/>
    <col min="12042" max="12288" width="9.1328125" style="157"/>
    <col min="12289" max="12289" width="3.86328125" style="157" bestFit="1" customWidth="1"/>
    <col min="12290" max="12290" width="9.1328125" style="157"/>
    <col min="12291" max="12291" width="12.59765625" style="157" bestFit="1" customWidth="1"/>
    <col min="12292" max="12293" width="12.3984375" style="157" bestFit="1" customWidth="1"/>
    <col min="12294" max="12294" width="11.59765625" style="157" bestFit="1" customWidth="1"/>
    <col min="12295" max="12295" width="11" style="157" bestFit="1" customWidth="1"/>
    <col min="12296" max="12296" width="14.1328125" style="157" customWidth="1"/>
    <col min="12297" max="12297" width="13.3984375" style="157" bestFit="1" customWidth="1"/>
    <col min="12298" max="12544" width="9.1328125" style="157"/>
    <col min="12545" max="12545" width="3.86328125" style="157" bestFit="1" customWidth="1"/>
    <col min="12546" max="12546" width="9.1328125" style="157"/>
    <col min="12547" max="12547" width="12.59765625" style="157" bestFit="1" customWidth="1"/>
    <col min="12548" max="12549" width="12.3984375" style="157" bestFit="1" customWidth="1"/>
    <col min="12550" max="12550" width="11.59765625" style="157" bestFit="1" customWidth="1"/>
    <col min="12551" max="12551" width="11" style="157" bestFit="1" customWidth="1"/>
    <col min="12552" max="12552" width="14.1328125" style="157" customWidth="1"/>
    <col min="12553" max="12553" width="13.3984375" style="157" bestFit="1" customWidth="1"/>
    <col min="12554" max="12800" width="9.1328125" style="157"/>
    <col min="12801" max="12801" width="3.86328125" style="157" bestFit="1" customWidth="1"/>
    <col min="12802" max="12802" width="9.1328125" style="157"/>
    <col min="12803" max="12803" width="12.59765625" style="157" bestFit="1" customWidth="1"/>
    <col min="12804" max="12805" width="12.3984375" style="157" bestFit="1" customWidth="1"/>
    <col min="12806" max="12806" width="11.59765625" style="157" bestFit="1" customWidth="1"/>
    <col min="12807" max="12807" width="11" style="157" bestFit="1" customWidth="1"/>
    <col min="12808" max="12808" width="14.1328125" style="157" customWidth="1"/>
    <col min="12809" max="12809" width="13.3984375" style="157" bestFit="1" customWidth="1"/>
    <col min="12810" max="13056" width="9.1328125" style="157"/>
    <col min="13057" max="13057" width="3.86328125" style="157" bestFit="1" customWidth="1"/>
    <col min="13058" max="13058" width="9.1328125" style="157"/>
    <col min="13059" max="13059" width="12.59765625" style="157" bestFit="1" customWidth="1"/>
    <col min="13060" max="13061" width="12.3984375" style="157" bestFit="1" customWidth="1"/>
    <col min="13062" max="13062" width="11.59765625" style="157" bestFit="1" customWidth="1"/>
    <col min="13063" max="13063" width="11" style="157" bestFit="1" customWidth="1"/>
    <col min="13064" max="13064" width="14.1328125" style="157" customWidth="1"/>
    <col min="13065" max="13065" width="13.3984375" style="157" bestFit="1" customWidth="1"/>
    <col min="13066" max="13312" width="9.1328125" style="157"/>
    <col min="13313" max="13313" width="3.86328125" style="157" bestFit="1" customWidth="1"/>
    <col min="13314" max="13314" width="9.1328125" style="157"/>
    <col min="13315" max="13315" width="12.59765625" style="157" bestFit="1" customWidth="1"/>
    <col min="13316" max="13317" width="12.3984375" style="157" bestFit="1" customWidth="1"/>
    <col min="13318" max="13318" width="11.59765625" style="157" bestFit="1" customWidth="1"/>
    <col min="13319" max="13319" width="11" style="157" bestFit="1" customWidth="1"/>
    <col min="13320" max="13320" width="14.1328125" style="157" customWidth="1"/>
    <col min="13321" max="13321" width="13.3984375" style="157" bestFit="1" customWidth="1"/>
    <col min="13322" max="13568" width="9.1328125" style="157"/>
    <col min="13569" max="13569" width="3.86328125" style="157" bestFit="1" customWidth="1"/>
    <col min="13570" max="13570" width="9.1328125" style="157"/>
    <col min="13571" max="13571" width="12.59765625" style="157" bestFit="1" customWidth="1"/>
    <col min="13572" max="13573" width="12.3984375" style="157" bestFit="1" customWidth="1"/>
    <col min="13574" max="13574" width="11.59765625" style="157" bestFit="1" customWidth="1"/>
    <col min="13575" max="13575" width="11" style="157" bestFit="1" customWidth="1"/>
    <col min="13576" max="13576" width="14.1328125" style="157" customWidth="1"/>
    <col min="13577" max="13577" width="13.3984375" style="157" bestFit="1" customWidth="1"/>
    <col min="13578" max="13824" width="9.1328125" style="157"/>
    <col min="13825" max="13825" width="3.86328125" style="157" bestFit="1" customWidth="1"/>
    <col min="13826" max="13826" width="9.1328125" style="157"/>
    <col min="13827" max="13827" width="12.59765625" style="157" bestFit="1" customWidth="1"/>
    <col min="13828" max="13829" width="12.3984375" style="157" bestFit="1" customWidth="1"/>
    <col min="13830" max="13830" width="11.59765625" style="157" bestFit="1" customWidth="1"/>
    <col min="13831" max="13831" width="11" style="157" bestFit="1" customWidth="1"/>
    <col min="13832" max="13832" width="14.1328125" style="157" customWidth="1"/>
    <col min="13833" max="13833" width="13.3984375" style="157" bestFit="1" customWidth="1"/>
    <col min="13834" max="14080" width="9.1328125" style="157"/>
    <col min="14081" max="14081" width="3.86328125" style="157" bestFit="1" customWidth="1"/>
    <col min="14082" max="14082" width="9.1328125" style="157"/>
    <col min="14083" max="14083" width="12.59765625" style="157" bestFit="1" customWidth="1"/>
    <col min="14084" max="14085" width="12.3984375" style="157" bestFit="1" customWidth="1"/>
    <col min="14086" max="14086" width="11.59765625" style="157" bestFit="1" customWidth="1"/>
    <col min="14087" max="14087" width="11" style="157" bestFit="1" customWidth="1"/>
    <col min="14088" max="14088" width="14.1328125" style="157" customWidth="1"/>
    <col min="14089" max="14089" width="13.3984375" style="157" bestFit="1" customWidth="1"/>
    <col min="14090" max="14336" width="9.1328125" style="157"/>
    <col min="14337" max="14337" width="3.86328125" style="157" bestFit="1" customWidth="1"/>
    <col min="14338" max="14338" width="9.1328125" style="157"/>
    <col min="14339" max="14339" width="12.59765625" style="157" bestFit="1" customWidth="1"/>
    <col min="14340" max="14341" width="12.3984375" style="157" bestFit="1" customWidth="1"/>
    <col min="14342" max="14342" width="11.59765625" style="157" bestFit="1" customWidth="1"/>
    <col min="14343" max="14343" width="11" style="157" bestFit="1" customWidth="1"/>
    <col min="14344" max="14344" width="14.1328125" style="157" customWidth="1"/>
    <col min="14345" max="14345" width="13.3984375" style="157" bestFit="1" customWidth="1"/>
    <col min="14346" max="14592" width="9.1328125" style="157"/>
    <col min="14593" max="14593" width="3.86328125" style="157" bestFit="1" customWidth="1"/>
    <col min="14594" max="14594" width="9.1328125" style="157"/>
    <col min="14595" max="14595" width="12.59765625" style="157" bestFit="1" customWidth="1"/>
    <col min="14596" max="14597" width="12.3984375" style="157" bestFit="1" customWidth="1"/>
    <col min="14598" max="14598" width="11.59765625" style="157" bestFit="1" customWidth="1"/>
    <col min="14599" max="14599" width="11" style="157" bestFit="1" customWidth="1"/>
    <col min="14600" max="14600" width="14.1328125" style="157" customWidth="1"/>
    <col min="14601" max="14601" width="13.3984375" style="157" bestFit="1" customWidth="1"/>
    <col min="14602" max="14848" width="9.1328125" style="157"/>
    <col min="14849" max="14849" width="3.86328125" style="157" bestFit="1" customWidth="1"/>
    <col min="14850" max="14850" width="9.1328125" style="157"/>
    <col min="14851" max="14851" width="12.59765625" style="157" bestFit="1" customWidth="1"/>
    <col min="14852" max="14853" width="12.3984375" style="157" bestFit="1" customWidth="1"/>
    <col min="14854" max="14854" width="11.59765625" style="157" bestFit="1" customWidth="1"/>
    <col min="14855" max="14855" width="11" style="157" bestFit="1" customWidth="1"/>
    <col min="14856" max="14856" width="14.1328125" style="157" customWidth="1"/>
    <col min="14857" max="14857" width="13.3984375" style="157" bestFit="1" customWidth="1"/>
    <col min="14858" max="15104" width="9.1328125" style="157"/>
    <col min="15105" max="15105" width="3.86328125" style="157" bestFit="1" customWidth="1"/>
    <col min="15106" max="15106" width="9.1328125" style="157"/>
    <col min="15107" max="15107" width="12.59765625" style="157" bestFit="1" customWidth="1"/>
    <col min="15108" max="15109" width="12.3984375" style="157" bestFit="1" customWidth="1"/>
    <col min="15110" max="15110" width="11.59765625" style="157" bestFit="1" customWidth="1"/>
    <col min="15111" max="15111" width="11" style="157" bestFit="1" customWidth="1"/>
    <col min="15112" max="15112" width="14.1328125" style="157" customWidth="1"/>
    <col min="15113" max="15113" width="13.3984375" style="157" bestFit="1" customWidth="1"/>
    <col min="15114" max="15360" width="9.1328125" style="157"/>
    <col min="15361" max="15361" width="3.86328125" style="157" bestFit="1" customWidth="1"/>
    <col min="15362" max="15362" width="9.1328125" style="157"/>
    <col min="15363" max="15363" width="12.59765625" style="157" bestFit="1" customWidth="1"/>
    <col min="15364" max="15365" width="12.3984375" style="157" bestFit="1" customWidth="1"/>
    <col min="15366" max="15366" width="11.59765625" style="157" bestFit="1" customWidth="1"/>
    <col min="15367" max="15367" width="11" style="157" bestFit="1" customWidth="1"/>
    <col min="15368" max="15368" width="14.1328125" style="157" customWidth="1"/>
    <col min="15369" max="15369" width="13.3984375" style="157" bestFit="1" customWidth="1"/>
    <col min="15370" max="15616" width="9.1328125" style="157"/>
    <col min="15617" max="15617" width="3.86328125" style="157" bestFit="1" customWidth="1"/>
    <col min="15618" max="15618" width="9.1328125" style="157"/>
    <col min="15619" max="15619" width="12.59765625" style="157" bestFit="1" customWidth="1"/>
    <col min="15620" max="15621" width="12.3984375" style="157" bestFit="1" customWidth="1"/>
    <col min="15622" max="15622" width="11.59765625" style="157" bestFit="1" customWidth="1"/>
    <col min="15623" max="15623" width="11" style="157" bestFit="1" customWidth="1"/>
    <col min="15624" max="15624" width="14.1328125" style="157" customWidth="1"/>
    <col min="15625" max="15625" width="13.3984375" style="157" bestFit="1" customWidth="1"/>
    <col min="15626" max="15872" width="9.1328125" style="157"/>
    <col min="15873" max="15873" width="3.86328125" style="157" bestFit="1" customWidth="1"/>
    <col min="15874" max="15874" width="9.1328125" style="157"/>
    <col min="15875" max="15875" width="12.59765625" style="157" bestFit="1" customWidth="1"/>
    <col min="15876" max="15877" width="12.3984375" style="157" bestFit="1" customWidth="1"/>
    <col min="15878" max="15878" width="11.59765625" style="157" bestFit="1" customWidth="1"/>
    <col min="15879" max="15879" width="11" style="157" bestFit="1" customWidth="1"/>
    <col min="15880" max="15880" width="14.1328125" style="157" customWidth="1"/>
    <col min="15881" max="15881" width="13.3984375" style="157" bestFit="1" customWidth="1"/>
    <col min="15882" max="16128" width="9.1328125" style="157"/>
    <col min="16129" max="16129" width="3.86328125" style="157" bestFit="1" customWidth="1"/>
    <col min="16130" max="16130" width="9.1328125" style="157"/>
    <col min="16131" max="16131" width="12.59765625" style="157" bestFit="1" customWidth="1"/>
    <col min="16132" max="16133" width="12.3984375" style="157" bestFit="1" customWidth="1"/>
    <col min="16134" max="16134" width="11.59765625" style="157" bestFit="1" customWidth="1"/>
    <col min="16135" max="16135" width="11" style="157" bestFit="1" customWidth="1"/>
    <col min="16136" max="16136" width="14.1328125" style="157" customWidth="1"/>
    <col min="16137" max="16137" width="13.3984375" style="157" bestFit="1" customWidth="1"/>
    <col min="16138" max="16384" width="9.1328125" style="157"/>
  </cols>
  <sheetData>
    <row r="1" spans="1:38" ht="13.15">
      <c r="H1" s="221" t="s">
        <v>278</v>
      </c>
    </row>
    <row r="2" spans="1:38" ht="13.15">
      <c r="H2" s="221" t="s">
        <v>279</v>
      </c>
    </row>
    <row r="3" spans="1:38" ht="13.15">
      <c r="H3" s="221" t="s">
        <v>280</v>
      </c>
    </row>
    <row r="4" spans="1:38" ht="13.15">
      <c r="H4" s="221" t="s">
        <v>281</v>
      </c>
    </row>
    <row r="6" spans="1:38">
      <c r="A6" s="226" t="s">
        <v>140</v>
      </c>
      <c r="B6" s="226"/>
      <c r="C6" s="226"/>
      <c r="D6" s="226"/>
      <c r="E6" s="226"/>
      <c r="F6" s="226"/>
      <c r="G6" s="226"/>
      <c r="H6" s="156" t="s">
        <v>251</v>
      </c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</row>
    <row r="7" spans="1:38">
      <c r="A7" s="226" t="s">
        <v>225</v>
      </c>
      <c r="B7" s="226"/>
      <c r="C7" s="226"/>
      <c r="D7" s="226"/>
      <c r="E7" s="226"/>
      <c r="F7" s="226"/>
      <c r="G7" s="226"/>
      <c r="H7" s="156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</row>
    <row r="8" spans="1:38">
      <c r="B8" s="159"/>
      <c r="C8" s="160"/>
      <c r="D8" s="161"/>
      <c r="E8" s="161"/>
      <c r="F8" s="161"/>
      <c r="G8" s="162"/>
      <c r="H8" s="159"/>
    </row>
    <row r="9" spans="1:38">
      <c r="B9" s="163"/>
      <c r="C9" s="159"/>
      <c r="D9" s="159"/>
      <c r="E9" s="159"/>
      <c r="F9" s="159"/>
      <c r="G9" s="160"/>
      <c r="H9" s="159"/>
    </row>
    <row r="10" spans="1:38">
      <c r="B10" s="163"/>
      <c r="C10" s="163"/>
      <c r="D10" s="163"/>
      <c r="E10" s="164" t="s">
        <v>226</v>
      </c>
      <c r="F10" s="163"/>
      <c r="G10" s="165"/>
      <c r="H10" s="163"/>
    </row>
    <row r="11" spans="1:38">
      <c r="B11" s="164"/>
      <c r="C11" s="164"/>
      <c r="D11" s="164" t="s">
        <v>228</v>
      </c>
      <c r="E11" s="164" t="s">
        <v>229</v>
      </c>
      <c r="F11" s="164" t="s">
        <v>230</v>
      </c>
      <c r="G11" s="164" t="s">
        <v>3</v>
      </c>
      <c r="H11" s="164" t="s">
        <v>118</v>
      </c>
    </row>
    <row r="12" spans="1:38" ht="13.15">
      <c r="A12" s="166" t="s">
        <v>173</v>
      </c>
      <c r="B12" s="167" t="s">
        <v>24</v>
      </c>
      <c r="C12" s="167" t="s">
        <v>231</v>
      </c>
      <c r="D12" s="167" t="s">
        <v>232</v>
      </c>
      <c r="E12" s="167" t="s">
        <v>76</v>
      </c>
      <c r="F12" s="167" t="s">
        <v>85</v>
      </c>
      <c r="G12" s="167" t="s">
        <v>233</v>
      </c>
      <c r="H12" s="167" t="s">
        <v>233</v>
      </c>
    </row>
    <row r="13" spans="1:38" ht="13.15">
      <c r="A13" s="166"/>
      <c r="B13" s="168">
        <v>-1</v>
      </c>
      <c r="C13" s="168">
        <f t="shared" ref="C13:H13" si="0">+B13-1</f>
        <v>-2</v>
      </c>
      <c r="D13" s="168">
        <f t="shared" si="0"/>
        <v>-3</v>
      </c>
      <c r="E13" s="168">
        <f t="shared" si="0"/>
        <v>-4</v>
      </c>
      <c r="F13" s="168">
        <f t="shared" si="0"/>
        <v>-5</v>
      </c>
      <c r="G13" s="168">
        <f t="shared" si="0"/>
        <v>-6</v>
      </c>
      <c r="H13" s="168">
        <f t="shared" si="0"/>
        <v>-7</v>
      </c>
    </row>
    <row r="14" spans="1:38">
      <c r="A14" s="169">
        <v>1</v>
      </c>
      <c r="B14" s="159">
        <v>2017</v>
      </c>
      <c r="C14" s="161">
        <v>563276.96538461675</v>
      </c>
      <c r="D14" s="161">
        <v>8559392.0346153826</v>
      </c>
      <c r="E14" s="161">
        <v>513563.52207692299</v>
      </c>
      <c r="F14" s="161">
        <v>-179747.23272692302</v>
      </c>
      <c r="G14" s="161">
        <v>333816.28934999992</v>
      </c>
      <c r="H14" s="161">
        <v>333816.28934999992</v>
      </c>
    </row>
    <row r="15" spans="1:38">
      <c r="A15" s="169">
        <f>A14+1</f>
        <v>2</v>
      </c>
      <c r="B15" s="159">
        <v>2018</v>
      </c>
      <c r="C15" s="161">
        <v>1084345.7101630769</v>
      </c>
      <c r="D15" s="161">
        <v>-641976.71016307687</v>
      </c>
      <c r="E15" s="161">
        <v>-32098.835508153847</v>
      </c>
      <c r="F15" s="161">
        <v>6740.755456712307</v>
      </c>
      <c r="G15" s="161">
        <v>-25358.080051441539</v>
      </c>
      <c r="H15" s="161">
        <v>308458.20929855836</v>
      </c>
    </row>
    <row r="16" spans="1:38">
      <c r="A16" s="169">
        <f t="shared" ref="A16:A34" si="1">A15+1</f>
        <v>3</v>
      </c>
      <c r="B16" s="159">
        <v>2019</v>
      </c>
      <c r="C16" s="161">
        <v>1002933.4127661537</v>
      </c>
      <c r="D16" s="161">
        <v>-593777.41276615369</v>
      </c>
      <c r="E16" s="161">
        <v>-29688.870638307686</v>
      </c>
      <c r="F16" s="161">
        <v>6234.6628340446141</v>
      </c>
      <c r="G16" s="161">
        <v>-23454.207804263071</v>
      </c>
      <c r="H16" s="161">
        <v>285004.00149429531</v>
      </c>
    </row>
    <row r="17" spans="1:8">
      <c r="A17" s="169">
        <f t="shared" si="1"/>
        <v>4</v>
      </c>
      <c r="B17" s="159">
        <v>2020</v>
      </c>
      <c r="C17" s="161">
        <v>927829.81738153845</v>
      </c>
      <c r="D17" s="161">
        <v>-549313.81738153845</v>
      </c>
      <c r="E17" s="161">
        <v>-27465.690869076927</v>
      </c>
      <c r="F17" s="161">
        <v>5767.7950825061534</v>
      </c>
      <c r="G17" s="161">
        <v>-21697.895786570771</v>
      </c>
      <c r="H17" s="161">
        <v>263306.10570772452</v>
      </c>
    </row>
    <row r="18" spans="1:8">
      <c r="A18" s="169">
        <f t="shared" si="1"/>
        <v>5</v>
      </c>
      <c r="B18" s="159">
        <v>2021</v>
      </c>
      <c r="C18" s="161">
        <v>858133.68086461525</v>
      </c>
      <c r="D18" s="161">
        <v>-508049.68086461531</v>
      </c>
      <c r="E18" s="161">
        <v>-25402.484043230768</v>
      </c>
      <c r="F18" s="161">
        <v>5334.5216490784605</v>
      </c>
      <c r="G18" s="161">
        <v>-20067.962394152306</v>
      </c>
      <c r="H18" s="161">
        <v>243238.14331357222</v>
      </c>
    </row>
    <row r="19" spans="1:8">
      <c r="A19" s="169">
        <f t="shared" si="1"/>
        <v>6</v>
      </c>
      <c r="B19" s="159">
        <v>2022</v>
      </c>
      <c r="C19" s="161">
        <v>793845.00321538467</v>
      </c>
      <c r="D19" s="161">
        <v>-469988.00321538467</v>
      </c>
      <c r="E19" s="161">
        <v>-23499.400160769233</v>
      </c>
      <c r="F19" s="161">
        <v>4934.8740337615382</v>
      </c>
      <c r="G19" s="161">
        <v>-18564.526127007692</v>
      </c>
      <c r="H19" s="161">
        <v>224673.61718656452</v>
      </c>
    </row>
    <row r="20" spans="1:8">
      <c r="A20" s="169">
        <f t="shared" si="1"/>
        <v>7</v>
      </c>
      <c r="B20" s="159">
        <v>2023</v>
      </c>
      <c r="C20" s="161">
        <v>734212.74847999995</v>
      </c>
      <c r="D20" s="161">
        <v>-434683.74847999989</v>
      </c>
      <c r="E20" s="161">
        <v>-21734.187423999996</v>
      </c>
      <c r="F20" s="161">
        <v>4564.1793590399993</v>
      </c>
      <c r="G20" s="161">
        <v>-17170.008064959999</v>
      </c>
      <c r="H20" s="161">
        <v>207503.60912160453</v>
      </c>
    </row>
    <row r="21" spans="1:8">
      <c r="A21" s="169">
        <f t="shared" si="1"/>
        <v>8</v>
      </c>
      <c r="B21" s="159">
        <v>2024</v>
      </c>
      <c r="C21" s="161">
        <v>679236.91665846156</v>
      </c>
      <c r="D21" s="161">
        <v>-402135.91665846156</v>
      </c>
      <c r="E21" s="161">
        <v>-20106.795832923075</v>
      </c>
      <c r="F21" s="161">
        <v>4222.4271249138455</v>
      </c>
      <c r="G21" s="161">
        <v>-15884.368708009231</v>
      </c>
      <c r="H21" s="161">
        <v>191619.24041359531</v>
      </c>
    </row>
    <row r="22" spans="1:8">
      <c r="A22" s="169">
        <f t="shared" si="1"/>
        <v>9</v>
      </c>
      <c r="B22" s="159">
        <v>2025</v>
      </c>
      <c r="C22" s="161">
        <v>670224.48521230766</v>
      </c>
      <c r="D22" s="161">
        <v>-396799.48521230766</v>
      </c>
      <c r="E22" s="161">
        <v>-19839.974260615381</v>
      </c>
      <c r="F22" s="161">
        <v>4166.3945947292304</v>
      </c>
      <c r="G22" s="161">
        <v>-15673.579665886151</v>
      </c>
      <c r="H22" s="161">
        <v>175945.66074770916</v>
      </c>
    </row>
    <row r="23" spans="1:8">
      <c r="A23" s="169">
        <f t="shared" si="1"/>
        <v>10</v>
      </c>
      <c r="B23" s="159">
        <v>2026</v>
      </c>
      <c r="C23" s="161">
        <v>670074.2780215384</v>
      </c>
      <c r="D23" s="161">
        <v>-396711.27802153846</v>
      </c>
      <c r="E23" s="161">
        <v>-19835.563901076923</v>
      </c>
      <c r="F23" s="161">
        <v>4165.4684192261529</v>
      </c>
      <c r="G23" s="161">
        <v>-15670.095481850769</v>
      </c>
      <c r="H23" s="161">
        <v>160275.5652658584</v>
      </c>
    </row>
    <row r="24" spans="1:8">
      <c r="A24" s="169">
        <f t="shared" si="1"/>
        <v>11</v>
      </c>
      <c r="B24" s="159">
        <v>2027</v>
      </c>
      <c r="C24" s="161">
        <v>670224.48521230766</v>
      </c>
      <c r="D24" s="161">
        <v>-396799.48521230766</v>
      </c>
      <c r="E24" s="161">
        <v>-19839.974260615381</v>
      </c>
      <c r="F24" s="161">
        <v>4166.3945947292304</v>
      </c>
      <c r="G24" s="161">
        <v>-15673.579665886151</v>
      </c>
      <c r="H24" s="161">
        <v>144601.98559997225</v>
      </c>
    </row>
    <row r="25" spans="1:8">
      <c r="A25" s="169">
        <f t="shared" si="1"/>
        <v>12</v>
      </c>
      <c r="B25" s="159">
        <v>2028</v>
      </c>
      <c r="C25" s="161">
        <v>670074.2780215384</v>
      </c>
      <c r="D25" s="161">
        <v>-396711.27802153846</v>
      </c>
      <c r="E25" s="161">
        <v>-19835.563901076923</v>
      </c>
      <c r="F25" s="161">
        <v>4165.4684192261529</v>
      </c>
      <c r="G25" s="161">
        <v>-15670.095481850769</v>
      </c>
      <c r="H25" s="161">
        <v>128931.89011812149</v>
      </c>
    </row>
    <row r="26" spans="1:8">
      <c r="A26" s="169">
        <f t="shared" si="1"/>
        <v>13</v>
      </c>
      <c r="B26" s="159">
        <v>2029</v>
      </c>
      <c r="C26" s="161">
        <v>670224.48521230766</v>
      </c>
      <c r="D26" s="161">
        <v>-396799.48521230766</v>
      </c>
      <c r="E26" s="161">
        <v>-19839.974260615381</v>
      </c>
      <c r="F26" s="161">
        <v>4166.3945947292304</v>
      </c>
      <c r="G26" s="161">
        <v>-15673.579665886151</v>
      </c>
      <c r="H26" s="161">
        <v>113258.31045223534</v>
      </c>
    </row>
    <row r="27" spans="1:8">
      <c r="A27" s="169">
        <f t="shared" si="1"/>
        <v>14</v>
      </c>
      <c r="B27" s="159">
        <v>2030</v>
      </c>
      <c r="C27" s="161">
        <v>670074.2780215384</v>
      </c>
      <c r="D27" s="161">
        <v>-396711.27802153846</v>
      </c>
      <c r="E27" s="161">
        <v>-19835.563901076923</v>
      </c>
      <c r="F27" s="161">
        <v>4165.4684192261529</v>
      </c>
      <c r="G27" s="161">
        <v>-15670.095481850769</v>
      </c>
      <c r="H27" s="161">
        <v>97588.214970384564</v>
      </c>
    </row>
    <row r="28" spans="1:8">
      <c r="A28" s="169">
        <f t="shared" si="1"/>
        <v>15</v>
      </c>
      <c r="B28" s="159">
        <v>2031</v>
      </c>
      <c r="C28" s="161">
        <v>670224.48521230766</v>
      </c>
      <c r="D28" s="161">
        <v>-396799.48521230766</v>
      </c>
      <c r="E28" s="161">
        <v>-19839.974260615381</v>
      </c>
      <c r="F28" s="161">
        <v>4166.3945947292304</v>
      </c>
      <c r="G28" s="161">
        <v>-15673.579665886151</v>
      </c>
      <c r="H28" s="161">
        <v>81914.635304498428</v>
      </c>
    </row>
    <row r="29" spans="1:8">
      <c r="A29" s="169">
        <f t="shared" si="1"/>
        <v>16</v>
      </c>
      <c r="B29" s="159">
        <v>2032</v>
      </c>
      <c r="C29" s="161">
        <v>670074.2780215384</v>
      </c>
      <c r="D29" s="161">
        <v>-396711.27802153846</v>
      </c>
      <c r="E29" s="161">
        <v>-19835.563901076923</v>
      </c>
      <c r="F29" s="161">
        <v>4165.4684192261529</v>
      </c>
      <c r="G29" s="161">
        <v>-15670.095481850769</v>
      </c>
      <c r="H29" s="161">
        <v>66244.539822647654</v>
      </c>
    </row>
    <row r="30" spans="1:8">
      <c r="A30" s="169">
        <f t="shared" si="1"/>
        <v>17</v>
      </c>
      <c r="B30" s="159">
        <v>2033</v>
      </c>
      <c r="C30" s="161">
        <v>670224.48521230766</v>
      </c>
      <c r="D30" s="161">
        <v>-396799.48521230766</v>
      </c>
      <c r="E30" s="161">
        <v>-19839.974260615381</v>
      </c>
      <c r="F30" s="161">
        <v>4166.3945947292304</v>
      </c>
      <c r="G30" s="161">
        <v>-15673.579665886151</v>
      </c>
      <c r="H30" s="161">
        <v>50570.960156761503</v>
      </c>
    </row>
    <row r="31" spans="1:8">
      <c r="A31" s="169">
        <f t="shared" si="1"/>
        <v>18</v>
      </c>
      <c r="B31" s="159">
        <v>2034</v>
      </c>
      <c r="C31" s="161">
        <v>670074.2780215384</v>
      </c>
      <c r="D31" s="161">
        <v>-396711.27802153846</v>
      </c>
      <c r="E31" s="161">
        <v>-19835.563901076923</v>
      </c>
      <c r="F31" s="161">
        <v>4165.4684192261529</v>
      </c>
      <c r="G31" s="161">
        <v>-15670.095481850769</v>
      </c>
      <c r="H31" s="161">
        <v>34900.864674910736</v>
      </c>
    </row>
    <row r="32" spans="1:8">
      <c r="A32" s="169">
        <f t="shared" si="1"/>
        <v>19</v>
      </c>
      <c r="B32" s="159">
        <v>2035</v>
      </c>
      <c r="C32" s="161">
        <v>670224.48521230766</v>
      </c>
      <c r="D32" s="161">
        <v>-396799.48521230766</v>
      </c>
      <c r="E32" s="161">
        <v>-19839.974260615381</v>
      </c>
      <c r="F32" s="161">
        <v>4166.3945947292304</v>
      </c>
      <c r="G32" s="161">
        <v>-15673.579665886151</v>
      </c>
      <c r="H32" s="161">
        <v>19227.285009024581</v>
      </c>
    </row>
    <row r="33" spans="1:8">
      <c r="A33" s="169">
        <f t="shared" si="1"/>
        <v>20</v>
      </c>
      <c r="B33" s="159">
        <v>2036</v>
      </c>
      <c r="C33" s="161">
        <v>670074.2780215384</v>
      </c>
      <c r="D33" s="161">
        <v>-396711.27802153846</v>
      </c>
      <c r="E33" s="161">
        <v>-19835.563901076923</v>
      </c>
      <c r="F33" s="161">
        <v>4165.4684192261529</v>
      </c>
      <c r="G33" s="161">
        <v>-15670.095481850769</v>
      </c>
      <c r="H33" s="161">
        <v>3557.1895271738113</v>
      </c>
    </row>
    <row r="34" spans="1:8">
      <c r="A34" s="169">
        <f t="shared" si="1"/>
        <v>21</v>
      </c>
      <c r="B34" s="159">
        <v>2037</v>
      </c>
      <c r="C34" s="161">
        <v>335112.24260615383</v>
      </c>
      <c r="D34" s="161">
        <v>-198400.24260615383</v>
      </c>
      <c r="E34" s="161">
        <v>-9920.0121303076903</v>
      </c>
      <c r="F34" s="161">
        <v>2083.2025473646149</v>
      </c>
      <c r="G34" s="161">
        <v>-7836.8095829430758</v>
      </c>
      <c r="H34" s="161">
        <v>-4279.6200557692655</v>
      </c>
    </row>
    <row r="35" spans="1:8">
      <c r="A35" s="169">
        <f>A34+1</f>
        <v>22</v>
      </c>
      <c r="B35" s="157" t="s">
        <v>3</v>
      </c>
      <c r="C35" s="161">
        <v>15020719.07692308</v>
      </c>
      <c r="D35" s="161">
        <v>1.9230769220685033</v>
      </c>
      <c r="E35" s="161">
        <v>85594.016499999911</v>
      </c>
      <c r="F35" s="161">
        <v>-89873.636555769219</v>
      </c>
      <c r="G35" s="161">
        <v>-4279.6200557692655</v>
      </c>
      <c r="H35" s="161">
        <v>0</v>
      </c>
    </row>
  </sheetData>
  <mergeCells count="2">
    <mergeCell ref="A6:G6"/>
    <mergeCell ref="A7:G7"/>
  </mergeCells>
  <printOptions horizontalCentered="1"/>
  <pageMargins left="1" right="1" top="1" bottom="1" header="0.3" footer="0.3"/>
  <pageSetup scale="94" fitToHeight="4" orientation="portrait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3">
    <tabColor rgb="FF00B050"/>
    <pageSetUpPr fitToPage="1"/>
  </sheetPr>
  <dimension ref="A1:V26"/>
  <sheetViews>
    <sheetView zoomScaleNormal="100" workbookViewId="0">
      <selection activeCell="F36" sqref="F36"/>
    </sheetView>
  </sheetViews>
  <sheetFormatPr defaultColWidth="9.3984375" defaultRowHeight="12.75"/>
  <cols>
    <col min="1" max="1" width="5.59765625" style="18" customWidth="1"/>
    <col min="2" max="2" width="22.59765625" style="13" customWidth="1"/>
    <col min="3" max="3" width="12.59765625" style="13" customWidth="1"/>
    <col min="4" max="4" width="9.59765625" style="13" customWidth="1"/>
    <col min="5" max="5" width="11.59765625" style="13" customWidth="1"/>
    <col min="6" max="6" width="14.59765625" style="13" customWidth="1"/>
    <col min="7" max="7" width="15.59765625" style="13" customWidth="1"/>
    <col min="8" max="14" width="9.3984375" style="13" customWidth="1"/>
    <col min="15" max="16384" width="9.3984375" style="13"/>
  </cols>
  <sheetData>
    <row r="1" spans="1:22" ht="13.15">
      <c r="G1" s="65" t="s">
        <v>278</v>
      </c>
    </row>
    <row r="2" spans="1:22" ht="13.15">
      <c r="G2" s="65" t="s">
        <v>279</v>
      </c>
    </row>
    <row r="3" spans="1:22" ht="13.15">
      <c r="G3" s="65" t="s">
        <v>280</v>
      </c>
    </row>
    <row r="4" spans="1:22" ht="13.15">
      <c r="G4" s="65" t="s">
        <v>299</v>
      </c>
    </row>
    <row r="7" spans="1:22" ht="13.15">
      <c r="G7" s="65" t="s">
        <v>238</v>
      </c>
    </row>
    <row r="8" spans="1:22" ht="13.15">
      <c r="A8" s="170" t="str">
        <f>'Rev Req 2021 Form 1.1'!A7:S7</f>
        <v>COLUMBIA GAS OF KENTUCKY, INC.</v>
      </c>
      <c r="B8" s="171"/>
      <c r="C8" s="171"/>
      <c r="D8" s="171"/>
      <c r="E8" s="171"/>
      <c r="F8" s="171"/>
      <c r="G8" s="171"/>
      <c r="H8" s="4"/>
      <c r="I8" s="4"/>
      <c r="J8" s="4"/>
    </row>
    <row r="9" spans="1:22" ht="19.899999999999999">
      <c r="A9" s="170" t="str">
        <f>'Rev Req 2021 Form 1.1'!A8:S8</f>
        <v>ANNUAL ADJUSTMENT TO THE SAFETY MODIFICATION AND REPLACEMENT PROGRAM ("SMRP")</v>
      </c>
      <c r="B9" s="171"/>
      <c r="C9" s="171"/>
      <c r="D9" s="171"/>
      <c r="E9" s="171"/>
      <c r="F9" s="171"/>
      <c r="G9" s="171"/>
      <c r="H9" s="66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ht="13.15">
      <c r="A10" s="171" t="s">
        <v>43</v>
      </c>
      <c r="B10" s="171"/>
      <c r="C10" s="171"/>
      <c r="D10" s="171"/>
      <c r="E10" s="171"/>
      <c r="F10" s="171"/>
      <c r="G10" s="171"/>
      <c r="H10" s="4"/>
      <c r="I10" s="4"/>
      <c r="J10" s="4"/>
    </row>
    <row r="12" spans="1:22" ht="13.15">
      <c r="G12" s="155" t="s">
        <v>39</v>
      </c>
    </row>
    <row r="13" spans="1:22" ht="13.15">
      <c r="A13" s="155" t="s">
        <v>4</v>
      </c>
      <c r="E13" s="155" t="s">
        <v>34</v>
      </c>
      <c r="F13" s="155" t="s">
        <v>35</v>
      </c>
      <c r="G13" s="105" t="s">
        <v>45</v>
      </c>
    </row>
    <row r="14" spans="1:22" ht="13.15">
      <c r="A14" s="9" t="s">
        <v>5</v>
      </c>
      <c r="B14" s="9" t="s">
        <v>32</v>
      </c>
      <c r="C14" s="9" t="s">
        <v>33</v>
      </c>
      <c r="D14" s="9" t="s">
        <v>26</v>
      </c>
      <c r="E14" s="9" t="s">
        <v>26</v>
      </c>
      <c r="F14" s="172" t="s">
        <v>89</v>
      </c>
      <c r="G14" s="9" t="s">
        <v>46</v>
      </c>
    </row>
    <row r="15" spans="1:22">
      <c r="K15" s="6"/>
    </row>
    <row r="16" spans="1:22">
      <c r="A16" s="18">
        <v>1</v>
      </c>
      <c r="B16" s="13" t="s">
        <v>36</v>
      </c>
      <c r="C16" s="15">
        <v>3.1099999999999999E-2</v>
      </c>
      <c r="D16" s="217">
        <v>1.4E-2</v>
      </c>
      <c r="E16" s="173">
        <f>C16*D16</f>
        <v>4.3540000000000001E-4</v>
      </c>
      <c r="F16" s="15"/>
      <c r="G16" s="15">
        <f>E16</f>
        <v>4.3540000000000001E-4</v>
      </c>
      <c r="K16" s="14"/>
      <c r="L16" s="15"/>
      <c r="M16" s="16"/>
    </row>
    <row r="17" spans="1:13">
      <c r="A17" s="18">
        <v>2</v>
      </c>
      <c r="B17" s="6" t="s">
        <v>38</v>
      </c>
      <c r="C17" s="15">
        <v>0.44248999999999999</v>
      </c>
      <c r="D17" s="173">
        <v>4.5600000000000002E-2</v>
      </c>
      <c r="E17" s="173">
        <f>C17*D17</f>
        <v>2.0177544000000002E-2</v>
      </c>
      <c r="F17" s="15"/>
      <c r="G17" s="15">
        <f>E17</f>
        <v>2.0177544000000002E-2</v>
      </c>
      <c r="K17" s="14"/>
      <c r="L17" s="15"/>
      <c r="M17" s="16"/>
    </row>
    <row r="18" spans="1:13">
      <c r="A18" s="26">
        <v>3</v>
      </c>
      <c r="B18" s="27" t="s">
        <v>37</v>
      </c>
      <c r="C18" s="174">
        <v>0.52641000000000004</v>
      </c>
      <c r="D18" s="175">
        <v>0.10299999999999999</v>
      </c>
      <c r="E18" s="42">
        <f>C18*D18</f>
        <v>5.4220230000000001E-2</v>
      </c>
      <c r="F18" s="174">
        <f>E18*(0.2495/(1-0.2495))</f>
        <v>1.8025246349100601E-2</v>
      </c>
      <c r="G18" s="174">
        <f>E18/(1-0.2495)</f>
        <v>7.2245476349100612E-2</v>
      </c>
      <c r="K18" s="14"/>
      <c r="L18" s="15"/>
      <c r="M18" s="16"/>
    </row>
    <row r="19" spans="1:13">
      <c r="A19" s="18">
        <v>4</v>
      </c>
      <c r="B19" s="13" t="s">
        <v>3</v>
      </c>
      <c r="C19" s="15">
        <f>SUM(C16:C18)</f>
        <v>1</v>
      </c>
      <c r="E19" s="15">
        <f>SUM(E16:E18)</f>
        <v>7.4833174000000002E-2</v>
      </c>
      <c r="F19" s="15">
        <f>SUM(F16:F18)</f>
        <v>1.8025246349100601E-2</v>
      </c>
      <c r="G19" s="15">
        <f>ROUND(SUM(G16:G18),4)</f>
        <v>9.2899999999999996E-2</v>
      </c>
      <c r="K19" s="17"/>
      <c r="L19" s="15"/>
      <c r="M19" s="15"/>
    </row>
    <row r="20" spans="1:13" ht="15.4">
      <c r="A20" s="5"/>
      <c r="B20" s="2"/>
      <c r="C20" s="7"/>
      <c r="D20" s="2"/>
      <c r="E20" s="7"/>
      <c r="F20" s="7"/>
      <c r="G20" s="7"/>
      <c r="K20" s="17"/>
      <c r="L20" s="15"/>
      <c r="M20" s="15"/>
    </row>
    <row r="21" spans="1:13" ht="15.4">
      <c r="A21" s="5"/>
      <c r="B21" s="2"/>
      <c r="C21" s="2"/>
      <c r="D21" s="2"/>
      <c r="E21" s="2"/>
      <c r="F21" s="2"/>
      <c r="G21" s="2"/>
    </row>
    <row r="22" spans="1:13" ht="15.4">
      <c r="A22" s="11"/>
      <c r="B22" s="2"/>
      <c r="C22" s="2"/>
      <c r="D22" s="2"/>
      <c r="E22" s="2"/>
      <c r="F22" s="2"/>
      <c r="G22" s="2"/>
    </row>
    <row r="23" spans="1:13" ht="15.4">
      <c r="C23" s="2"/>
      <c r="D23" s="2"/>
      <c r="E23" s="2"/>
      <c r="F23" s="2"/>
      <c r="G23" s="2"/>
    </row>
    <row r="24" spans="1:13" ht="15.4">
      <c r="A24" s="5"/>
      <c r="B24" s="2"/>
      <c r="C24" s="2"/>
      <c r="D24" s="2"/>
      <c r="E24" s="2"/>
      <c r="F24" s="2"/>
      <c r="G24" s="2"/>
    </row>
    <row r="25" spans="1:13" ht="15.4">
      <c r="A25" s="5"/>
      <c r="B25" s="2"/>
      <c r="C25" s="2"/>
      <c r="D25" s="2"/>
      <c r="E25" s="2"/>
      <c r="F25" s="2"/>
      <c r="G25" s="2"/>
    </row>
    <row r="26" spans="1:13" ht="13.15">
      <c r="D26" s="3"/>
    </row>
  </sheetData>
  <hyperlinks>
    <hyperlink ref="G14" r:id="rId1" display="^@ 38.9%" xr:uid="{00000000-0004-0000-0200-000000000000}"/>
  </hyperlinks>
  <printOptions horizontalCentered="1"/>
  <pageMargins left="0.5" right="0.62187499999999996" top="1" bottom="0.75" header="0.3" footer="0.3"/>
  <pageSetup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4">
    <tabColor rgb="FFFF0000"/>
    <pageSetUpPr fitToPage="1"/>
  </sheetPr>
  <dimension ref="A1:AE48"/>
  <sheetViews>
    <sheetView topLeftCell="C22" zoomScaleNormal="100" workbookViewId="0">
      <selection activeCell="F36" sqref="F36"/>
    </sheetView>
  </sheetViews>
  <sheetFormatPr defaultColWidth="9.3984375" defaultRowHeight="12.75"/>
  <cols>
    <col min="1" max="1" width="9.3984375" style="13"/>
    <col min="2" max="2" width="47.59765625" style="13" bestFit="1" customWidth="1"/>
    <col min="3" max="3" width="9.86328125" style="13" bestFit="1" customWidth="1"/>
    <col min="4" max="16" width="15.59765625" style="13" customWidth="1"/>
    <col min="17" max="17" width="12.3984375" style="13" bestFit="1" customWidth="1"/>
    <col min="18" max="18" width="16.3984375" style="13" bestFit="1" customWidth="1"/>
    <col min="19" max="31" width="14.59765625" style="13" customWidth="1"/>
    <col min="32" max="32" width="9.3984375" style="13"/>
    <col min="33" max="33" width="10.59765625" style="13" bestFit="1" customWidth="1"/>
    <col min="34" max="16384" width="9.3984375" style="13"/>
  </cols>
  <sheetData>
    <row r="1" spans="1:31" ht="13.15">
      <c r="P1" s="65" t="s">
        <v>278</v>
      </c>
    </row>
    <row r="2" spans="1:31" ht="13.15">
      <c r="P2" s="65" t="s">
        <v>279</v>
      </c>
    </row>
    <row r="3" spans="1:31" ht="13.15">
      <c r="P3" s="65" t="s">
        <v>280</v>
      </c>
    </row>
    <row r="4" spans="1:31" ht="13.15">
      <c r="P4" s="65" t="s">
        <v>298</v>
      </c>
    </row>
    <row r="7" spans="1:31" ht="13.15">
      <c r="P7" s="65" t="s">
        <v>250</v>
      </c>
    </row>
    <row r="8" spans="1:31" ht="13.15">
      <c r="A8" s="171" t="s">
        <v>117</v>
      </c>
      <c r="B8" s="201"/>
      <c r="C8" s="201"/>
      <c r="D8" s="201"/>
      <c r="E8" s="201"/>
      <c r="F8" s="201"/>
      <c r="G8" s="201"/>
      <c r="H8" s="201"/>
      <c r="I8" s="201"/>
      <c r="J8" s="171"/>
      <c r="K8" s="171"/>
      <c r="L8" s="171"/>
      <c r="M8" s="171"/>
      <c r="N8" s="171"/>
      <c r="O8" s="171"/>
      <c r="P8" s="171"/>
      <c r="R8" s="66"/>
      <c r="S8" s="66"/>
      <c r="T8" s="66"/>
      <c r="U8" s="66"/>
      <c r="V8" s="66"/>
      <c r="W8" s="66"/>
      <c r="X8" s="66"/>
      <c r="Y8" s="19"/>
      <c r="Z8" s="19"/>
      <c r="AA8" s="19"/>
      <c r="AB8" s="19"/>
      <c r="AC8" s="19"/>
      <c r="AD8" s="19"/>
      <c r="AE8" s="19"/>
    </row>
    <row r="9" spans="1:31" ht="13.15">
      <c r="A9" s="171" t="s">
        <v>115</v>
      </c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66"/>
      <c r="R9" s="66"/>
      <c r="S9" s="66"/>
      <c r="T9" s="66"/>
      <c r="U9" s="66"/>
      <c r="V9" s="66"/>
      <c r="W9" s="66"/>
      <c r="X9" s="66"/>
      <c r="Y9" s="19"/>
      <c r="Z9" s="19"/>
      <c r="AA9" s="19"/>
      <c r="AB9" s="19"/>
      <c r="AC9" s="19"/>
      <c r="AD9" s="19"/>
      <c r="AE9" s="19"/>
    </row>
    <row r="10" spans="1:31" ht="13.15">
      <c r="A10" s="171" t="s">
        <v>72</v>
      </c>
      <c r="B10" s="201"/>
      <c r="C10" s="201"/>
      <c r="D10" s="201"/>
      <c r="E10" s="201"/>
      <c r="F10" s="201"/>
      <c r="G10" s="201"/>
      <c r="H10" s="201"/>
      <c r="I10" s="201"/>
      <c r="J10" s="171"/>
      <c r="K10" s="171"/>
      <c r="L10" s="171"/>
      <c r="M10" s="171"/>
      <c r="N10" s="171"/>
      <c r="O10" s="171"/>
      <c r="P10" s="171"/>
      <c r="R10" s="66"/>
      <c r="S10" s="66"/>
      <c r="T10" s="66"/>
      <c r="U10" s="66"/>
      <c r="V10" s="66"/>
      <c r="W10" s="66"/>
      <c r="X10" s="66"/>
      <c r="Y10" s="19"/>
      <c r="Z10" s="19"/>
      <c r="AA10" s="19"/>
      <c r="AB10" s="19"/>
      <c r="AC10" s="19"/>
      <c r="AD10" s="19"/>
      <c r="AE10" s="19"/>
    </row>
    <row r="11" spans="1:31">
      <c r="R11" s="19"/>
      <c r="S11" s="19"/>
      <c r="T11" s="19"/>
      <c r="U11" s="19"/>
      <c r="V11" s="19"/>
      <c r="W11" s="19"/>
      <c r="Y11" s="19"/>
      <c r="Z11" s="19"/>
      <c r="AA11" s="19"/>
      <c r="AB11" s="19"/>
      <c r="AC11" s="19"/>
      <c r="AD11" s="19"/>
      <c r="AE11" s="19"/>
    </row>
    <row r="12" spans="1:31">
      <c r="R12" s="19"/>
      <c r="S12" s="19"/>
      <c r="T12" s="19"/>
      <c r="U12" s="19"/>
      <c r="V12" s="19"/>
      <c r="W12" s="19"/>
      <c r="Y12" s="19"/>
      <c r="Z12" s="19"/>
      <c r="AA12" s="19"/>
      <c r="AB12" s="19"/>
      <c r="AC12" s="19"/>
      <c r="AD12" s="19"/>
      <c r="AE12" s="19"/>
    </row>
    <row r="13" spans="1:31" s="3" customFormat="1" ht="13.15">
      <c r="A13" s="155" t="s">
        <v>4</v>
      </c>
      <c r="P13" s="155" t="s">
        <v>44</v>
      </c>
      <c r="R13" s="13"/>
      <c r="S13" s="13"/>
      <c r="T13" s="13"/>
      <c r="U13" s="13"/>
      <c r="V13" s="13"/>
      <c r="W13" s="13"/>
      <c r="X13" s="13"/>
    </row>
    <row r="14" spans="1:31" ht="13.5" thickBot="1">
      <c r="A14" s="202" t="s">
        <v>5</v>
      </c>
      <c r="B14" s="202" t="s">
        <v>6</v>
      </c>
      <c r="C14" s="202" t="s">
        <v>98</v>
      </c>
      <c r="D14" s="202" t="s">
        <v>50</v>
      </c>
      <c r="E14" s="202" t="s">
        <v>51</v>
      </c>
      <c r="F14" s="202" t="s">
        <v>86</v>
      </c>
      <c r="G14" s="202" t="s">
        <v>87</v>
      </c>
      <c r="H14" s="202" t="s">
        <v>52</v>
      </c>
      <c r="I14" s="202" t="s">
        <v>88</v>
      </c>
      <c r="J14" s="202" t="s">
        <v>53</v>
      </c>
      <c r="K14" s="202" t="s">
        <v>54</v>
      </c>
      <c r="L14" s="202" t="s">
        <v>55</v>
      </c>
      <c r="M14" s="202" t="s">
        <v>56</v>
      </c>
      <c r="N14" s="202" t="s">
        <v>57</v>
      </c>
      <c r="O14" s="202" t="s">
        <v>58</v>
      </c>
      <c r="P14" s="202">
        <v>2020</v>
      </c>
    </row>
    <row r="15" spans="1:31" ht="13.15">
      <c r="A15" s="203"/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</row>
    <row r="16" spans="1:31" ht="13.15">
      <c r="B16" s="204"/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</row>
    <row r="17" spans="1:18">
      <c r="A17" s="18">
        <v>1</v>
      </c>
      <c r="B17" s="13" t="str">
        <f>'202201 Bk Depr Form 2.1'!C19</f>
        <v>Mains</v>
      </c>
      <c r="C17" s="18">
        <f>'202201 Bk Depr Form 2.1'!D19</f>
        <v>376</v>
      </c>
      <c r="D17" s="205">
        <v>822195.70691731083</v>
      </c>
      <c r="E17" s="205">
        <v>2004747.4487841479</v>
      </c>
      <c r="F17" s="205">
        <v>2143358.799215673</v>
      </c>
      <c r="G17" s="205">
        <v>1678558.4563323304</v>
      </c>
      <c r="H17" s="205">
        <v>1513403.8753905417</v>
      </c>
      <c r="I17" s="205">
        <v>1705746.6278187593</v>
      </c>
      <c r="J17" s="205">
        <v>1921142.4161329293</v>
      </c>
      <c r="K17" s="205">
        <v>2798606.0292806099</v>
      </c>
      <c r="L17" s="205">
        <v>2062977.2679058742</v>
      </c>
      <c r="M17" s="205">
        <v>3305344.6638302966</v>
      </c>
      <c r="N17" s="205">
        <v>5118235.0712168003</v>
      </c>
      <c r="O17" s="205">
        <v>6019736.5181747284</v>
      </c>
      <c r="P17" s="21">
        <f>SUM(D17:O17)</f>
        <v>31094052.880999997</v>
      </c>
      <c r="Q17" s="20"/>
    </row>
    <row r="18" spans="1:18">
      <c r="A18" s="18">
        <f>A17+1</f>
        <v>2</v>
      </c>
      <c r="B18" s="13" t="str">
        <f>'202201 Bk Depr Form 2.1'!C20</f>
        <v>Mains - In-Line Inspections</v>
      </c>
      <c r="C18" s="18">
        <f>'202201 Bk Depr Form 2.1'!D20</f>
        <v>376</v>
      </c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1">
        <f t="shared" ref="P18:P24" si="0">SUM(D18:O18)</f>
        <v>0</v>
      </c>
      <c r="Q18" s="20"/>
    </row>
    <row r="19" spans="1:18">
      <c r="A19" s="18">
        <f>A18+1</f>
        <v>3</v>
      </c>
      <c r="B19" s="13" t="str">
        <f>'202201 Bk Depr Form 2.1'!C21</f>
        <v>Plant Regulators</v>
      </c>
      <c r="C19" s="18">
        <f>'202201 Bk Depr Form 2.1'!D21</f>
        <v>378</v>
      </c>
      <c r="D19" s="205">
        <v>23797.995682889628</v>
      </c>
      <c r="E19" s="205">
        <v>58026.295600990394</v>
      </c>
      <c r="F19" s="205">
        <v>62038.323748810297</v>
      </c>
      <c r="G19" s="205">
        <v>48584.937334502669</v>
      </c>
      <c r="H19" s="205">
        <v>43804.630199358013</v>
      </c>
      <c r="I19" s="205">
        <v>49371.883778294759</v>
      </c>
      <c r="J19" s="205">
        <v>55606.3946098245</v>
      </c>
      <c r="K19" s="205">
        <v>81004.088981003384</v>
      </c>
      <c r="L19" s="205">
        <v>59711.725204204864</v>
      </c>
      <c r="M19" s="205">
        <v>95671.355832324523</v>
      </c>
      <c r="N19" s="205">
        <v>148144.45648897268</v>
      </c>
      <c r="O19" s="205">
        <v>174237.91253882428</v>
      </c>
      <c r="P19" s="21">
        <f t="shared" si="0"/>
        <v>899999.99999999988</v>
      </c>
      <c r="Q19" s="20"/>
    </row>
    <row r="20" spans="1:18">
      <c r="A20" s="18">
        <f t="shared" ref="A20:A25" si="1">A19+1</f>
        <v>4</v>
      </c>
      <c r="B20" s="13" t="str">
        <f>'202201 Bk Depr Form 2.1'!C22</f>
        <v>Plant Regulators - LP Program</v>
      </c>
      <c r="C20" s="18">
        <f>'202201 Bk Depr Form 2.1'!D22</f>
        <v>378</v>
      </c>
      <c r="D20" s="205">
        <v>0</v>
      </c>
      <c r="E20" s="205">
        <v>0</v>
      </c>
      <c r="F20" s="205">
        <v>0</v>
      </c>
      <c r="G20" s="205">
        <v>0</v>
      </c>
      <c r="H20" s="205">
        <v>0</v>
      </c>
      <c r="I20" s="205">
        <v>0</v>
      </c>
      <c r="J20" s="205">
        <v>0</v>
      </c>
      <c r="K20" s="205">
        <v>0</v>
      </c>
      <c r="L20" s="205">
        <v>0</v>
      </c>
      <c r="M20" s="205">
        <v>0</v>
      </c>
      <c r="N20" s="205">
        <v>0</v>
      </c>
      <c r="O20" s="205">
        <v>0</v>
      </c>
      <c r="P20" s="21">
        <f t="shared" si="0"/>
        <v>0</v>
      </c>
      <c r="Q20" s="20"/>
    </row>
    <row r="21" spans="1:18">
      <c r="A21" s="18">
        <f t="shared" si="1"/>
        <v>5</v>
      </c>
      <c r="B21" s="13" t="str">
        <f>'202201 Bk Depr Form 2.1'!C23</f>
        <v>Service Lines</v>
      </c>
      <c r="C21" s="18">
        <f>'202201 Bk Depr Form 2.1'!D23</f>
        <v>380</v>
      </c>
      <c r="D21" s="205">
        <v>208804.32753269971</v>
      </c>
      <c r="E21" s="205">
        <v>509124.45710248448</v>
      </c>
      <c r="F21" s="205">
        <v>544326.1123431446</v>
      </c>
      <c r="G21" s="205">
        <v>426285.69664138119</v>
      </c>
      <c r="H21" s="205">
        <v>384343.13853463688</v>
      </c>
      <c r="I21" s="205">
        <v>433190.38833011856</v>
      </c>
      <c r="J21" s="205">
        <v>487892.17326274078</v>
      </c>
      <c r="K21" s="205">
        <v>710732.30504190223</v>
      </c>
      <c r="L21" s="205">
        <v>523912.46696652239</v>
      </c>
      <c r="M21" s="205">
        <v>839423.34408746019</v>
      </c>
      <c r="N21" s="205">
        <v>1299823.9022758417</v>
      </c>
      <c r="O21" s="205">
        <v>1528768.6678810667</v>
      </c>
      <c r="P21" s="21">
        <f t="shared" si="0"/>
        <v>7896626.9800000004</v>
      </c>
      <c r="Q21" s="20"/>
    </row>
    <row r="22" spans="1:18">
      <c r="A22" s="18">
        <f t="shared" si="1"/>
        <v>6</v>
      </c>
      <c r="B22" s="13" t="str">
        <f>'202201 Bk Depr Form 2.1'!C24</f>
        <v>Meter Installations</v>
      </c>
      <c r="C22" s="18">
        <f>'202201 Bk Depr Form 2.1'!D24</f>
        <v>382</v>
      </c>
      <c r="D22" s="205">
        <v>1409.8022546083059</v>
      </c>
      <c r="E22" s="205">
        <v>3437.4996724476755</v>
      </c>
      <c r="F22" s="205">
        <v>3675.1737355796045</v>
      </c>
      <c r="G22" s="205">
        <v>2878.1900420055977</v>
      </c>
      <c r="H22" s="205">
        <v>2595.0028414258213</v>
      </c>
      <c r="I22" s="205">
        <v>2924.8090466267199</v>
      </c>
      <c r="J22" s="205">
        <v>3294.1438235461892</v>
      </c>
      <c r="K22" s="205">
        <v>4798.7128327793662</v>
      </c>
      <c r="L22" s="205">
        <v>3537.345158859951</v>
      </c>
      <c r="M22" s="205">
        <v>5667.607262019108</v>
      </c>
      <c r="N22" s="205">
        <v>8776.133568090303</v>
      </c>
      <c r="O22" s="205">
        <v>10321.919762011354</v>
      </c>
      <c r="P22" s="21">
        <f t="shared" si="0"/>
        <v>53316.34</v>
      </c>
      <c r="Q22" s="20"/>
    </row>
    <row r="23" spans="1:18">
      <c r="A23" s="18">
        <f t="shared" si="1"/>
        <v>7</v>
      </c>
      <c r="B23" s="13" t="str">
        <f>'202201 Bk Depr Form 2.1'!C25</f>
        <v>House Regulators</v>
      </c>
      <c r="C23" s="18">
        <f>'202201 Bk Depr Form 2.1'!D25</f>
        <v>383</v>
      </c>
      <c r="D23" s="205">
        <v>1846.3923507413713</v>
      </c>
      <c r="E23" s="205">
        <v>4502.0307494449107</v>
      </c>
      <c r="F23" s="205">
        <v>4813.3081436340281</v>
      </c>
      <c r="G23" s="205">
        <v>3769.5131073652719</v>
      </c>
      <c r="H23" s="205">
        <v>3398.6279855198432</v>
      </c>
      <c r="I23" s="205">
        <v>3830.569169128722</v>
      </c>
      <c r="J23" s="205">
        <v>4314.2802035931591</v>
      </c>
      <c r="K23" s="205">
        <v>6284.7868478618602</v>
      </c>
      <c r="L23" s="205">
        <v>4632.7965655478911</v>
      </c>
      <c r="M23" s="205">
        <v>7422.7620656669887</v>
      </c>
      <c r="N23" s="205">
        <v>11493.942385351498</v>
      </c>
      <c r="O23" s="205">
        <v>13518.430426144441</v>
      </c>
      <c r="P23" s="21">
        <f t="shared" si="0"/>
        <v>69827.439999999988</v>
      </c>
      <c r="Q23" s="20"/>
    </row>
    <row r="24" spans="1:18">
      <c r="A24" s="18">
        <f t="shared" si="1"/>
        <v>8</v>
      </c>
      <c r="B24" s="13" t="str">
        <f>'202201 Bk Depr Form 2.1'!C26</f>
        <v>GPS Devices</v>
      </c>
      <c r="C24" s="18">
        <f>'202201 Bk Depr Form 2.1'!D26</f>
        <v>387</v>
      </c>
      <c r="D24" s="206">
        <v>0</v>
      </c>
      <c r="E24" s="206">
        <v>0</v>
      </c>
      <c r="F24" s="206">
        <v>0</v>
      </c>
      <c r="G24" s="206">
        <v>0</v>
      </c>
      <c r="H24" s="206">
        <v>0</v>
      </c>
      <c r="I24" s="206">
        <v>0</v>
      </c>
      <c r="J24" s="206">
        <v>0</v>
      </c>
      <c r="K24" s="206">
        <v>0</v>
      </c>
      <c r="L24" s="206">
        <v>0</v>
      </c>
      <c r="M24" s="206">
        <v>0</v>
      </c>
      <c r="N24" s="206">
        <v>0</v>
      </c>
      <c r="O24" s="206">
        <v>0</v>
      </c>
      <c r="P24" s="207">
        <f t="shared" si="0"/>
        <v>0</v>
      </c>
      <c r="Q24" s="21"/>
    </row>
    <row r="25" spans="1:18">
      <c r="A25" s="18">
        <f t="shared" si="1"/>
        <v>9</v>
      </c>
      <c r="B25" s="13" t="s">
        <v>48</v>
      </c>
      <c r="D25" s="20">
        <f t="shared" ref="D25:O25" si="2">SUM(D17:D24)</f>
        <v>1058054.22473825</v>
      </c>
      <c r="E25" s="20">
        <f t="shared" si="2"/>
        <v>2579837.7319095153</v>
      </c>
      <c r="F25" s="20">
        <f t="shared" si="2"/>
        <v>2758211.7171868412</v>
      </c>
      <c r="G25" s="20">
        <f t="shared" si="2"/>
        <v>2160076.7934575849</v>
      </c>
      <c r="H25" s="20">
        <f t="shared" si="2"/>
        <v>1947545.2749514824</v>
      </c>
      <c r="I25" s="20">
        <f t="shared" si="2"/>
        <v>2195064.2781429281</v>
      </c>
      <c r="J25" s="20">
        <f t="shared" si="2"/>
        <v>2472249.4080326338</v>
      </c>
      <c r="K25" s="20">
        <f t="shared" si="2"/>
        <v>3601425.9229841568</v>
      </c>
      <c r="L25" s="20">
        <f t="shared" si="2"/>
        <v>2654771.6018010094</v>
      </c>
      <c r="M25" s="20">
        <f t="shared" si="2"/>
        <v>4253529.7330777673</v>
      </c>
      <c r="N25" s="20">
        <f t="shared" si="2"/>
        <v>6586473.5059350561</v>
      </c>
      <c r="O25" s="20">
        <f t="shared" si="2"/>
        <v>7746583.4487827756</v>
      </c>
      <c r="P25" s="20">
        <f>SUM(P17:P24)</f>
        <v>40013823.641000003</v>
      </c>
      <c r="Q25" s="20"/>
      <c r="R25" s="20"/>
    </row>
    <row r="26" spans="1:18">
      <c r="J26" s="20"/>
      <c r="K26" s="20"/>
      <c r="L26" s="20"/>
      <c r="M26" s="20"/>
      <c r="N26" s="20"/>
      <c r="O26" s="20"/>
      <c r="P26" s="20"/>
      <c r="Q26" s="20"/>
    </row>
    <row r="27" spans="1:18">
      <c r="A27" s="18">
        <f>A25+1</f>
        <v>10</v>
      </c>
      <c r="B27" s="13" t="s">
        <v>99</v>
      </c>
      <c r="C27" s="18">
        <f>C17</f>
        <v>376</v>
      </c>
      <c r="D27" s="205">
        <v>-166254</v>
      </c>
      <c r="E27" s="205">
        <v>-228600</v>
      </c>
      <c r="F27" s="205">
        <v>-415636</v>
      </c>
      <c r="G27" s="205">
        <v>-457200</v>
      </c>
      <c r="H27" s="205">
        <v>-498763</v>
      </c>
      <c r="I27" s="205">
        <v>-519545</v>
      </c>
      <c r="J27" s="205">
        <v>-415636</v>
      </c>
      <c r="K27" s="205">
        <v>-384463</v>
      </c>
      <c r="L27" s="205">
        <v>-446809</v>
      </c>
      <c r="M27" s="205">
        <v>-374072</v>
      </c>
      <c r="N27" s="205">
        <v>-166254</v>
      </c>
      <c r="O27" s="205">
        <v>-83127</v>
      </c>
      <c r="P27" s="21">
        <f>SUM(D27:O27)</f>
        <v>-4156359</v>
      </c>
      <c r="Q27" s="20"/>
    </row>
    <row r="28" spans="1:18">
      <c r="A28" s="18">
        <f t="shared" ref="A28:A33" si="3">A27+1</f>
        <v>11</v>
      </c>
      <c r="B28" s="13" t="s">
        <v>100</v>
      </c>
      <c r="C28" s="18">
        <f t="shared" ref="C28:C34" si="4">C18</f>
        <v>376</v>
      </c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1">
        <f>SUM(D28:O28)</f>
        <v>0</v>
      </c>
      <c r="Q28" s="20"/>
    </row>
    <row r="29" spans="1:18">
      <c r="A29" s="18">
        <f t="shared" si="3"/>
        <v>12</v>
      </c>
      <c r="B29" s="13" t="s">
        <v>101</v>
      </c>
      <c r="C29" s="18">
        <f t="shared" si="4"/>
        <v>378</v>
      </c>
      <c r="D29" s="205">
        <v>-4812</v>
      </c>
      <c r="E29" s="205">
        <v>-4812</v>
      </c>
      <c r="F29" s="205">
        <v>-6015</v>
      </c>
      <c r="G29" s="205">
        <v>-8421</v>
      </c>
      <c r="H29" s="205">
        <v>-12030</v>
      </c>
      <c r="I29" s="205">
        <v>-12030</v>
      </c>
      <c r="J29" s="205">
        <v>-12030</v>
      </c>
      <c r="K29" s="205">
        <v>-12030</v>
      </c>
      <c r="L29" s="205">
        <v>-12030</v>
      </c>
      <c r="M29" s="205">
        <v>-12030</v>
      </c>
      <c r="N29" s="205">
        <v>-12030</v>
      </c>
      <c r="O29" s="205">
        <v>-12030</v>
      </c>
      <c r="P29" s="21">
        <f t="shared" ref="P29:P33" si="5">SUM(D29:O29)</f>
        <v>-120300</v>
      </c>
      <c r="Q29" s="20"/>
    </row>
    <row r="30" spans="1:18">
      <c r="A30" s="18">
        <f t="shared" si="3"/>
        <v>13</v>
      </c>
      <c r="B30" s="13" t="s">
        <v>102</v>
      </c>
      <c r="C30" s="18">
        <f t="shared" si="4"/>
        <v>378</v>
      </c>
      <c r="D30" s="205">
        <v>0</v>
      </c>
      <c r="E30" s="205">
        <v>0</v>
      </c>
      <c r="F30" s="205">
        <v>0</v>
      </c>
      <c r="G30" s="205">
        <v>0</v>
      </c>
      <c r="H30" s="205">
        <v>0</v>
      </c>
      <c r="I30" s="205">
        <v>0</v>
      </c>
      <c r="J30" s="205">
        <v>0</v>
      </c>
      <c r="K30" s="205">
        <v>0</v>
      </c>
      <c r="L30" s="205">
        <v>0</v>
      </c>
      <c r="M30" s="205">
        <v>0</v>
      </c>
      <c r="N30" s="205">
        <v>0</v>
      </c>
      <c r="O30" s="205">
        <v>0</v>
      </c>
      <c r="P30" s="21">
        <f t="shared" si="5"/>
        <v>0</v>
      </c>
      <c r="Q30" s="20"/>
    </row>
    <row r="31" spans="1:18">
      <c r="A31" s="18">
        <f t="shared" si="3"/>
        <v>14</v>
      </c>
      <c r="B31" s="13" t="s">
        <v>103</v>
      </c>
      <c r="C31" s="18">
        <f t="shared" si="4"/>
        <v>380</v>
      </c>
      <c r="D31" s="205">
        <v>-52777</v>
      </c>
      <c r="E31" s="205">
        <v>-63333</v>
      </c>
      <c r="F31" s="205">
        <v>-73888</v>
      </c>
      <c r="G31" s="205">
        <v>-94999</v>
      </c>
      <c r="H31" s="205">
        <v>-100277</v>
      </c>
      <c r="I31" s="205">
        <v>-105555</v>
      </c>
      <c r="J31" s="205">
        <v>-110832</v>
      </c>
      <c r="K31" s="205">
        <v>-94999</v>
      </c>
      <c r="L31" s="205">
        <v>-84444</v>
      </c>
      <c r="M31" s="205">
        <v>-105555</v>
      </c>
      <c r="N31" s="205">
        <v>-105555</v>
      </c>
      <c r="O31" s="205">
        <v>-63333</v>
      </c>
      <c r="P31" s="21">
        <f t="shared" si="5"/>
        <v>-1055547</v>
      </c>
      <c r="Q31" s="20"/>
    </row>
    <row r="32" spans="1:18">
      <c r="A32" s="18">
        <f t="shared" si="3"/>
        <v>15</v>
      </c>
      <c r="B32" s="13" t="s">
        <v>104</v>
      </c>
      <c r="C32" s="18">
        <f t="shared" si="4"/>
        <v>382</v>
      </c>
      <c r="D32" s="205">
        <v>-285</v>
      </c>
      <c r="E32" s="205">
        <v>-285</v>
      </c>
      <c r="F32" s="205">
        <v>-356</v>
      </c>
      <c r="G32" s="205">
        <v>-499</v>
      </c>
      <c r="H32" s="205">
        <v>-713</v>
      </c>
      <c r="I32" s="205">
        <v>-713</v>
      </c>
      <c r="J32" s="205">
        <v>-713</v>
      </c>
      <c r="K32" s="205">
        <v>-713</v>
      </c>
      <c r="L32" s="205">
        <v>-713</v>
      </c>
      <c r="M32" s="205">
        <v>-713</v>
      </c>
      <c r="N32" s="205">
        <v>-713</v>
      </c>
      <c r="O32" s="205">
        <v>-713</v>
      </c>
      <c r="P32" s="21">
        <f t="shared" si="5"/>
        <v>-7129</v>
      </c>
      <c r="Q32" s="20"/>
    </row>
    <row r="33" spans="1:17" s="23" customFormat="1">
      <c r="A33" s="18">
        <f t="shared" si="3"/>
        <v>16</v>
      </c>
      <c r="B33" s="13" t="s">
        <v>105</v>
      </c>
      <c r="C33" s="18">
        <f t="shared" si="4"/>
        <v>383</v>
      </c>
      <c r="D33" s="205">
        <v>-373</v>
      </c>
      <c r="E33" s="205">
        <v>-373</v>
      </c>
      <c r="F33" s="205">
        <v>-467</v>
      </c>
      <c r="G33" s="205">
        <v>-653</v>
      </c>
      <c r="H33" s="205">
        <v>-933</v>
      </c>
      <c r="I33" s="205">
        <v>-933</v>
      </c>
      <c r="J33" s="205">
        <v>-933</v>
      </c>
      <c r="K33" s="205">
        <v>-933</v>
      </c>
      <c r="L33" s="205">
        <v>-933</v>
      </c>
      <c r="M33" s="205">
        <v>-933</v>
      </c>
      <c r="N33" s="205">
        <v>-933</v>
      </c>
      <c r="O33" s="205">
        <v>-933</v>
      </c>
      <c r="P33" s="21">
        <f t="shared" si="5"/>
        <v>-9330</v>
      </c>
      <c r="Q33" s="21"/>
    </row>
    <row r="34" spans="1:17">
      <c r="A34" s="18">
        <f>A33+1</f>
        <v>17</v>
      </c>
      <c r="B34" s="13" t="s">
        <v>106</v>
      </c>
      <c r="C34" s="18">
        <f t="shared" si="4"/>
        <v>387</v>
      </c>
      <c r="D34" s="206">
        <v>0</v>
      </c>
      <c r="E34" s="206">
        <v>0</v>
      </c>
      <c r="F34" s="206">
        <v>0</v>
      </c>
      <c r="G34" s="206">
        <v>0</v>
      </c>
      <c r="H34" s="206">
        <v>0</v>
      </c>
      <c r="I34" s="206">
        <v>0</v>
      </c>
      <c r="J34" s="206">
        <v>0</v>
      </c>
      <c r="K34" s="206">
        <v>0</v>
      </c>
      <c r="L34" s="206">
        <v>0</v>
      </c>
      <c r="M34" s="206">
        <v>0</v>
      </c>
      <c r="N34" s="206">
        <v>0</v>
      </c>
      <c r="O34" s="206">
        <v>0</v>
      </c>
      <c r="P34" s="207">
        <f t="shared" ref="P34" si="6">SUM(D34:O34)</f>
        <v>0</v>
      </c>
      <c r="Q34" s="20"/>
    </row>
    <row r="35" spans="1:17">
      <c r="A35" s="18">
        <f>A34+1</f>
        <v>18</v>
      </c>
      <c r="B35" s="13" t="s">
        <v>75</v>
      </c>
      <c r="D35" s="21">
        <f>SUM(D27:D34)</f>
        <v>-224501</v>
      </c>
      <c r="E35" s="21">
        <f t="shared" ref="E35:P35" si="7">SUM(E27:E34)</f>
        <v>-297403</v>
      </c>
      <c r="F35" s="21">
        <f t="shared" si="7"/>
        <v>-496362</v>
      </c>
      <c r="G35" s="21">
        <f t="shared" si="7"/>
        <v>-561772</v>
      </c>
      <c r="H35" s="21">
        <f t="shared" si="7"/>
        <v>-612716</v>
      </c>
      <c r="I35" s="21">
        <f t="shared" si="7"/>
        <v>-638776</v>
      </c>
      <c r="J35" s="21">
        <f t="shared" si="7"/>
        <v>-540144</v>
      </c>
      <c r="K35" s="21">
        <f t="shared" si="7"/>
        <v>-493138</v>
      </c>
      <c r="L35" s="21">
        <f t="shared" si="7"/>
        <v>-544929</v>
      </c>
      <c r="M35" s="21">
        <f t="shared" si="7"/>
        <v>-493303</v>
      </c>
      <c r="N35" s="21">
        <f t="shared" si="7"/>
        <v>-285485</v>
      </c>
      <c r="O35" s="21">
        <f t="shared" si="7"/>
        <v>-160136</v>
      </c>
      <c r="P35" s="21">
        <f t="shared" si="7"/>
        <v>-5348665</v>
      </c>
      <c r="Q35" s="20"/>
    </row>
    <row r="36" spans="1:17">
      <c r="A36" s="18"/>
      <c r="J36" s="21"/>
      <c r="K36" s="21"/>
      <c r="L36" s="21"/>
      <c r="M36" s="21"/>
      <c r="N36" s="21"/>
      <c r="O36" s="21"/>
      <c r="P36" s="21"/>
      <c r="Q36" s="20"/>
    </row>
    <row r="37" spans="1:17">
      <c r="A37" s="18">
        <f>A35+1</f>
        <v>19</v>
      </c>
      <c r="B37" s="13" t="s">
        <v>74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8">
        <v>0</v>
      </c>
      <c r="N37" s="20">
        <v>0</v>
      </c>
      <c r="O37" s="20">
        <v>0</v>
      </c>
      <c r="P37" s="20">
        <f>SUM(D37:O37)</f>
        <v>0</v>
      </c>
      <c r="Q37" s="20"/>
    </row>
    <row r="38" spans="1:17">
      <c r="A38" s="18"/>
      <c r="J38" s="20"/>
      <c r="K38" s="20"/>
      <c r="L38" s="20"/>
      <c r="M38" s="20"/>
      <c r="N38" s="20"/>
      <c r="O38" s="20"/>
      <c r="P38" s="20"/>
      <c r="Q38" s="20"/>
    </row>
    <row r="39" spans="1:17" ht="16.5" customHeight="1">
      <c r="A39" s="18">
        <f>A37+1</f>
        <v>20</v>
      </c>
      <c r="B39" s="13" t="s">
        <v>107</v>
      </c>
      <c r="C39" s="18">
        <f>C27</f>
        <v>376</v>
      </c>
      <c r="D39" s="209">
        <v>19694.491746386</v>
      </c>
      <c r="E39" s="209">
        <v>24431.178565880116</v>
      </c>
      <c r="F39" s="209">
        <v>31643.251478487626</v>
      </c>
      <c r="G39" s="209">
        <v>35974.431530245136</v>
      </c>
      <c r="H39" s="209">
        <v>39714.158049381484</v>
      </c>
      <c r="I39" s="209">
        <v>37300.240796065671</v>
      </c>
      <c r="J39" s="209">
        <v>40522.738887353553</v>
      </c>
      <c r="K39" s="209">
        <v>40438.334316993045</v>
      </c>
      <c r="L39" s="209">
        <v>40564.179708486437</v>
      </c>
      <c r="M39" s="209">
        <v>44764.811794261128</v>
      </c>
      <c r="N39" s="209">
        <v>40641.269329294562</v>
      </c>
      <c r="O39" s="209">
        <v>26717.195172974083</v>
      </c>
      <c r="P39" s="21">
        <f>SUM(D39:O39)</f>
        <v>422406.28137580882</v>
      </c>
      <c r="Q39" s="20"/>
    </row>
    <row r="40" spans="1:17" ht="16.5" customHeight="1">
      <c r="A40" s="18">
        <f>A39+1</f>
        <v>21</v>
      </c>
      <c r="B40" s="13" t="s">
        <v>108</v>
      </c>
      <c r="C40" s="18">
        <f t="shared" ref="C40:C46" si="8">C28</f>
        <v>376</v>
      </c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1">
        <f>SUM(D40:O40)</f>
        <v>0</v>
      </c>
      <c r="Q40" s="20"/>
    </row>
    <row r="41" spans="1:17" ht="16.5" customHeight="1">
      <c r="A41" s="18">
        <f t="shared" ref="A41:A44" si="9">A40+1</f>
        <v>22</v>
      </c>
      <c r="B41" s="13" t="s">
        <v>109</v>
      </c>
      <c r="C41" s="18">
        <f t="shared" si="8"/>
        <v>378</v>
      </c>
      <c r="D41" s="209">
        <v>228.62189908799999</v>
      </c>
      <c r="E41" s="209">
        <v>228.62189908799999</v>
      </c>
      <c r="F41" s="209">
        <v>285.77737386000001</v>
      </c>
      <c r="G41" s="209">
        <v>400.08832340399999</v>
      </c>
      <c r="H41" s="209">
        <v>571.55474772000002</v>
      </c>
      <c r="I41" s="209">
        <v>571.55474772000002</v>
      </c>
      <c r="J41" s="209">
        <v>571.55474772000002</v>
      </c>
      <c r="K41" s="209">
        <v>571.55474772000002</v>
      </c>
      <c r="L41" s="209">
        <v>571.55474772000002</v>
      </c>
      <c r="M41" s="209">
        <v>571.55474772000002</v>
      </c>
      <c r="N41" s="209">
        <v>571.55474772000002</v>
      </c>
      <c r="O41" s="209">
        <v>571.55474772000002</v>
      </c>
      <c r="P41" s="21">
        <f t="shared" ref="P41:P43" si="10">SUM(D41:O41)</f>
        <v>5715.5474771999989</v>
      </c>
      <c r="Q41" s="20"/>
    </row>
    <row r="42" spans="1:17" ht="16.5" customHeight="1">
      <c r="A42" s="18">
        <f t="shared" si="9"/>
        <v>23</v>
      </c>
      <c r="B42" s="13" t="s">
        <v>110</v>
      </c>
      <c r="C42" s="18">
        <f t="shared" si="8"/>
        <v>378</v>
      </c>
      <c r="D42" s="209">
        <v>0</v>
      </c>
      <c r="E42" s="209">
        <v>0</v>
      </c>
      <c r="F42" s="209">
        <v>0</v>
      </c>
      <c r="G42" s="209">
        <v>0</v>
      </c>
      <c r="H42" s="209">
        <v>0</v>
      </c>
      <c r="I42" s="209">
        <v>0</v>
      </c>
      <c r="J42" s="209">
        <v>0</v>
      </c>
      <c r="K42" s="209">
        <v>0</v>
      </c>
      <c r="L42" s="209">
        <v>0</v>
      </c>
      <c r="M42" s="209">
        <v>0</v>
      </c>
      <c r="N42" s="209">
        <v>0</v>
      </c>
      <c r="O42" s="209">
        <v>0</v>
      </c>
      <c r="P42" s="21">
        <f t="shared" si="10"/>
        <v>0</v>
      </c>
      <c r="Q42" s="20"/>
    </row>
    <row r="43" spans="1:17" ht="16.5" customHeight="1">
      <c r="A43" s="18">
        <f t="shared" si="9"/>
        <v>24</v>
      </c>
      <c r="B43" s="13" t="s">
        <v>111</v>
      </c>
      <c r="C43" s="18">
        <f t="shared" si="8"/>
        <v>380</v>
      </c>
      <c r="D43" s="209">
        <v>44908.753166363596</v>
      </c>
      <c r="E43" s="209">
        <v>54224.987704253916</v>
      </c>
      <c r="F43" s="209">
        <v>72587.52112044052</v>
      </c>
      <c r="G43" s="209">
        <v>82571.231456449852</v>
      </c>
      <c r="H43" s="209">
        <v>93941.788950212882</v>
      </c>
      <c r="I43" s="209">
        <v>88290.882253702221</v>
      </c>
      <c r="J43" s="209">
        <v>98740.175591747684</v>
      </c>
      <c r="K43" s="209">
        <v>100327.11296107764</v>
      </c>
      <c r="L43" s="209">
        <v>101981.98215554438</v>
      </c>
      <c r="M43" s="209">
        <v>112910.26309725427</v>
      </c>
      <c r="N43" s="209">
        <v>100402.05473132787</v>
      </c>
      <c r="O43" s="209">
        <v>67190.519734742877</v>
      </c>
      <c r="P43" s="21">
        <f t="shared" si="10"/>
        <v>1018077.2729231175</v>
      </c>
      <c r="Q43" s="20"/>
    </row>
    <row r="44" spans="1:17">
      <c r="A44" s="18">
        <f t="shared" si="9"/>
        <v>25</v>
      </c>
      <c r="B44" s="13" t="s">
        <v>112</v>
      </c>
      <c r="C44" s="18">
        <f t="shared" si="8"/>
        <v>382</v>
      </c>
      <c r="D44" s="209">
        <v>25.431692974375277</v>
      </c>
      <c r="E44" s="209">
        <v>25.431692974375277</v>
      </c>
      <c r="F44" s="209">
        <v>31.789616217969098</v>
      </c>
      <c r="G44" s="209">
        <v>44.500194150000006</v>
      </c>
      <c r="H44" s="209">
        <v>63.579232435938195</v>
      </c>
      <c r="I44" s="209">
        <v>63.579232435938195</v>
      </c>
      <c r="J44" s="209">
        <v>63.579232435938195</v>
      </c>
      <c r="K44" s="209">
        <v>63.579232435938195</v>
      </c>
      <c r="L44" s="209">
        <v>63.579232435938195</v>
      </c>
      <c r="M44" s="209">
        <v>63.579232435938195</v>
      </c>
      <c r="N44" s="209">
        <v>63.579232435938195</v>
      </c>
      <c r="O44" s="209">
        <v>63.579232435938195</v>
      </c>
      <c r="P44" s="21">
        <f t="shared" ref="P44:P45" si="11">SUM(D44:O44)</f>
        <v>635.78705580422525</v>
      </c>
      <c r="Q44" s="20"/>
    </row>
    <row r="45" spans="1:17" s="23" customFormat="1">
      <c r="A45" s="22">
        <f t="shared" ref="A45:A46" si="12">A44+1</f>
        <v>26</v>
      </c>
      <c r="B45" s="23" t="s">
        <v>113</v>
      </c>
      <c r="C45" s="18">
        <f t="shared" si="8"/>
        <v>383</v>
      </c>
      <c r="D45" s="205">
        <v>2.8025016313935502</v>
      </c>
      <c r="E45" s="205">
        <v>2.7574198546940902</v>
      </c>
      <c r="F45" s="205">
        <v>3.3208819309217703</v>
      </c>
      <c r="G45" s="205">
        <v>4.5772089936738309</v>
      </c>
      <c r="H45" s="205">
        <v>6.4791444219199112</v>
      </c>
      <c r="I45" s="205">
        <v>6.5064894734861198</v>
      </c>
      <c r="J45" s="205">
        <v>6.4559247622804392</v>
      </c>
      <c r="K45" s="205">
        <v>6.4482454841526504</v>
      </c>
      <c r="L45" s="205">
        <v>6.4402374801475606</v>
      </c>
      <c r="M45" s="205">
        <v>6.3873549213069305</v>
      </c>
      <c r="N45" s="205">
        <v>6.4478828367613508</v>
      </c>
      <c r="O45" s="205">
        <v>6.60900530041528</v>
      </c>
      <c r="P45" s="21">
        <f t="shared" si="11"/>
        <v>65.232297091153484</v>
      </c>
      <c r="Q45" s="21"/>
    </row>
    <row r="46" spans="1:17">
      <c r="A46" s="18">
        <f t="shared" si="12"/>
        <v>27</v>
      </c>
      <c r="B46" s="13" t="s">
        <v>114</v>
      </c>
      <c r="C46" s="18">
        <f t="shared" si="8"/>
        <v>387</v>
      </c>
      <c r="D46" s="206">
        <v>0</v>
      </c>
      <c r="E46" s="206">
        <v>0</v>
      </c>
      <c r="F46" s="206">
        <v>0</v>
      </c>
      <c r="G46" s="206">
        <v>0</v>
      </c>
      <c r="H46" s="206">
        <v>0</v>
      </c>
      <c r="I46" s="206">
        <v>0</v>
      </c>
      <c r="J46" s="206">
        <v>0</v>
      </c>
      <c r="K46" s="206">
        <v>0</v>
      </c>
      <c r="L46" s="206">
        <v>0</v>
      </c>
      <c r="M46" s="206">
        <v>0</v>
      </c>
      <c r="N46" s="206">
        <v>0</v>
      </c>
      <c r="O46" s="206">
        <v>0</v>
      </c>
      <c r="P46" s="207">
        <f>SUM(D46:O46)</f>
        <v>0</v>
      </c>
      <c r="Q46" s="21"/>
    </row>
    <row r="47" spans="1:17">
      <c r="A47" s="18">
        <f>A46+1</f>
        <v>28</v>
      </c>
      <c r="B47" s="13" t="s">
        <v>49</v>
      </c>
      <c r="D47" s="20">
        <f>SUM(D39:D46)</f>
        <v>64860.101006443358</v>
      </c>
      <c r="E47" s="20">
        <f t="shared" ref="E47:O47" si="13">SUM(E39:E46)</f>
        <v>78912.977282051113</v>
      </c>
      <c r="F47" s="20">
        <f t="shared" si="13"/>
        <v>104551.66047093703</v>
      </c>
      <c r="G47" s="20">
        <f t="shared" si="13"/>
        <v>118994.82871324266</v>
      </c>
      <c r="H47" s="20">
        <f t="shared" si="13"/>
        <v>134297.56012417222</v>
      </c>
      <c r="I47" s="20">
        <f t="shared" si="13"/>
        <v>126232.76351939731</v>
      </c>
      <c r="J47" s="20">
        <f t="shared" si="13"/>
        <v>139904.50438401944</v>
      </c>
      <c r="K47" s="20">
        <f t="shared" si="13"/>
        <v>141407.02950371077</v>
      </c>
      <c r="L47" s="20">
        <f t="shared" si="13"/>
        <v>143187.73608166692</v>
      </c>
      <c r="M47" s="20">
        <f t="shared" si="13"/>
        <v>158316.59622659264</v>
      </c>
      <c r="N47" s="20">
        <f t="shared" si="13"/>
        <v>141684.90592361515</v>
      </c>
      <c r="O47" s="20">
        <f t="shared" si="13"/>
        <v>94549.457893173312</v>
      </c>
      <c r="P47" s="20">
        <f>SUM(P39:P46)</f>
        <v>1446900.1211290215</v>
      </c>
      <c r="Q47" s="20"/>
    </row>
    <row r="48" spans="1:17">
      <c r="M48" s="210"/>
      <c r="N48" s="20"/>
    </row>
  </sheetData>
  <pageMargins left="0.7" right="0.7" top="0.75" bottom="0.75" header="0.3" footer="0.3"/>
  <pageSetup scale="4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rgb="FFFF0000"/>
    <pageSetUpPr fitToPage="1"/>
  </sheetPr>
  <dimension ref="A1:N62"/>
  <sheetViews>
    <sheetView zoomScale="90" zoomScaleNormal="90" workbookViewId="0">
      <selection activeCell="F36" sqref="F36"/>
    </sheetView>
  </sheetViews>
  <sheetFormatPr defaultColWidth="8.86328125" defaultRowHeight="12.75"/>
  <cols>
    <col min="1" max="1" width="4.59765625" style="18" customWidth="1"/>
    <col min="2" max="2" width="2.59765625" style="18" customWidth="1"/>
    <col min="3" max="3" width="28.3984375" style="13" bestFit="1" customWidth="1"/>
    <col min="4" max="4" width="8.59765625" style="13" customWidth="1"/>
    <col min="5" max="5" width="13.3984375" style="13" customWidth="1"/>
    <col min="6" max="6" width="8.3984375" style="13" customWidth="1"/>
    <col min="7" max="7" width="10.59765625" style="13" customWidth="1"/>
    <col min="8" max="8" width="14.3984375" style="13" bestFit="1" customWidth="1"/>
    <col min="9" max="9" width="14" style="13" customWidth="1"/>
    <col min="10" max="10" width="13.3984375" style="13" customWidth="1"/>
    <col min="11" max="12" width="12.1328125" style="13" customWidth="1"/>
    <col min="13" max="13" width="14.3984375" style="13" bestFit="1" customWidth="1"/>
    <col min="14" max="14" width="6.3984375" style="13" bestFit="1" customWidth="1"/>
    <col min="15" max="15" width="10.59765625" style="13" bestFit="1" customWidth="1"/>
    <col min="16" max="256" width="8.86328125" style="13"/>
    <col min="257" max="257" width="4.59765625" style="13" customWidth="1"/>
    <col min="258" max="258" width="2.59765625" style="13" customWidth="1"/>
    <col min="259" max="259" width="28.3984375" style="13" bestFit="1" customWidth="1"/>
    <col min="260" max="260" width="8.59765625" style="13" customWidth="1"/>
    <col min="261" max="261" width="13.3984375" style="13" customWidth="1"/>
    <col min="262" max="262" width="8.3984375" style="13" customWidth="1"/>
    <col min="263" max="263" width="10.59765625" style="13" customWidth="1"/>
    <col min="264" max="264" width="14.3984375" style="13" bestFit="1" customWidth="1"/>
    <col min="265" max="265" width="14" style="13" customWidth="1"/>
    <col min="266" max="266" width="13.3984375" style="13" customWidth="1"/>
    <col min="267" max="268" width="12.1328125" style="13" customWidth="1"/>
    <col min="269" max="269" width="14.3984375" style="13" bestFit="1" customWidth="1"/>
    <col min="270" max="270" width="6.3984375" style="13" bestFit="1" customWidth="1"/>
    <col min="271" max="271" width="10.59765625" style="13" bestFit="1" customWidth="1"/>
    <col min="272" max="512" width="8.86328125" style="13"/>
    <col min="513" max="513" width="4.59765625" style="13" customWidth="1"/>
    <col min="514" max="514" width="2.59765625" style="13" customWidth="1"/>
    <col min="515" max="515" width="28.3984375" style="13" bestFit="1" customWidth="1"/>
    <col min="516" max="516" width="8.59765625" style="13" customWidth="1"/>
    <col min="517" max="517" width="13.3984375" style="13" customWidth="1"/>
    <col min="518" max="518" width="8.3984375" style="13" customWidth="1"/>
    <col min="519" max="519" width="10.59765625" style="13" customWidth="1"/>
    <col min="520" max="520" width="14.3984375" style="13" bestFit="1" customWidth="1"/>
    <col min="521" max="521" width="14" style="13" customWidth="1"/>
    <col min="522" max="522" width="13.3984375" style="13" customWidth="1"/>
    <col min="523" max="524" width="12.1328125" style="13" customWidth="1"/>
    <col min="525" max="525" width="14.3984375" style="13" bestFit="1" customWidth="1"/>
    <col min="526" max="526" width="6.3984375" style="13" bestFit="1" customWidth="1"/>
    <col min="527" max="527" width="10.59765625" style="13" bestFit="1" customWidth="1"/>
    <col min="528" max="768" width="8.86328125" style="13"/>
    <col min="769" max="769" width="4.59765625" style="13" customWidth="1"/>
    <col min="770" max="770" width="2.59765625" style="13" customWidth="1"/>
    <col min="771" max="771" width="28.3984375" style="13" bestFit="1" customWidth="1"/>
    <col min="772" max="772" width="8.59765625" style="13" customWidth="1"/>
    <col min="773" max="773" width="13.3984375" style="13" customWidth="1"/>
    <col min="774" max="774" width="8.3984375" style="13" customWidth="1"/>
    <col min="775" max="775" width="10.59765625" style="13" customWidth="1"/>
    <col min="776" max="776" width="14.3984375" style="13" bestFit="1" customWidth="1"/>
    <col min="777" max="777" width="14" style="13" customWidth="1"/>
    <col min="778" max="778" width="13.3984375" style="13" customWidth="1"/>
    <col min="779" max="780" width="12.1328125" style="13" customWidth="1"/>
    <col min="781" max="781" width="14.3984375" style="13" bestFit="1" customWidth="1"/>
    <col min="782" max="782" width="6.3984375" style="13" bestFit="1" customWidth="1"/>
    <col min="783" max="783" width="10.59765625" style="13" bestFit="1" customWidth="1"/>
    <col min="784" max="1024" width="8.86328125" style="13"/>
    <col min="1025" max="1025" width="4.59765625" style="13" customWidth="1"/>
    <col min="1026" max="1026" width="2.59765625" style="13" customWidth="1"/>
    <col min="1027" max="1027" width="28.3984375" style="13" bestFit="1" customWidth="1"/>
    <col min="1028" max="1028" width="8.59765625" style="13" customWidth="1"/>
    <col min="1029" max="1029" width="13.3984375" style="13" customWidth="1"/>
    <col min="1030" max="1030" width="8.3984375" style="13" customWidth="1"/>
    <col min="1031" max="1031" width="10.59765625" style="13" customWidth="1"/>
    <col min="1032" max="1032" width="14.3984375" style="13" bestFit="1" customWidth="1"/>
    <col min="1033" max="1033" width="14" style="13" customWidth="1"/>
    <col min="1034" max="1034" width="13.3984375" style="13" customWidth="1"/>
    <col min="1035" max="1036" width="12.1328125" style="13" customWidth="1"/>
    <col min="1037" max="1037" width="14.3984375" style="13" bestFit="1" customWidth="1"/>
    <col min="1038" max="1038" width="6.3984375" style="13" bestFit="1" customWidth="1"/>
    <col min="1039" max="1039" width="10.59765625" style="13" bestFit="1" customWidth="1"/>
    <col min="1040" max="1280" width="8.86328125" style="13"/>
    <col min="1281" max="1281" width="4.59765625" style="13" customWidth="1"/>
    <col min="1282" max="1282" width="2.59765625" style="13" customWidth="1"/>
    <col min="1283" max="1283" width="28.3984375" style="13" bestFit="1" customWidth="1"/>
    <col min="1284" max="1284" width="8.59765625" style="13" customWidth="1"/>
    <col min="1285" max="1285" width="13.3984375" style="13" customWidth="1"/>
    <col min="1286" max="1286" width="8.3984375" style="13" customWidth="1"/>
    <col min="1287" max="1287" width="10.59765625" style="13" customWidth="1"/>
    <col min="1288" max="1288" width="14.3984375" style="13" bestFit="1" customWidth="1"/>
    <col min="1289" max="1289" width="14" style="13" customWidth="1"/>
    <col min="1290" max="1290" width="13.3984375" style="13" customWidth="1"/>
    <col min="1291" max="1292" width="12.1328125" style="13" customWidth="1"/>
    <col min="1293" max="1293" width="14.3984375" style="13" bestFit="1" customWidth="1"/>
    <col min="1294" max="1294" width="6.3984375" style="13" bestFit="1" customWidth="1"/>
    <col min="1295" max="1295" width="10.59765625" style="13" bestFit="1" customWidth="1"/>
    <col min="1296" max="1536" width="8.86328125" style="13"/>
    <col min="1537" max="1537" width="4.59765625" style="13" customWidth="1"/>
    <col min="1538" max="1538" width="2.59765625" style="13" customWidth="1"/>
    <col min="1539" max="1539" width="28.3984375" style="13" bestFit="1" customWidth="1"/>
    <col min="1540" max="1540" width="8.59765625" style="13" customWidth="1"/>
    <col min="1541" max="1541" width="13.3984375" style="13" customWidth="1"/>
    <col min="1542" max="1542" width="8.3984375" style="13" customWidth="1"/>
    <col min="1543" max="1543" width="10.59765625" style="13" customWidth="1"/>
    <col min="1544" max="1544" width="14.3984375" style="13" bestFit="1" customWidth="1"/>
    <col min="1545" max="1545" width="14" style="13" customWidth="1"/>
    <col min="1546" max="1546" width="13.3984375" style="13" customWidth="1"/>
    <col min="1547" max="1548" width="12.1328125" style="13" customWidth="1"/>
    <col min="1549" max="1549" width="14.3984375" style="13" bestFit="1" customWidth="1"/>
    <col min="1550" max="1550" width="6.3984375" style="13" bestFit="1" customWidth="1"/>
    <col min="1551" max="1551" width="10.59765625" style="13" bestFit="1" customWidth="1"/>
    <col min="1552" max="1792" width="8.86328125" style="13"/>
    <col min="1793" max="1793" width="4.59765625" style="13" customWidth="1"/>
    <col min="1794" max="1794" width="2.59765625" style="13" customWidth="1"/>
    <col min="1795" max="1795" width="28.3984375" style="13" bestFit="1" customWidth="1"/>
    <col min="1796" max="1796" width="8.59765625" style="13" customWidth="1"/>
    <col min="1797" max="1797" width="13.3984375" style="13" customWidth="1"/>
    <col min="1798" max="1798" width="8.3984375" style="13" customWidth="1"/>
    <col min="1799" max="1799" width="10.59765625" style="13" customWidth="1"/>
    <col min="1800" max="1800" width="14.3984375" style="13" bestFit="1" customWidth="1"/>
    <col min="1801" max="1801" width="14" style="13" customWidth="1"/>
    <col min="1802" max="1802" width="13.3984375" style="13" customWidth="1"/>
    <col min="1803" max="1804" width="12.1328125" style="13" customWidth="1"/>
    <col min="1805" max="1805" width="14.3984375" style="13" bestFit="1" customWidth="1"/>
    <col min="1806" max="1806" width="6.3984375" style="13" bestFit="1" customWidth="1"/>
    <col min="1807" max="1807" width="10.59765625" style="13" bestFit="1" customWidth="1"/>
    <col min="1808" max="2048" width="8.86328125" style="13"/>
    <col min="2049" max="2049" width="4.59765625" style="13" customWidth="1"/>
    <col min="2050" max="2050" width="2.59765625" style="13" customWidth="1"/>
    <col min="2051" max="2051" width="28.3984375" style="13" bestFit="1" customWidth="1"/>
    <col min="2052" max="2052" width="8.59765625" style="13" customWidth="1"/>
    <col min="2053" max="2053" width="13.3984375" style="13" customWidth="1"/>
    <col min="2054" max="2054" width="8.3984375" style="13" customWidth="1"/>
    <col min="2055" max="2055" width="10.59765625" style="13" customWidth="1"/>
    <col min="2056" max="2056" width="14.3984375" style="13" bestFit="1" customWidth="1"/>
    <col min="2057" max="2057" width="14" style="13" customWidth="1"/>
    <col min="2058" max="2058" width="13.3984375" style="13" customWidth="1"/>
    <col min="2059" max="2060" width="12.1328125" style="13" customWidth="1"/>
    <col min="2061" max="2061" width="14.3984375" style="13" bestFit="1" customWidth="1"/>
    <col min="2062" max="2062" width="6.3984375" style="13" bestFit="1" customWidth="1"/>
    <col min="2063" max="2063" width="10.59765625" style="13" bestFit="1" customWidth="1"/>
    <col min="2064" max="2304" width="8.86328125" style="13"/>
    <col min="2305" max="2305" width="4.59765625" style="13" customWidth="1"/>
    <col min="2306" max="2306" width="2.59765625" style="13" customWidth="1"/>
    <col min="2307" max="2307" width="28.3984375" style="13" bestFit="1" customWidth="1"/>
    <col min="2308" max="2308" width="8.59765625" style="13" customWidth="1"/>
    <col min="2309" max="2309" width="13.3984375" style="13" customWidth="1"/>
    <col min="2310" max="2310" width="8.3984375" style="13" customWidth="1"/>
    <col min="2311" max="2311" width="10.59765625" style="13" customWidth="1"/>
    <col min="2312" max="2312" width="14.3984375" style="13" bestFit="1" customWidth="1"/>
    <col min="2313" max="2313" width="14" style="13" customWidth="1"/>
    <col min="2314" max="2314" width="13.3984375" style="13" customWidth="1"/>
    <col min="2315" max="2316" width="12.1328125" style="13" customWidth="1"/>
    <col min="2317" max="2317" width="14.3984375" style="13" bestFit="1" customWidth="1"/>
    <col min="2318" max="2318" width="6.3984375" style="13" bestFit="1" customWidth="1"/>
    <col min="2319" max="2319" width="10.59765625" style="13" bestFit="1" customWidth="1"/>
    <col min="2320" max="2560" width="8.86328125" style="13"/>
    <col min="2561" max="2561" width="4.59765625" style="13" customWidth="1"/>
    <col min="2562" max="2562" width="2.59765625" style="13" customWidth="1"/>
    <col min="2563" max="2563" width="28.3984375" style="13" bestFit="1" customWidth="1"/>
    <col min="2564" max="2564" width="8.59765625" style="13" customWidth="1"/>
    <col min="2565" max="2565" width="13.3984375" style="13" customWidth="1"/>
    <col min="2566" max="2566" width="8.3984375" style="13" customWidth="1"/>
    <col min="2567" max="2567" width="10.59765625" style="13" customWidth="1"/>
    <col min="2568" max="2568" width="14.3984375" style="13" bestFit="1" customWidth="1"/>
    <col min="2569" max="2569" width="14" style="13" customWidth="1"/>
    <col min="2570" max="2570" width="13.3984375" style="13" customWidth="1"/>
    <col min="2571" max="2572" width="12.1328125" style="13" customWidth="1"/>
    <col min="2573" max="2573" width="14.3984375" style="13" bestFit="1" customWidth="1"/>
    <col min="2574" max="2574" width="6.3984375" style="13" bestFit="1" customWidth="1"/>
    <col min="2575" max="2575" width="10.59765625" style="13" bestFit="1" customWidth="1"/>
    <col min="2576" max="2816" width="8.86328125" style="13"/>
    <col min="2817" max="2817" width="4.59765625" style="13" customWidth="1"/>
    <col min="2818" max="2818" width="2.59765625" style="13" customWidth="1"/>
    <col min="2819" max="2819" width="28.3984375" style="13" bestFit="1" customWidth="1"/>
    <col min="2820" max="2820" width="8.59765625" style="13" customWidth="1"/>
    <col min="2821" max="2821" width="13.3984375" style="13" customWidth="1"/>
    <col min="2822" max="2822" width="8.3984375" style="13" customWidth="1"/>
    <col min="2823" max="2823" width="10.59765625" style="13" customWidth="1"/>
    <col min="2824" max="2824" width="14.3984375" style="13" bestFit="1" customWidth="1"/>
    <col min="2825" max="2825" width="14" style="13" customWidth="1"/>
    <col min="2826" max="2826" width="13.3984375" style="13" customWidth="1"/>
    <col min="2827" max="2828" width="12.1328125" style="13" customWidth="1"/>
    <col min="2829" max="2829" width="14.3984375" style="13" bestFit="1" customWidth="1"/>
    <col min="2830" max="2830" width="6.3984375" style="13" bestFit="1" customWidth="1"/>
    <col min="2831" max="2831" width="10.59765625" style="13" bestFit="1" customWidth="1"/>
    <col min="2832" max="3072" width="8.86328125" style="13"/>
    <col min="3073" max="3073" width="4.59765625" style="13" customWidth="1"/>
    <col min="3074" max="3074" width="2.59765625" style="13" customWidth="1"/>
    <col min="3075" max="3075" width="28.3984375" style="13" bestFit="1" customWidth="1"/>
    <col min="3076" max="3076" width="8.59765625" style="13" customWidth="1"/>
    <col min="3077" max="3077" width="13.3984375" style="13" customWidth="1"/>
    <col min="3078" max="3078" width="8.3984375" style="13" customWidth="1"/>
    <col min="3079" max="3079" width="10.59765625" style="13" customWidth="1"/>
    <col min="3080" max="3080" width="14.3984375" style="13" bestFit="1" customWidth="1"/>
    <col min="3081" max="3081" width="14" style="13" customWidth="1"/>
    <col min="3082" max="3082" width="13.3984375" style="13" customWidth="1"/>
    <col min="3083" max="3084" width="12.1328125" style="13" customWidth="1"/>
    <col min="3085" max="3085" width="14.3984375" style="13" bestFit="1" customWidth="1"/>
    <col min="3086" max="3086" width="6.3984375" style="13" bestFit="1" customWidth="1"/>
    <col min="3087" max="3087" width="10.59765625" style="13" bestFit="1" customWidth="1"/>
    <col min="3088" max="3328" width="8.86328125" style="13"/>
    <col min="3329" max="3329" width="4.59765625" style="13" customWidth="1"/>
    <col min="3330" max="3330" width="2.59765625" style="13" customWidth="1"/>
    <col min="3331" max="3331" width="28.3984375" style="13" bestFit="1" customWidth="1"/>
    <col min="3332" max="3332" width="8.59765625" style="13" customWidth="1"/>
    <col min="3333" max="3333" width="13.3984375" style="13" customWidth="1"/>
    <col min="3334" max="3334" width="8.3984375" style="13" customWidth="1"/>
    <col min="3335" max="3335" width="10.59765625" style="13" customWidth="1"/>
    <col min="3336" max="3336" width="14.3984375" style="13" bestFit="1" customWidth="1"/>
    <col min="3337" max="3337" width="14" style="13" customWidth="1"/>
    <col min="3338" max="3338" width="13.3984375" style="13" customWidth="1"/>
    <col min="3339" max="3340" width="12.1328125" style="13" customWidth="1"/>
    <col min="3341" max="3341" width="14.3984375" style="13" bestFit="1" customWidth="1"/>
    <col min="3342" max="3342" width="6.3984375" style="13" bestFit="1" customWidth="1"/>
    <col min="3343" max="3343" width="10.59765625" style="13" bestFit="1" customWidth="1"/>
    <col min="3344" max="3584" width="8.86328125" style="13"/>
    <col min="3585" max="3585" width="4.59765625" style="13" customWidth="1"/>
    <col min="3586" max="3586" width="2.59765625" style="13" customWidth="1"/>
    <col min="3587" max="3587" width="28.3984375" style="13" bestFit="1" customWidth="1"/>
    <col min="3588" max="3588" width="8.59765625" style="13" customWidth="1"/>
    <col min="3589" max="3589" width="13.3984375" style="13" customWidth="1"/>
    <col min="3590" max="3590" width="8.3984375" style="13" customWidth="1"/>
    <col min="3591" max="3591" width="10.59765625" style="13" customWidth="1"/>
    <col min="3592" max="3592" width="14.3984375" style="13" bestFit="1" customWidth="1"/>
    <col min="3593" max="3593" width="14" style="13" customWidth="1"/>
    <col min="3594" max="3594" width="13.3984375" style="13" customWidth="1"/>
    <col min="3595" max="3596" width="12.1328125" style="13" customWidth="1"/>
    <col min="3597" max="3597" width="14.3984375" style="13" bestFit="1" customWidth="1"/>
    <col min="3598" max="3598" width="6.3984375" style="13" bestFit="1" customWidth="1"/>
    <col min="3599" max="3599" width="10.59765625" style="13" bestFit="1" customWidth="1"/>
    <col min="3600" max="3840" width="8.86328125" style="13"/>
    <col min="3841" max="3841" width="4.59765625" style="13" customWidth="1"/>
    <col min="3842" max="3842" width="2.59765625" style="13" customWidth="1"/>
    <col min="3843" max="3843" width="28.3984375" style="13" bestFit="1" customWidth="1"/>
    <col min="3844" max="3844" width="8.59765625" style="13" customWidth="1"/>
    <col min="3845" max="3845" width="13.3984375" style="13" customWidth="1"/>
    <col min="3846" max="3846" width="8.3984375" style="13" customWidth="1"/>
    <col min="3847" max="3847" width="10.59765625" style="13" customWidth="1"/>
    <col min="3848" max="3848" width="14.3984375" style="13" bestFit="1" customWidth="1"/>
    <col min="3849" max="3849" width="14" style="13" customWidth="1"/>
    <col min="3850" max="3850" width="13.3984375" style="13" customWidth="1"/>
    <col min="3851" max="3852" width="12.1328125" style="13" customWidth="1"/>
    <col min="3853" max="3853" width="14.3984375" style="13" bestFit="1" customWidth="1"/>
    <col min="3854" max="3854" width="6.3984375" style="13" bestFit="1" customWidth="1"/>
    <col min="3855" max="3855" width="10.59765625" style="13" bestFit="1" customWidth="1"/>
    <col min="3856" max="4096" width="8.86328125" style="13"/>
    <col min="4097" max="4097" width="4.59765625" style="13" customWidth="1"/>
    <col min="4098" max="4098" width="2.59765625" style="13" customWidth="1"/>
    <col min="4099" max="4099" width="28.3984375" style="13" bestFit="1" customWidth="1"/>
    <col min="4100" max="4100" width="8.59765625" style="13" customWidth="1"/>
    <col min="4101" max="4101" width="13.3984375" style="13" customWidth="1"/>
    <col min="4102" max="4102" width="8.3984375" style="13" customWidth="1"/>
    <col min="4103" max="4103" width="10.59765625" style="13" customWidth="1"/>
    <col min="4104" max="4104" width="14.3984375" style="13" bestFit="1" customWidth="1"/>
    <col min="4105" max="4105" width="14" style="13" customWidth="1"/>
    <col min="4106" max="4106" width="13.3984375" style="13" customWidth="1"/>
    <col min="4107" max="4108" width="12.1328125" style="13" customWidth="1"/>
    <col min="4109" max="4109" width="14.3984375" style="13" bestFit="1" customWidth="1"/>
    <col min="4110" max="4110" width="6.3984375" style="13" bestFit="1" customWidth="1"/>
    <col min="4111" max="4111" width="10.59765625" style="13" bestFit="1" customWidth="1"/>
    <col min="4112" max="4352" width="8.86328125" style="13"/>
    <col min="4353" max="4353" width="4.59765625" style="13" customWidth="1"/>
    <col min="4354" max="4354" width="2.59765625" style="13" customWidth="1"/>
    <col min="4355" max="4355" width="28.3984375" style="13" bestFit="1" customWidth="1"/>
    <col min="4356" max="4356" width="8.59765625" style="13" customWidth="1"/>
    <col min="4357" max="4357" width="13.3984375" style="13" customWidth="1"/>
    <col min="4358" max="4358" width="8.3984375" style="13" customWidth="1"/>
    <col min="4359" max="4359" width="10.59765625" style="13" customWidth="1"/>
    <col min="4360" max="4360" width="14.3984375" style="13" bestFit="1" customWidth="1"/>
    <col min="4361" max="4361" width="14" style="13" customWidth="1"/>
    <col min="4362" max="4362" width="13.3984375" style="13" customWidth="1"/>
    <col min="4363" max="4364" width="12.1328125" style="13" customWidth="1"/>
    <col min="4365" max="4365" width="14.3984375" style="13" bestFit="1" customWidth="1"/>
    <col min="4366" max="4366" width="6.3984375" style="13" bestFit="1" customWidth="1"/>
    <col min="4367" max="4367" width="10.59765625" style="13" bestFit="1" customWidth="1"/>
    <col min="4368" max="4608" width="8.86328125" style="13"/>
    <col min="4609" max="4609" width="4.59765625" style="13" customWidth="1"/>
    <col min="4610" max="4610" width="2.59765625" style="13" customWidth="1"/>
    <col min="4611" max="4611" width="28.3984375" style="13" bestFit="1" customWidth="1"/>
    <col min="4612" max="4612" width="8.59765625" style="13" customWidth="1"/>
    <col min="4613" max="4613" width="13.3984375" style="13" customWidth="1"/>
    <col min="4614" max="4614" width="8.3984375" style="13" customWidth="1"/>
    <col min="4615" max="4615" width="10.59765625" style="13" customWidth="1"/>
    <col min="4616" max="4616" width="14.3984375" style="13" bestFit="1" customWidth="1"/>
    <col min="4617" max="4617" width="14" style="13" customWidth="1"/>
    <col min="4618" max="4618" width="13.3984375" style="13" customWidth="1"/>
    <col min="4619" max="4620" width="12.1328125" style="13" customWidth="1"/>
    <col min="4621" max="4621" width="14.3984375" style="13" bestFit="1" customWidth="1"/>
    <col min="4622" max="4622" width="6.3984375" style="13" bestFit="1" customWidth="1"/>
    <col min="4623" max="4623" width="10.59765625" style="13" bestFit="1" customWidth="1"/>
    <col min="4624" max="4864" width="8.86328125" style="13"/>
    <col min="4865" max="4865" width="4.59765625" style="13" customWidth="1"/>
    <col min="4866" max="4866" width="2.59765625" style="13" customWidth="1"/>
    <col min="4867" max="4867" width="28.3984375" style="13" bestFit="1" customWidth="1"/>
    <col min="4868" max="4868" width="8.59765625" style="13" customWidth="1"/>
    <col min="4869" max="4869" width="13.3984375" style="13" customWidth="1"/>
    <col min="4870" max="4870" width="8.3984375" style="13" customWidth="1"/>
    <col min="4871" max="4871" width="10.59765625" style="13" customWidth="1"/>
    <col min="4872" max="4872" width="14.3984375" style="13" bestFit="1" customWidth="1"/>
    <col min="4873" max="4873" width="14" style="13" customWidth="1"/>
    <col min="4874" max="4874" width="13.3984375" style="13" customWidth="1"/>
    <col min="4875" max="4876" width="12.1328125" style="13" customWidth="1"/>
    <col min="4877" max="4877" width="14.3984375" style="13" bestFit="1" customWidth="1"/>
    <col min="4878" max="4878" width="6.3984375" style="13" bestFit="1" customWidth="1"/>
    <col min="4879" max="4879" width="10.59765625" style="13" bestFit="1" customWidth="1"/>
    <col min="4880" max="5120" width="8.86328125" style="13"/>
    <col min="5121" max="5121" width="4.59765625" style="13" customWidth="1"/>
    <col min="5122" max="5122" width="2.59765625" style="13" customWidth="1"/>
    <col min="5123" max="5123" width="28.3984375" style="13" bestFit="1" customWidth="1"/>
    <col min="5124" max="5124" width="8.59765625" style="13" customWidth="1"/>
    <col min="5125" max="5125" width="13.3984375" style="13" customWidth="1"/>
    <col min="5126" max="5126" width="8.3984375" style="13" customWidth="1"/>
    <col min="5127" max="5127" width="10.59765625" style="13" customWidth="1"/>
    <col min="5128" max="5128" width="14.3984375" style="13" bestFit="1" customWidth="1"/>
    <col min="5129" max="5129" width="14" style="13" customWidth="1"/>
    <col min="5130" max="5130" width="13.3984375" style="13" customWidth="1"/>
    <col min="5131" max="5132" width="12.1328125" style="13" customWidth="1"/>
    <col min="5133" max="5133" width="14.3984375" style="13" bestFit="1" customWidth="1"/>
    <col min="5134" max="5134" width="6.3984375" style="13" bestFit="1" customWidth="1"/>
    <col min="5135" max="5135" width="10.59765625" style="13" bestFit="1" customWidth="1"/>
    <col min="5136" max="5376" width="8.86328125" style="13"/>
    <col min="5377" max="5377" width="4.59765625" style="13" customWidth="1"/>
    <col min="5378" max="5378" width="2.59765625" style="13" customWidth="1"/>
    <col min="5379" max="5379" width="28.3984375" style="13" bestFit="1" customWidth="1"/>
    <col min="5380" max="5380" width="8.59765625" style="13" customWidth="1"/>
    <col min="5381" max="5381" width="13.3984375" style="13" customWidth="1"/>
    <col min="5382" max="5382" width="8.3984375" style="13" customWidth="1"/>
    <col min="5383" max="5383" width="10.59765625" style="13" customWidth="1"/>
    <col min="5384" max="5384" width="14.3984375" style="13" bestFit="1" customWidth="1"/>
    <col min="5385" max="5385" width="14" style="13" customWidth="1"/>
    <col min="5386" max="5386" width="13.3984375" style="13" customWidth="1"/>
    <col min="5387" max="5388" width="12.1328125" style="13" customWidth="1"/>
    <col min="5389" max="5389" width="14.3984375" style="13" bestFit="1" customWidth="1"/>
    <col min="5390" max="5390" width="6.3984375" style="13" bestFit="1" customWidth="1"/>
    <col min="5391" max="5391" width="10.59765625" style="13" bestFit="1" customWidth="1"/>
    <col min="5392" max="5632" width="8.86328125" style="13"/>
    <col min="5633" max="5633" width="4.59765625" style="13" customWidth="1"/>
    <col min="5634" max="5634" width="2.59765625" style="13" customWidth="1"/>
    <col min="5635" max="5635" width="28.3984375" style="13" bestFit="1" customWidth="1"/>
    <col min="5636" max="5636" width="8.59765625" style="13" customWidth="1"/>
    <col min="5637" max="5637" width="13.3984375" style="13" customWidth="1"/>
    <col min="5638" max="5638" width="8.3984375" style="13" customWidth="1"/>
    <col min="5639" max="5639" width="10.59765625" style="13" customWidth="1"/>
    <col min="5640" max="5640" width="14.3984375" style="13" bestFit="1" customWidth="1"/>
    <col min="5641" max="5641" width="14" style="13" customWidth="1"/>
    <col min="5642" max="5642" width="13.3984375" style="13" customWidth="1"/>
    <col min="5643" max="5644" width="12.1328125" style="13" customWidth="1"/>
    <col min="5645" max="5645" width="14.3984375" style="13" bestFit="1" customWidth="1"/>
    <col min="5646" max="5646" width="6.3984375" style="13" bestFit="1" customWidth="1"/>
    <col min="5647" max="5647" width="10.59765625" style="13" bestFit="1" customWidth="1"/>
    <col min="5648" max="5888" width="8.86328125" style="13"/>
    <col min="5889" max="5889" width="4.59765625" style="13" customWidth="1"/>
    <col min="5890" max="5890" width="2.59765625" style="13" customWidth="1"/>
    <col min="5891" max="5891" width="28.3984375" style="13" bestFit="1" customWidth="1"/>
    <col min="5892" max="5892" width="8.59765625" style="13" customWidth="1"/>
    <col min="5893" max="5893" width="13.3984375" style="13" customWidth="1"/>
    <col min="5894" max="5894" width="8.3984375" style="13" customWidth="1"/>
    <col min="5895" max="5895" width="10.59765625" style="13" customWidth="1"/>
    <col min="5896" max="5896" width="14.3984375" style="13" bestFit="1" customWidth="1"/>
    <col min="5897" max="5897" width="14" style="13" customWidth="1"/>
    <col min="5898" max="5898" width="13.3984375" style="13" customWidth="1"/>
    <col min="5899" max="5900" width="12.1328125" style="13" customWidth="1"/>
    <col min="5901" max="5901" width="14.3984375" style="13" bestFit="1" customWidth="1"/>
    <col min="5902" max="5902" width="6.3984375" style="13" bestFit="1" customWidth="1"/>
    <col min="5903" max="5903" width="10.59765625" style="13" bestFit="1" customWidth="1"/>
    <col min="5904" max="6144" width="8.86328125" style="13"/>
    <col min="6145" max="6145" width="4.59765625" style="13" customWidth="1"/>
    <col min="6146" max="6146" width="2.59765625" style="13" customWidth="1"/>
    <col min="6147" max="6147" width="28.3984375" style="13" bestFit="1" customWidth="1"/>
    <col min="6148" max="6148" width="8.59765625" style="13" customWidth="1"/>
    <col min="6149" max="6149" width="13.3984375" style="13" customWidth="1"/>
    <col min="6150" max="6150" width="8.3984375" style="13" customWidth="1"/>
    <col min="6151" max="6151" width="10.59765625" style="13" customWidth="1"/>
    <col min="6152" max="6152" width="14.3984375" style="13" bestFit="1" customWidth="1"/>
    <col min="6153" max="6153" width="14" style="13" customWidth="1"/>
    <col min="6154" max="6154" width="13.3984375" style="13" customWidth="1"/>
    <col min="6155" max="6156" width="12.1328125" style="13" customWidth="1"/>
    <col min="6157" max="6157" width="14.3984375" style="13" bestFit="1" customWidth="1"/>
    <col min="6158" max="6158" width="6.3984375" style="13" bestFit="1" customWidth="1"/>
    <col min="6159" max="6159" width="10.59765625" style="13" bestFit="1" customWidth="1"/>
    <col min="6160" max="6400" width="8.86328125" style="13"/>
    <col min="6401" max="6401" width="4.59765625" style="13" customWidth="1"/>
    <col min="6402" max="6402" width="2.59765625" style="13" customWidth="1"/>
    <col min="6403" max="6403" width="28.3984375" style="13" bestFit="1" customWidth="1"/>
    <col min="6404" max="6404" width="8.59765625" style="13" customWidth="1"/>
    <col min="6405" max="6405" width="13.3984375" style="13" customWidth="1"/>
    <col min="6406" max="6406" width="8.3984375" style="13" customWidth="1"/>
    <col min="6407" max="6407" width="10.59765625" style="13" customWidth="1"/>
    <col min="6408" max="6408" width="14.3984375" style="13" bestFit="1" customWidth="1"/>
    <col min="6409" max="6409" width="14" style="13" customWidth="1"/>
    <col min="6410" max="6410" width="13.3984375" style="13" customWidth="1"/>
    <col min="6411" max="6412" width="12.1328125" style="13" customWidth="1"/>
    <col min="6413" max="6413" width="14.3984375" style="13" bestFit="1" customWidth="1"/>
    <col min="6414" max="6414" width="6.3984375" style="13" bestFit="1" customWidth="1"/>
    <col min="6415" max="6415" width="10.59765625" style="13" bestFit="1" customWidth="1"/>
    <col min="6416" max="6656" width="8.86328125" style="13"/>
    <col min="6657" max="6657" width="4.59765625" style="13" customWidth="1"/>
    <col min="6658" max="6658" width="2.59765625" style="13" customWidth="1"/>
    <col min="6659" max="6659" width="28.3984375" style="13" bestFit="1" customWidth="1"/>
    <col min="6660" max="6660" width="8.59765625" style="13" customWidth="1"/>
    <col min="6661" max="6661" width="13.3984375" style="13" customWidth="1"/>
    <col min="6662" max="6662" width="8.3984375" style="13" customWidth="1"/>
    <col min="6663" max="6663" width="10.59765625" style="13" customWidth="1"/>
    <col min="6664" max="6664" width="14.3984375" style="13" bestFit="1" customWidth="1"/>
    <col min="6665" max="6665" width="14" style="13" customWidth="1"/>
    <col min="6666" max="6666" width="13.3984375" style="13" customWidth="1"/>
    <col min="6667" max="6668" width="12.1328125" style="13" customWidth="1"/>
    <col min="6669" max="6669" width="14.3984375" style="13" bestFit="1" customWidth="1"/>
    <col min="6670" max="6670" width="6.3984375" style="13" bestFit="1" customWidth="1"/>
    <col min="6671" max="6671" width="10.59765625" style="13" bestFit="1" customWidth="1"/>
    <col min="6672" max="6912" width="8.86328125" style="13"/>
    <col min="6913" max="6913" width="4.59765625" style="13" customWidth="1"/>
    <col min="6914" max="6914" width="2.59765625" style="13" customWidth="1"/>
    <col min="6915" max="6915" width="28.3984375" style="13" bestFit="1" customWidth="1"/>
    <col min="6916" max="6916" width="8.59765625" style="13" customWidth="1"/>
    <col min="6917" max="6917" width="13.3984375" style="13" customWidth="1"/>
    <col min="6918" max="6918" width="8.3984375" style="13" customWidth="1"/>
    <col min="6919" max="6919" width="10.59765625" style="13" customWidth="1"/>
    <col min="6920" max="6920" width="14.3984375" style="13" bestFit="1" customWidth="1"/>
    <col min="6921" max="6921" width="14" style="13" customWidth="1"/>
    <col min="6922" max="6922" width="13.3984375" style="13" customWidth="1"/>
    <col min="6923" max="6924" width="12.1328125" style="13" customWidth="1"/>
    <col min="6925" max="6925" width="14.3984375" style="13" bestFit="1" customWidth="1"/>
    <col min="6926" max="6926" width="6.3984375" style="13" bestFit="1" customWidth="1"/>
    <col min="6927" max="6927" width="10.59765625" style="13" bestFit="1" customWidth="1"/>
    <col min="6928" max="7168" width="8.86328125" style="13"/>
    <col min="7169" max="7169" width="4.59765625" style="13" customWidth="1"/>
    <col min="7170" max="7170" width="2.59765625" style="13" customWidth="1"/>
    <col min="7171" max="7171" width="28.3984375" style="13" bestFit="1" customWidth="1"/>
    <col min="7172" max="7172" width="8.59765625" style="13" customWidth="1"/>
    <col min="7173" max="7173" width="13.3984375" style="13" customWidth="1"/>
    <col min="7174" max="7174" width="8.3984375" style="13" customWidth="1"/>
    <col min="7175" max="7175" width="10.59765625" style="13" customWidth="1"/>
    <col min="7176" max="7176" width="14.3984375" style="13" bestFit="1" customWidth="1"/>
    <col min="7177" max="7177" width="14" style="13" customWidth="1"/>
    <col min="7178" max="7178" width="13.3984375" style="13" customWidth="1"/>
    <col min="7179" max="7180" width="12.1328125" style="13" customWidth="1"/>
    <col min="7181" max="7181" width="14.3984375" style="13" bestFit="1" customWidth="1"/>
    <col min="7182" max="7182" width="6.3984375" style="13" bestFit="1" customWidth="1"/>
    <col min="7183" max="7183" width="10.59765625" style="13" bestFit="1" customWidth="1"/>
    <col min="7184" max="7424" width="8.86328125" style="13"/>
    <col min="7425" max="7425" width="4.59765625" style="13" customWidth="1"/>
    <col min="7426" max="7426" width="2.59765625" style="13" customWidth="1"/>
    <col min="7427" max="7427" width="28.3984375" style="13" bestFit="1" customWidth="1"/>
    <col min="7428" max="7428" width="8.59765625" style="13" customWidth="1"/>
    <col min="7429" max="7429" width="13.3984375" style="13" customWidth="1"/>
    <col min="7430" max="7430" width="8.3984375" style="13" customWidth="1"/>
    <col min="7431" max="7431" width="10.59765625" style="13" customWidth="1"/>
    <col min="7432" max="7432" width="14.3984375" style="13" bestFit="1" customWidth="1"/>
    <col min="7433" max="7433" width="14" style="13" customWidth="1"/>
    <col min="7434" max="7434" width="13.3984375" style="13" customWidth="1"/>
    <col min="7435" max="7436" width="12.1328125" style="13" customWidth="1"/>
    <col min="7437" max="7437" width="14.3984375" style="13" bestFit="1" customWidth="1"/>
    <col min="7438" max="7438" width="6.3984375" style="13" bestFit="1" customWidth="1"/>
    <col min="7439" max="7439" width="10.59765625" style="13" bestFit="1" customWidth="1"/>
    <col min="7440" max="7680" width="8.86328125" style="13"/>
    <col min="7681" max="7681" width="4.59765625" style="13" customWidth="1"/>
    <col min="7682" max="7682" width="2.59765625" style="13" customWidth="1"/>
    <col min="7683" max="7683" width="28.3984375" style="13" bestFit="1" customWidth="1"/>
    <col min="7684" max="7684" width="8.59765625" style="13" customWidth="1"/>
    <col min="7685" max="7685" width="13.3984375" style="13" customWidth="1"/>
    <col min="7686" max="7686" width="8.3984375" style="13" customWidth="1"/>
    <col min="7687" max="7687" width="10.59765625" style="13" customWidth="1"/>
    <col min="7688" max="7688" width="14.3984375" style="13" bestFit="1" customWidth="1"/>
    <col min="7689" max="7689" width="14" style="13" customWidth="1"/>
    <col min="7690" max="7690" width="13.3984375" style="13" customWidth="1"/>
    <col min="7691" max="7692" width="12.1328125" style="13" customWidth="1"/>
    <col min="7693" max="7693" width="14.3984375" style="13" bestFit="1" customWidth="1"/>
    <col min="7694" max="7694" width="6.3984375" style="13" bestFit="1" customWidth="1"/>
    <col min="7695" max="7695" width="10.59765625" style="13" bestFit="1" customWidth="1"/>
    <col min="7696" max="7936" width="8.86328125" style="13"/>
    <col min="7937" max="7937" width="4.59765625" style="13" customWidth="1"/>
    <col min="7938" max="7938" width="2.59765625" style="13" customWidth="1"/>
    <col min="7939" max="7939" width="28.3984375" style="13" bestFit="1" customWidth="1"/>
    <col min="7940" max="7940" width="8.59765625" style="13" customWidth="1"/>
    <col min="7941" max="7941" width="13.3984375" style="13" customWidth="1"/>
    <col min="7942" max="7942" width="8.3984375" style="13" customWidth="1"/>
    <col min="7943" max="7943" width="10.59765625" style="13" customWidth="1"/>
    <col min="7944" max="7944" width="14.3984375" style="13" bestFit="1" customWidth="1"/>
    <col min="7945" max="7945" width="14" style="13" customWidth="1"/>
    <col min="7946" max="7946" width="13.3984375" style="13" customWidth="1"/>
    <col min="7947" max="7948" width="12.1328125" style="13" customWidth="1"/>
    <col min="7949" max="7949" width="14.3984375" style="13" bestFit="1" customWidth="1"/>
    <col min="7950" max="7950" width="6.3984375" style="13" bestFit="1" customWidth="1"/>
    <col min="7951" max="7951" width="10.59765625" style="13" bestFit="1" customWidth="1"/>
    <col min="7952" max="8192" width="8.86328125" style="13"/>
    <col min="8193" max="8193" width="4.59765625" style="13" customWidth="1"/>
    <col min="8194" max="8194" width="2.59765625" style="13" customWidth="1"/>
    <col min="8195" max="8195" width="28.3984375" style="13" bestFit="1" customWidth="1"/>
    <col min="8196" max="8196" width="8.59765625" style="13" customWidth="1"/>
    <col min="8197" max="8197" width="13.3984375" style="13" customWidth="1"/>
    <col min="8198" max="8198" width="8.3984375" style="13" customWidth="1"/>
    <col min="8199" max="8199" width="10.59765625" style="13" customWidth="1"/>
    <col min="8200" max="8200" width="14.3984375" style="13" bestFit="1" customWidth="1"/>
    <col min="8201" max="8201" width="14" style="13" customWidth="1"/>
    <col min="8202" max="8202" width="13.3984375" style="13" customWidth="1"/>
    <col min="8203" max="8204" width="12.1328125" style="13" customWidth="1"/>
    <col min="8205" max="8205" width="14.3984375" style="13" bestFit="1" customWidth="1"/>
    <col min="8206" max="8206" width="6.3984375" style="13" bestFit="1" customWidth="1"/>
    <col min="8207" max="8207" width="10.59765625" style="13" bestFit="1" customWidth="1"/>
    <col min="8208" max="8448" width="8.86328125" style="13"/>
    <col min="8449" max="8449" width="4.59765625" style="13" customWidth="1"/>
    <col min="8450" max="8450" width="2.59765625" style="13" customWidth="1"/>
    <col min="8451" max="8451" width="28.3984375" style="13" bestFit="1" customWidth="1"/>
    <col min="8452" max="8452" width="8.59765625" style="13" customWidth="1"/>
    <col min="8453" max="8453" width="13.3984375" style="13" customWidth="1"/>
    <col min="8454" max="8454" width="8.3984375" style="13" customWidth="1"/>
    <col min="8455" max="8455" width="10.59765625" style="13" customWidth="1"/>
    <col min="8456" max="8456" width="14.3984375" style="13" bestFit="1" customWidth="1"/>
    <col min="8457" max="8457" width="14" style="13" customWidth="1"/>
    <col min="8458" max="8458" width="13.3984375" style="13" customWidth="1"/>
    <col min="8459" max="8460" width="12.1328125" style="13" customWidth="1"/>
    <col min="8461" max="8461" width="14.3984375" style="13" bestFit="1" customWidth="1"/>
    <col min="8462" max="8462" width="6.3984375" style="13" bestFit="1" customWidth="1"/>
    <col min="8463" max="8463" width="10.59765625" style="13" bestFit="1" customWidth="1"/>
    <col min="8464" max="8704" width="8.86328125" style="13"/>
    <col min="8705" max="8705" width="4.59765625" style="13" customWidth="1"/>
    <col min="8706" max="8706" width="2.59765625" style="13" customWidth="1"/>
    <col min="8707" max="8707" width="28.3984375" style="13" bestFit="1" customWidth="1"/>
    <col min="8708" max="8708" width="8.59765625" style="13" customWidth="1"/>
    <col min="8709" max="8709" width="13.3984375" style="13" customWidth="1"/>
    <col min="8710" max="8710" width="8.3984375" style="13" customWidth="1"/>
    <col min="8711" max="8711" width="10.59765625" style="13" customWidth="1"/>
    <col min="8712" max="8712" width="14.3984375" style="13" bestFit="1" customWidth="1"/>
    <col min="8713" max="8713" width="14" style="13" customWidth="1"/>
    <col min="8714" max="8714" width="13.3984375" style="13" customWidth="1"/>
    <col min="8715" max="8716" width="12.1328125" style="13" customWidth="1"/>
    <col min="8717" max="8717" width="14.3984375" style="13" bestFit="1" customWidth="1"/>
    <col min="8718" max="8718" width="6.3984375" style="13" bestFit="1" customWidth="1"/>
    <col min="8719" max="8719" width="10.59765625" style="13" bestFit="1" customWidth="1"/>
    <col min="8720" max="8960" width="8.86328125" style="13"/>
    <col min="8961" max="8961" width="4.59765625" style="13" customWidth="1"/>
    <col min="8962" max="8962" width="2.59765625" style="13" customWidth="1"/>
    <col min="8963" max="8963" width="28.3984375" style="13" bestFit="1" customWidth="1"/>
    <col min="8964" max="8964" width="8.59765625" style="13" customWidth="1"/>
    <col min="8965" max="8965" width="13.3984375" style="13" customWidth="1"/>
    <col min="8966" max="8966" width="8.3984375" style="13" customWidth="1"/>
    <col min="8967" max="8967" width="10.59765625" style="13" customWidth="1"/>
    <col min="8968" max="8968" width="14.3984375" style="13" bestFit="1" customWidth="1"/>
    <col min="8969" max="8969" width="14" style="13" customWidth="1"/>
    <col min="8970" max="8970" width="13.3984375" style="13" customWidth="1"/>
    <col min="8971" max="8972" width="12.1328125" style="13" customWidth="1"/>
    <col min="8973" max="8973" width="14.3984375" style="13" bestFit="1" customWidth="1"/>
    <col min="8974" max="8974" width="6.3984375" style="13" bestFit="1" customWidth="1"/>
    <col min="8975" max="8975" width="10.59765625" style="13" bestFit="1" customWidth="1"/>
    <col min="8976" max="9216" width="8.86328125" style="13"/>
    <col min="9217" max="9217" width="4.59765625" style="13" customWidth="1"/>
    <col min="9218" max="9218" width="2.59765625" style="13" customWidth="1"/>
    <col min="9219" max="9219" width="28.3984375" style="13" bestFit="1" customWidth="1"/>
    <col min="9220" max="9220" width="8.59765625" style="13" customWidth="1"/>
    <col min="9221" max="9221" width="13.3984375" style="13" customWidth="1"/>
    <col min="9222" max="9222" width="8.3984375" style="13" customWidth="1"/>
    <col min="9223" max="9223" width="10.59765625" style="13" customWidth="1"/>
    <col min="9224" max="9224" width="14.3984375" style="13" bestFit="1" customWidth="1"/>
    <col min="9225" max="9225" width="14" style="13" customWidth="1"/>
    <col min="9226" max="9226" width="13.3984375" style="13" customWidth="1"/>
    <col min="9227" max="9228" width="12.1328125" style="13" customWidth="1"/>
    <col min="9229" max="9229" width="14.3984375" style="13" bestFit="1" customWidth="1"/>
    <col min="9230" max="9230" width="6.3984375" style="13" bestFit="1" customWidth="1"/>
    <col min="9231" max="9231" width="10.59765625" style="13" bestFit="1" customWidth="1"/>
    <col min="9232" max="9472" width="8.86328125" style="13"/>
    <col min="9473" max="9473" width="4.59765625" style="13" customWidth="1"/>
    <col min="9474" max="9474" width="2.59765625" style="13" customWidth="1"/>
    <col min="9475" max="9475" width="28.3984375" style="13" bestFit="1" customWidth="1"/>
    <col min="9476" max="9476" width="8.59765625" style="13" customWidth="1"/>
    <col min="9477" max="9477" width="13.3984375" style="13" customWidth="1"/>
    <col min="9478" max="9478" width="8.3984375" style="13" customWidth="1"/>
    <col min="9479" max="9479" width="10.59765625" style="13" customWidth="1"/>
    <col min="9480" max="9480" width="14.3984375" style="13" bestFit="1" customWidth="1"/>
    <col min="9481" max="9481" width="14" style="13" customWidth="1"/>
    <col min="9482" max="9482" width="13.3984375" style="13" customWidth="1"/>
    <col min="9483" max="9484" width="12.1328125" style="13" customWidth="1"/>
    <col min="9485" max="9485" width="14.3984375" style="13" bestFit="1" customWidth="1"/>
    <col min="9486" max="9486" width="6.3984375" style="13" bestFit="1" customWidth="1"/>
    <col min="9487" max="9487" width="10.59765625" style="13" bestFit="1" customWidth="1"/>
    <col min="9488" max="9728" width="8.86328125" style="13"/>
    <col min="9729" max="9729" width="4.59765625" style="13" customWidth="1"/>
    <col min="9730" max="9730" width="2.59765625" style="13" customWidth="1"/>
    <col min="9731" max="9731" width="28.3984375" style="13" bestFit="1" customWidth="1"/>
    <col min="9732" max="9732" width="8.59765625" style="13" customWidth="1"/>
    <col min="9733" max="9733" width="13.3984375" style="13" customWidth="1"/>
    <col min="9734" max="9734" width="8.3984375" style="13" customWidth="1"/>
    <col min="9735" max="9735" width="10.59765625" style="13" customWidth="1"/>
    <col min="9736" max="9736" width="14.3984375" style="13" bestFit="1" customWidth="1"/>
    <col min="9737" max="9737" width="14" style="13" customWidth="1"/>
    <col min="9738" max="9738" width="13.3984375" style="13" customWidth="1"/>
    <col min="9739" max="9740" width="12.1328125" style="13" customWidth="1"/>
    <col min="9741" max="9741" width="14.3984375" style="13" bestFit="1" customWidth="1"/>
    <col min="9742" max="9742" width="6.3984375" style="13" bestFit="1" customWidth="1"/>
    <col min="9743" max="9743" width="10.59765625" style="13" bestFit="1" customWidth="1"/>
    <col min="9744" max="9984" width="8.86328125" style="13"/>
    <col min="9985" max="9985" width="4.59765625" style="13" customWidth="1"/>
    <col min="9986" max="9986" width="2.59765625" style="13" customWidth="1"/>
    <col min="9987" max="9987" width="28.3984375" style="13" bestFit="1" customWidth="1"/>
    <col min="9988" max="9988" width="8.59765625" style="13" customWidth="1"/>
    <col min="9989" max="9989" width="13.3984375" style="13" customWidth="1"/>
    <col min="9990" max="9990" width="8.3984375" style="13" customWidth="1"/>
    <col min="9991" max="9991" width="10.59765625" style="13" customWidth="1"/>
    <col min="9992" max="9992" width="14.3984375" style="13" bestFit="1" customWidth="1"/>
    <col min="9993" max="9993" width="14" style="13" customWidth="1"/>
    <col min="9994" max="9994" width="13.3984375" style="13" customWidth="1"/>
    <col min="9995" max="9996" width="12.1328125" style="13" customWidth="1"/>
    <col min="9997" max="9997" width="14.3984375" style="13" bestFit="1" customWidth="1"/>
    <col min="9998" max="9998" width="6.3984375" style="13" bestFit="1" customWidth="1"/>
    <col min="9999" max="9999" width="10.59765625" style="13" bestFit="1" customWidth="1"/>
    <col min="10000" max="10240" width="8.86328125" style="13"/>
    <col min="10241" max="10241" width="4.59765625" style="13" customWidth="1"/>
    <col min="10242" max="10242" width="2.59765625" style="13" customWidth="1"/>
    <col min="10243" max="10243" width="28.3984375" style="13" bestFit="1" customWidth="1"/>
    <col min="10244" max="10244" width="8.59765625" style="13" customWidth="1"/>
    <col min="10245" max="10245" width="13.3984375" style="13" customWidth="1"/>
    <col min="10246" max="10246" width="8.3984375" style="13" customWidth="1"/>
    <col min="10247" max="10247" width="10.59765625" style="13" customWidth="1"/>
    <col min="10248" max="10248" width="14.3984375" style="13" bestFit="1" customWidth="1"/>
    <col min="10249" max="10249" width="14" style="13" customWidth="1"/>
    <col min="10250" max="10250" width="13.3984375" style="13" customWidth="1"/>
    <col min="10251" max="10252" width="12.1328125" style="13" customWidth="1"/>
    <col min="10253" max="10253" width="14.3984375" style="13" bestFit="1" customWidth="1"/>
    <col min="10254" max="10254" width="6.3984375" style="13" bestFit="1" customWidth="1"/>
    <col min="10255" max="10255" width="10.59765625" style="13" bestFit="1" customWidth="1"/>
    <col min="10256" max="10496" width="8.86328125" style="13"/>
    <col min="10497" max="10497" width="4.59765625" style="13" customWidth="1"/>
    <col min="10498" max="10498" width="2.59765625" style="13" customWidth="1"/>
    <col min="10499" max="10499" width="28.3984375" style="13" bestFit="1" customWidth="1"/>
    <col min="10500" max="10500" width="8.59765625" style="13" customWidth="1"/>
    <col min="10501" max="10501" width="13.3984375" style="13" customWidth="1"/>
    <col min="10502" max="10502" width="8.3984375" style="13" customWidth="1"/>
    <col min="10503" max="10503" width="10.59765625" style="13" customWidth="1"/>
    <col min="10504" max="10504" width="14.3984375" style="13" bestFit="1" customWidth="1"/>
    <col min="10505" max="10505" width="14" style="13" customWidth="1"/>
    <col min="10506" max="10506" width="13.3984375" style="13" customWidth="1"/>
    <col min="10507" max="10508" width="12.1328125" style="13" customWidth="1"/>
    <col min="10509" max="10509" width="14.3984375" style="13" bestFit="1" customWidth="1"/>
    <col min="10510" max="10510" width="6.3984375" style="13" bestFit="1" customWidth="1"/>
    <col min="10511" max="10511" width="10.59765625" style="13" bestFit="1" customWidth="1"/>
    <col min="10512" max="10752" width="8.86328125" style="13"/>
    <col min="10753" max="10753" width="4.59765625" style="13" customWidth="1"/>
    <col min="10754" max="10754" width="2.59765625" style="13" customWidth="1"/>
    <col min="10755" max="10755" width="28.3984375" style="13" bestFit="1" customWidth="1"/>
    <col min="10756" max="10756" width="8.59765625" style="13" customWidth="1"/>
    <col min="10757" max="10757" width="13.3984375" style="13" customWidth="1"/>
    <col min="10758" max="10758" width="8.3984375" style="13" customWidth="1"/>
    <col min="10759" max="10759" width="10.59765625" style="13" customWidth="1"/>
    <col min="10760" max="10760" width="14.3984375" style="13" bestFit="1" customWidth="1"/>
    <col min="10761" max="10761" width="14" style="13" customWidth="1"/>
    <col min="10762" max="10762" width="13.3984375" style="13" customWidth="1"/>
    <col min="10763" max="10764" width="12.1328125" style="13" customWidth="1"/>
    <col min="10765" max="10765" width="14.3984375" style="13" bestFit="1" customWidth="1"/>
    <col min="10766" max="10766" width="6.3984375" style="13" bestFit="1" customWidth="1"/>
    <col min="10767" max="10767" width="10.59765625" style="13" bestFit="1" customWidth="1"/>
    <col min="10768" max="11008" width="8.86328125" style="13"/>
    <col min="11009" max="11009" width="4.59765625" style="13" customWidth="1"/>
    <col min="11010" max="11010" width="2.59765625" style="13" customWidth="1"/>
    <col min="11011" max="11011" width="28.3984375" style="13" bestFit="1" customWidth="1"/>
    <col min="11012" max="11012" width="8.59765625" style="13" customWidth="1"/>
    <col min="11013" max="11013" width="13.3984375" style="13" customWidth="1"/>
    <col min="11014" max="11014" width="8.3984375" style="13" customWidth="1"/>
    <col min="11015" max="11015" width="10.59765625" style="13" customWidth="1"/>
    <col min="11016" max="11016" width="14.3984375" style="13" bestFit="1" customWidth="1"/>
    <col min="11017" max="11017" width="14" style="13" customWidth="1"/>
    <col min="11018" max="11018" width="13.3984375" style="13" customWidth="1"/>
    <col min="11019" max="11020" width="12.1328125" style="13" customWidth="1"/>
    <col min="11021" max="11021" width="14.3984375" style="13" bestFit="1" customWidth="1"/>
    <col min="11022" max="11022" width="6.3984375" style="13" bestFit="1" customWidth="1"/>
    <col min="11023" max="11023" width="10.59765625" style="13" bestFit="1" customWidth="1"/>
    <col min="11024" max="11264" width="8.86328125" style="13"/>
    <col min="11265" max="11265" width="4.59765625" style="13" customWidth="1"/>
    <col min="11266" max="11266" width="2.59765625" style="13" customWidth="1"/>
    <col min="11267" max="11267" width="28.3984375" style="13" bestFit="1" customWidth="1"/>
    <col min="11268" max="11268" width="8.59765625" style="13" customWidth="1"/>
    <col min="11269" max="11269" width="13.3984375" style="13" customWidth="1"/>
    <col min="11270" max="11270" width="8.3984375" style="13" customWidth="1"/>
    <col min="11271" max="11271" width="10.59765625" style="13" customWidth="1"/>
    <col min="11272" max="11272" width="14.3984375" style="13" bestFit="1" customWidth="1"/>
    <col min="11273" max="11273" width="14" style="13" customWidth="1"/>
    <col min="11274" max="11274" width="13.3984375" style="13" customWidth="1"/>
    <col min="11275" max="11276" width="12.1328125" style="13" customWidth="1"/>
    <col min="11277" max="11277" width="14.3984375" style="13" bestFit="1" customWidth="1"/>
    <col min="11278" max="11278" width="6.3984375" style="13" bestFit="1" customWidth="1"/>
    <col min="11279" max="11279" width="10.59765625" style="13" bestFit="1" customWidth="1"/>
    <col min="11280" max="11520" width="8.86328125" style="13"/>
    <col min="11521" max="11521" width="4.59765625" style="13" customWidth="1"/>
    <col min="11522" max="11522" width="2.59765625" style="13" customWidth="1"/>
    <col min="11523" max="11523" width="28.3984375" style="13" bestFit="1" customWidth="1"/>
    <col min="11524" max="11524" width="8.59765625" style="13" customWidth="1"/>
    <col min="11525" max="11525" width="13.3984375" style="13" customWidth="1"/>
    <col min="11526" max="11526" width="8.3984375" style="13" customWidth="1"/>
    <col min="11527" max="11527" width="10.59765625" style="13" customWidth="1"/>
    <col min="11528" max="11528" width="14.3984375" style="13" bestFit="1" customWidth="1"/>
    <col min="11529" max="11529" width="14" style="13" customWidth="1"/>
    <col min="11530" max="11530" width="13.3984375" style="13" customWidth="1"/>
    <col min="11531" max="11532" width="12.1328125" style="13" customWidth="1"/>
    <col min="11533" max="11533" width="14.3984375" style="13" bestFit="1" customWidth="1"/>
    <col min="11534" max="11534" width="6.3984375" style="13" bestFit="1" customWidth="1"/>
    <col min="11535" max="11535" width="10.59765625" style="13" bestFit="1" customWidth="1"/>
    <col min="11536" max="11776" width="8.86328125" style="13"/>
    <col min="11777" max="11777" width="4.59765625" style="13" customWidth="1"/>
    <col min="11778" max="11778" width="2.59765625" style="13" customWidth="1"/>
    <col min="11779" max="11779" width="28.3984375" style="13" bestFit="1" customWidth="1"/>
    <col min="11780" max="11780" width="8.59765625" style="13" customWidth="1"/>
    <col min="11781" max="11781" width="13.3984375" style="13" customWidth="1"/>
    <col min="11782" max="11782" width="8.3984375" style="13" customWidth="1"/>
    <col min="11783" max="11783" width="10.59765625" style="13" customWidth="1"/>
    <col min="11784" max="11784" width="14.3984375" style="13" bestFit="1" customWidth="1"/>
    <col min="11785" max="11785" width="14" style="13" customWidth="1"/>
    <col min="11786" max="11786" width="13.3984375" style="13" customWidth="1"/>
    <col min="11787" max="11788" width="12.1328125" style="13" customWidth="1"/>
    <col min="11789" max="11789" width="14.3984375" style="13" bestFit="1" customWidth="1"/>
    <col min="11790" max="11790" width="6.3984375" style="13" bestFit="1" customWidth="1"/>
    <col min="11791" max="11791" width="10.59765625" style="13" bestFit="1" customWidth="1"/>
    <col min="11792" max="12032" width="8.86328125" style="13"/>
    <col min="12033" max="12033" width="4.59765625" style="13" customWidth="1"/>
    <col min="12034" max="12034" width="2.59765625" style="13" customWidth="1"/>
    <col min="12035" max="12035" width="28.3984375" style="13" bestFit="1" customWidth="1"/>
    <col min="12036" max="12036" width="8.59765625" style="13" customWidth="1"/>
    <col min="12037" max="12037" width="13.3984375" style="13" customWidth="1"/>
    <col min="12038" max="12038" width="8.3984375" style="13" customWidth="1"/>
    <col min="12039" max="12039" width="10.59765625" style="13" customWidth="1"/>
    <col min="12040" max="12040" width="14.3984375" style="13" bestFit="1" customWidth="1"/>
    <col min="12041" max="12041" width="14" style="13" customWidth="1"/>
    <col min="12042" max="12042" width="13.3984375" style="13" customWidth="1"/>
    <col min="12043" max="12044" width="12.1328125" style="13" customWidth="1"/>
    <col min="12045" max="12045" width="14.3984375" style="13" bestFit="1" customWidth="1"/>
    <col min="12046" max="12046" width="6.3984375" style="13" bestFit="1" customWidth="1"/>
    <col min="12047" max="12047" width="10.59765625" style="13" bestFit="1" customWidth="1"/>
    <col min="12048" max="12288" width="8.86328125" style="13"/>
    <col min="12289" max="12289" width="4.59765625" style="13" customWidth="1"/>
    <col min="12290" max="12290" width="2.59765625" style="13" customWidth="1"/>
    <col min="12291" max="12291" width="28.3984375" style="13" bestFit="1" customWidth="1"/>
    <col min="12292" max="12292" width="8.59765625" style="13" customWidth="1"/>
    <col min="12293" max="12293" width="13.3984375" style="13" customWidth="1"/>
    <col min="12294" max="12294" width="8.3984375" style="13" customWidth="1"/>
    <col min="12295" max="12295" width="10.59765625" style="13" customWidth="1"/>
    <col min="12296" max="12296" width="14.3984375" style="13" bestFit="1" customWidth="1"/>
    <col min="12297" max="12297" width="14" style="13" customWidth="1"/>
    <col min="12298" max="12298" width="13.3984375" style="13" customWidth="1"/>
    <col min="12299" max="12300" width="12.1328125" style="13" customWidth="1"/>
    <col min="12301" max="12301" width="14.3984375" style="13" bestFit="1" customWidth="1"/>
    <col min="12302" max="12302" width="6.3984375" style="13" bestFit="1" customWidth="1"/>
    <col min="12303" max="12303" width="10.59765625" style="13" bestFit="1" customWidth="1"/>
    <col min="12304" max="12544" width="8.86328125" style="13"/>
    <col min="12545" max="12545" width="4.59765625" style="13" customWidth="1"/>
    <col min="12546" max="12546" width="2.59765625" style="13" customWidth="1"/>
    <col min="12547" max="12547" width="28.3984375" style="13" bestFit="1" customWidth="1"/>
    <col min="12548" max="12548" width="8.59765625" style="13" customWidth="1"/>
    <col min="12549" max="12549" width="13.3984375" style="13" customWidth="1"/>
    <col min="12550" max="12550" width="8.3984375" style="13" customWidth="1"/>
    <col min="12551" max="12551" width="10.59765625" style="13" customWidth="1"/>
    <col min="12552" max="12552" width="14.3984375" style="13" bestFit="1" customWidth="1"/>
    <col min="12553" max="12553" width="14" style="13" customWidth="1"/>
    <col min="12554" max="12554" width="13.3984375" style="13" customWidth="1"/>
    <col min="12555" max="12556" width="12.1328125" style="13" customWidth="1"/>
    <col min="12557" max="12557" width="14.3984375" style="13" bestFit="1" customWidth="1"/>
    <col min="12558" max="12558" width="6.3984375" style="13" bestFit="1" customWidth="1"/>
    <col min="12559" max="12559" width="10.59765625" style="13" bestFit="1" customWidth="1"/>
    <col min="12560" max="12800" width="8.86328125" style="13"/>
    <col min="12801" max="12801" width="4.59765625" style="13" customWidth="1"/>
    <col min="12802" max="12802" width="2.59765625" style="13" customWidth="1"/>
    <col min="12803" max="12803" width="28.3984375" style="13" bestFit="1" customWidth="1"/>
    <col min="12804" max="12804" width="8.59765625" style="13" customWidth="1"/>
    <col min="12805" max="12805" width="13.3984375" style="13" customWidth="1"/>
    <col min="12806" max="12806" width="8.3984375" style="13" customWidth="1"/>
    <col min="12807" max="12807" width="10.59765625" style="13" customWidth="1"/>
    <col min="12808" max="12808" width="14.3984375" style="13" bestFit="1" customWidth="1"/>
    <col min="12809" max="12809" width="14" style="13" customWidth="1"/>
    <col min="12810" max="12810" width="13.3984375" style="13" customWidth="1"/>
    <col min="12811" max="12812" width="12.1328125" style="13" customWidth="1"/>
    <col min="12813" max="12813" width="14.3984375" style="13" bestFit="1" customWidth="1"/>
    <col min="12814" max="12814" width="6.3984375" style="13" bestFit="1" customWidth="1"/>
    <col min="12815" max="12815" width="10.59765625" style="13" bestFit="1" customWidth="1"/>
    <col min="12816" max="13056" width="8.86328125" style="13"/>
    <col min="13057" max="13057" width="4.59765625" style="13" customWidth="1"/>
    <col min="13058" max="13058" width="2.59765625" style="13" customWidth="1"/>
    <col min="13059" max="13059" width="28.3984375" style="13" bestFit="1" customWidth="1"/>
    <col min="13060" max="13060" width="8.59765625" style="13" customWidth="1"/>
    <col min="13061" max="13061" width="13.3984375" style="13" customWidth="1"/>
    <col min="13062" max="13062" width="8.3984375" style="13" customWidth="1"/>
    <col min="13063" max="13063" width="10.59765625" style="13" customWidth="1"/>
    <col min="13064" max="13064" width="14.3984375" style="13" bestFit="1" customWidth="1"/>
    <col min="13065" max="13065" width="14" style="13" customWidth="1"/>
    <col min="13066" max="13066" width="13.3984375" style="13" customWidth="1"/>
    <col min="13067" max="13068" width="12.1328125" style="13" customWidth="1"/>
    <col min="13069" max="13069" width="14.3984375" style="13" bestFit="1" customWidth="1"/>
    <col min="13070" max="13070" width="6.3984375" style="13" bestFit="1" customWidth="1"/>
    <col min="13071" max="13071" width="10.59765625" style="13" bestFit="1" customWidth="1"/>
    <col min="13072" max="13312" width="8.86328125" style="13"/>
    <col min="13313" max="13313" width="4.59765625" style="13" customWidth="1"/>
    <col min="13314" max="13314" width="2.59765625" style="13" customWidth="1"/>
    <col min="13315" max="13315" width="28.3984375" style="13" bestFit="1" customWidth="1"/>
    <col min="13316" max="13316" width="8.59765625" style="13" customWidth="1"/>
    <col min="13317" max="13317" width="13.3984375" style="13" customWidth="1"/>
    <col min="13318" max="13318" width="8.3984375" style="13" customWidth="1"/>
    <col min="13319" max="13319" width="10.59765625" style="13" customWidth="1"/>
    <col min="13320" max="13320" width="14.3984375" style="13" bestFit="1" customWidth="1"/>
    <col min="13321" max="13321" width="14" style="13" customWidth="1"/>
    <col min="13322" max="13322" width="13.3984375" style="13" customWidth="1"/>
    <col min="13323" max="13324" width="12.1328125" style="13" customWidth="1"/>
    <col min="13325" max="13325" width="14.3984375" style="13" bestFit="1" customWidth="1"/>
    <col min="13326" max="13326" width="6.3984375" style="13" bestFit="1" customWidth="1"/>
    <col min="13327" max="13327" width="10.59765625" style="13" bestFit="1" customWidth="1"/>
    <col min="13328" max="13568" width="8.86328125" style="13"/>
    <col min="13569" max="13569" width="4.59765625" style="13" customWidth="1"/>
    <col min="13570" max="13570" width="2.59765625" style="13" customWidth="1"/>
    <col min="13571" max="13571" width="28.3984375" style="13" bestFit="1" customWidth="1"/>
    <col min="13572" max="13572" width="8.59765625" style="13" customWidth="1"/>
    <col min="13573" max="13573" width="13.3984375" style="13" customWidth="1"/>
    <col min="13574" max="13574" width="8.3984375" style="13" customWidth="1"/>
    <col min="13575" max="13575" width="10.59765625" style="13" customWidth="1"/>
    <col min="13576" max="13576" width="14.3984375" style="13" bestFit="1" customWidth="1"/>
    <col min="13577" max="13577" width="14" style="13" customWidth="1"/>
    <col min="13578" max="13578" width="13.3984375" style="13" customWidth="1"/>
    <col min="13579" max="13580" width="12.1328125" style="13" customWidth="1"/>
    <col min="13581" max="13581" width="14.3984375" style="13" bestFit="1" customWidth="1"/>
    <col min="13582" max="13582" width="6.3984375" style="13" bestFit="1" customWidth="1"/>
    <col min="13583" max="13583" width="10.59765625" style="13" bestFit="1" customWidth="1"/>
    <col min="13584" max="13824" width="8.86328125" style="13"/>
    <col min="13825" max="13825" width="4.59765625" style="13" customWidth="1"/>
    <col min="13826" max="13826" width="2.59765625" style="13" customWidth="1"/>
    <col min="13827" max="13827" width="28.3984375" style="13" bestFit="1" customWidth="1"/>
    <col min="13828" max="13828" width="8.59765625" style="13" customWidth="1"/>
    <col min="13829" max="13829" width="13.3984375" style="13" customWidth="1"/>
    <col min="13830" max="13830" width="8.3984375" style="13" customWidth="1"/>
    <col min="13831" max="13831" width="10.59765625" style="13" customWidth="1"/>
    <col min="13832" max="13832" width="14.3984375" style="13" bestFit="1" customWidth="1"/>
    <col min="13833" max="13833" width="14" style="13" customWidth="1"/>
    <col min="13834" max="13834" width="13.3984375" style="13" customWidth="1"/>
    <col min="13835" max="13836" width="12.1328125" style="13" customWidth="1"/>
    <col min="13837" max="13837" width="14.3984375" style="13" bestFit="1" customWidth="1"/>
    <col min="13838" max="13838" width="6.3984375" style="13" bestFit="1" customWidth="1"/>
    <col min="13839" max="13839" width="10.59765625" style="13" bestFit="1" customWidth="1"/>
    <col min="13840" max="14080" width="8.86328125" style="13"/>
    <col min="14081" max="14081" width="4.59765625" style="13" customWidth="1"/>
    <col min="14082" max="14082" width="2.59765625" style="13" customWidth="1"/>
    <col min="14083" max="14083" width="28.3984375" style="13" bestFit="1" customWidth="1"/>
    <col min="14084" max="14084" width="8.59765625" style="13" customWidth="1"/>
    <col min="14085" max="14085" width="13.3984375" style="13" customWidth="1"/>
    <col min="14086" max="14086" width="8.3984375" style="13" customWidth="1"/>
    <col min="14087" max="14087" width="10.59765625" style="13" customWidth="1"/>
    <col min="14088" max="14088" width="14.3984375" style="13" bestFit="1" customWidth="1"/>
    <col min="14089" max="14089" width="14" style="13" customWidth="1"/>
    <col min="14090" max="14090" width="13.3984375" style="13" customWidth="1"/>
    <col min="14091" max="14092" width="12.1328125" style="13" customWidth="1"/>
    <col min="14093" max="14093" width="14.3984375" style="13" bestFit="1" customWidth="1"/>
    <col min="14094" max="14094" width="6.3984375" style="13" bestFit="1" customWidth="1"/>
    <col min="14095" max="14095" width="10.59765625" style="13" bestFit="1" customWidth="1"/>
    <col min="14096" max="14336" width="8.86328125" style="13"/>
    <col min="14337" max="14337" width="4.59765625" style="13" customWidth="1"/>
    <col min="14338" max="14338" width="2.59765625" style="13" customWidth="1"/>
    <col min="14339" max="14339" width="28.3984375" style="13" bestFit="1" customWidth="1"/>
    <col min="14340" max="14340" width="8.59765625" style="13" customWidth="1"/>
    <col min="14341" max="14341" width="13.3984375" style="13" customWidth="1"/>
    <col min="14342" max="14342" width="8.3984375" style="13" customWidth="1"/>
    <col min="14343" max="14343" width="10.59765625" style="13" customWidth="1"/>
    <col min="14344" max="14344" width="14.3984375" style="13" bestFit="1" customWidth="1"/>
    <col min="14345" max="14345" width="14" style="13" customWidth="1"/>
    <col min="14346" max="14346" width="13.3984375" style="13" customWidth="1"/>
    <col min="14347" max="14348" width="12.1328125" style="13" customWidth="1"/>
    <col min="14349" max="14349" width="14.3984375" style="13" bestFit="1" customWidth="1"/>
    <col min="14350" max="14350" width="6.3984375" style="13" bestFit="1" customWidth="1"/>
    <col min="14351" max="14351" width="10.59765625" style="13" bestFit="1" customWidth="1"/>
    <col min="14352" max="14592" width="8.86328125" style="13"/>
    <col min="14593" max="14593" width="4.59765625" style="13" customWidth="1"/>
    <col min="14594" max="14594" width="2.59765625" style="13" customWidth="1"/>
    <col min="14595" max="14595" width="28.3984375" style="13" bestFit="1" customWidth="1"/>
    <col min="14596" max="14596" width="8.59765625" style="13" customWidth="1"/>
    <col min="14597" max="14597" width="13.3984375" style="13" customWidth="1"/>
    <col min="14598" max="14598" width="8.3984375" style="13" customWidth="1"/>
    <col min="14599" max="14599" width="10.59765625" style="13" customWidth="1"/>
    <col min="14600" max="14600" width="14.3984375" style="13" bestFit="1" customWidth="1"/>
    <col min="14601" max="14601" width="14" style="13" customWidth="1"/>
    <col min="14602" max="14602" width="13.3984375" style="13" customWidth="1"/>
    <col min="14603" max="14604" width="12.1328125" style="13" customWidth="1"/>
    <col min="14605" max="14605" width="14.3984375" style="13" bestFit="1" customWidth="1"/>
    <col min="14606" max="14606" width="6.3984375" style="13" bestFit="1" customWidth="1"/>
    <col min="14607" max="14607" width="10.59765625" style="13" bestFit="1" customWidth="1"/>
    <col min="14608" max="14848" width="8.86328125" style="13"/>
    <col min="14849" max="14849" width="4.59765625" style="13" customWidth="1"/>
    <col min="14850" max="14850" width="2.59765625" style="13" customWidth="1"/>
    <col min="14851" max="14851" width="28.3984375" style="13" bestFit="1" customWidth="1"/>
    <col min="14852" max="14852" width="8.59765625" style="13" customWidth="1"/>
    <col min="14853" max="14853" width="13.3984375" style="13" customWidth="1"/>
    <col min="14854" max="14854" width="8.3984375" style="13" customWidth="1"/>
    <col min="14855" max="14855" width="10.59765625" style="13" customWidth="1"/>
    <col min="14856" max="14856" width="14.3984375" style="13" bestFit="1" customWidth="1"/>
    <col min="14857" max="14857" width="14" style="13" customWidth="1"/>
    <col min="14858" max="14858" width="13.3984375" style="13" customWidth="1"/>
    <col min="14859" max="14860" width="12.1328125" style="13" customWidth="1"/>
    <col min="14861" max="14861" width="14.3984375" style="13" bestFit="1" customWidth="1"/>
    <col min="14862" max="14862" width="6.3984375" style="13" bestFit="1" customWidth="1"/>
    <col min="14863" max="14863" width="10.59765625" style="13" bestFit="1" customWidth="1"/>
    <col min="14864" max="15104" width="8.86328125" style="13"/>
    <col min="15105" max="15105" width="4.59765625" style="13" customWidth="1"/>
    <col min="15106" max="15106" width="2.59765625" style="13" customWidth="1"/>
    <col min="15107" max="15107" width="28.3984375" style="13" bestFit="1" customWidth="1"/>
    <col min="15108" max="15108" width="8.59765625" style="13" customWidth="1"/>
    <col min="15109" max="15109" width="13.3984375" style="13" customWidth="1"/>
    <col min="15110" max="15110" width="8.3984375" style="13" customWidth="1"/>
    <col min="15111" max="15111" width="10.59765625" style="13" customWidth="1"/>
    <col min="15112" max="15112" width="14.3984375" style="13" bestFit="1" customWidth="1"/>
    <col min="15113" max="15113" width="14" style="13" customWidth="1"/>
    <col min="15114" max="15114" width="13.3984375" style="13" customWidth="1"/>
    <col min="15115" max="15116" width="12.1328125" style="13" customWidth="1"/>
    <col min="15117" max="15117" width="14.3984375" style="13" bestFit="1" customWidth="1"/>
    <col min="15118" max="15118" width="6.3984375" style="13" bestFit="1" customWidth="1"/>
    <col min="15119" max="15119" width="10.59765625" style="13" bestFit="1" customWidth="1"/>
    <col min="15120" max="15360" width="8.86328125" style="13"/>
    <col min="15361" max="15361" width="4.59765625" style="13" customWidth="1"/>
    <col min="15362" max="15362" width="2.59765625" style="13" customWidth="1"/>
    <col min="15363" max="15363" width="28.3984375" style="13" bestFit="1" customWidth="1"/>
    <col min="15364" max="15364" width="8.59765625" style="13" customWidth="1"/>
    <col min="15365" max="15365" width="13.3984375" style="13" customWidth="1"/>
    <col min="15366" max="15366" width="8.3984375" style="13" customWidth="1"/>
    <col min="15367" max="15367" width="10.59765625" style="13" customWidth="1"/>
    <col min="15368" max="15368" width="14.3984375" style="13" bestFit="1" customWidth="1"/>
    <col min="15369" max="15369" width="14" style="13" customWidth="1"/>
    <col min="15370" max="15370" width="13.3984375" style="13" customWidth="1"/>
    <col min="15371" max="15372" width="12.1328125" style="13" customWidth="1"/>
    <col min="15373" max="15373" width="14.3984375" style="13" bestFit="1" customWidth="1"/>
    <col min="15374" max="15374" width="6.3984375" style="13" bestFit="1" customWidth="1"/>
    <col min="15375" max="15375" width="10.59765625" style="13" bestFit="1" customWidth="1"/>
    <col min="15376" max="15616" width="8.86328125" style="13"/>
    <col min="15617" max="15617" width="4.59765625" style="13" customWidth="1"/>
    <col min="15618" max="15618" width="2.59765625" style="13" customWidth="1"/>
    <col min="15619" max="15619" width="28.3984375" style="13" bestFit="1" customWidth="1"/>
    <col min="15620" max="15620" width="8.59765625" style="13" customWidth="1"/>
    <col min="15621" max="15621" width="13.3984375" style="13" customWidth="1"/>
    <col min="15622" max="15622" width="8.3984375" style="13" customWidth="1"/>
    <col min="15623" max="15623" width="10.59765625" style="13" customWidth="1"/>
    <col min="15624" max="15624" width="14.3984375" style="13" bestFit="1" customWidth="1"/>
    <col min="15625" max="15625" width="14" style="13" customWidth="1"/>
    <col min="15626" max="15626" width="13.3984375" style="13" customWidth="1"/>
    <col min="15627" max="15628" width="12.1328125" style="13" customWidth="1"/>
    <col min="15629" max="15629" width="14.3984375" style="13" bestFit="1" customWidth="1"/>
    <col min="15630" max="15630" width="6.3984375" style="13" bestFit="1" customWidth="1"/>
    <col min="15631" max="15631" width="10.59765625" style="13" bestFit="1" customWidth="1"/>
    <col min="15632" max="15872" width="8.86328125" style="13"/>
    <col min="15873" max="15873" width="4.59765625" style="13" customWidth="1"/>
    <col min="15874" max="15874" width="2.59765625" style="13" customWidth="1"/>
    <col min="15875" max="15875" width="28.3984375" style="13" bestFit="1" customWidth="1"/>
    <col min="15876" max="15876" width="8.59765625" style="13" customWidth="1"/>
    <col min="15877" max="15877" width="13.3984375" style="13" customWidth="1"/>
    <col min="15878" max="15878" width="8.3984375" style="13" customWidth="1"/>
    <col min="15879" max="15879" width="10.59765625" style="13" customWidth="1"/>
    <col min="15880" max="15880" width="14.3984375" style="13" bestFit="1" customWidth="1"/>
    <col min="15881" max="15881" width="14" style="13" customWidth="1"/>
    <col min="15882" max="15882" width="13.3984375" style="13" customWidth="1"/>
    <col min="15883" max="15884" width="12.1328125" style="13" customWidth="1"/>
    <col min="15885" max="15885" width="14.3984375" style="13" bestFit="1" customWidth="1"/>
    <col min="15886" max="15886" width="6.3984375" style="13" bestFit="1" customWidth="1"/>
    <col min="15887" max="15887" width="10.59765625" style="13" bestFit="1" customWidth="1"/>
    <col min="15888" max="16128" width="8.86328125" style="13"/>
    <col min="16129" max="16129" width="4.59765625" style="13" customWidth="1"/>
    <col min="16130" max="16130" width="2.59765625" style="13" customWidth="1"/>
    <col min="16131" max="16131" width="28.3984375" style="13" bestFit="1" customWidth="1"/>
    <col min="16132" max="16132" width="8.59765625" style="13" customWidth="1"/>
    <col min="16133" max="16133" width="13.3984375" style="13" customWidth="1"/>
    <col min="16134" max="16134" width="8.3984375" style="13" customWidth="1"/>
    <col min="16135" max="16135" width="10.59765625" style="13" customWidth="1"/>
    <col min="16136" max="16136" width="14.3984375" style="13" bestFit="1" customWidth="1"/>
    <col min="16137" max="16137" width="14" style="13" customWidth="1"/>
    <col min="16138" max="16138" width="13.3984375" style="13" customWidth="1"/>
    <col min="16139" max="16140" width="12.1328125" style="13" customWidth="1"/>
    <col min="16141" max="16141" width="14.3984375" style="13" bestFit="1" customWidth="1"/>
    <col min="16142" max="16142" width="6.3984375" style="13" bestFit="1" customWidth="1"/>
    <col min="16143" max="16143" width="10.59765625" style="13" bestFit="1" customWidth="1"/>
    <col min="16144" max="16384" width="8.86328125" style="13"/>
  </cols>
  <sheetData>
    <row r="1" spans="1:10" ht="13.15">
      <c r="J1" s="65" t="s">
        <v>278</v>
      </c>
    </row>
    <row r="2" spans="1:10" ht="13.15">
      <c r="J2" s="65" t="s">
        <v>279</v>
      </c>
    </row>
    <row r="3" spans="1:10" ht="13.15">
      <c r="J3" s="65" t="s">
        <v>280</v>
      </c>
    </row>
    <row r="4" spans="1:10" ht="13.15">
      <c r="J4" s="65" t="s">
        <v>297</v>
      </c>
    </row>
    <row r="7" spans="1:10" ht="13.15">
      <c r="J7" s="65" t="s">
        <v>164</v>
      </c>
    </row>
    <row r="8" spans="1:10" ht="13.15">
      <c r="A8" s="222" t="s">
        <v>140</v>
      </c>
      <c r="B8" s="222"/>
      <c r="C8" s="222"/>
      <c r="D8" s="222"/>
      <c r="E8" s="222"/>
      <c r="F8" s="222"/>
      <c r="G8" s="222"/>
      <c r="H8" s="222"/>
      <c r="I8" s="222"/>
      <c r="J8" s="222"/>
    </row>
    <row r="9" spans="1:10" ht="13.15">
      <c r="A9" s="222" t="s">
        <v>141</v>
      </c>
      <c r="B9" s="222"/>
      <c r="C9" s="222"/>
      <c r="D9" s="222"/>
      <c r="E9" s="222"/>
      <c r="F9" s="222"/>
      <c r="G9" s="222"/>
      <c r="H9" s="222"/>
      <c r="I9" s="222"/>
      <c r="J9" s="222"/>
    </row>
    <row r="10" spans="1:10" ht="13.15">
      <c r="A10" s="222" t="s">
        <v>252</v>
      </c>
      <c r="B10" s="222"/>
      <c r="C10" s="222"/>
      <c r="D10" s="222"/>
      <c r="E10" s="222"/>
      <c r="F10" s="222"/>
      <c r="G10" s="222"/>
      <c r="H10" s="222"/>
      <c r="I10" s="222"/>
      <c r="J10" s="222"/>
    </row>
    <row r="11" spans="1:10" ht="13.15">
      <c r="A11" s="211"/>
      <c r="B11" s="211"/>
      <c r="C11" s="211"/>
      <c r="D11" s="211"/>
      <c r="E11" s="211"/>
      <c r="F11" s="211"/>
      <c r="G11" s="211"/>
      <c r="H11" s="211"/>
      <c r="I11" s="211"/>
    </row>
    <row r="12" spans="1:10" ht="13.15">
      <c r="E12" s="211">
        <v>2022</v>
      </c>
      <c r="J12" s="211">
        <v>2022</v>
      </c>
    </row>
    <row r="13" spans="1:10" ht="13.15">
      <c r="A13" s="211"/>
      <c r="B13" s="211"/>
      <c r="E13" s="211" t="s">
        <v>8</v>
      </c>
      <c r="G13" s="211"/>
      <c r="H13" s="211">
        <v>2022</v>
      </c>
      <c r="I13" s="211"/>
      <c r="J13" s="211" t="s">
        <v>14</v>
      </c>
    </row>
    <row r="14" spans="1:10" ht="13.15">
      <c r="A14" s="211" t="s">
        <v>4</v>
      </c>
      <c r="B14" s="211"/>
      <c r="C14" s="67"/>
      <c r="D14" s="211" t="s">
        <v>7</v>
      </c>
      <c r="E14" s="211" t="s">
        <v>1</v>
      </c>
      <c r="F14" s="211"/>
      <c r="G14" s="211"/>
      <c r="H14" s="211" t="s">
        <v>165</v>
      </c>
      <c r="I14" s="211"/>
      <c r="J14" s="211" t="s">
        <v>1</v>
      </c>
    </row>
    <row r="15" spans="1:10" ht="13.15">
      <c r="A15" s="67" t="s">
        <v>153</v>
      </c>
      <c r="B15" s="211"/>
      <c r="C15" s="67" t="s">
        <v>6</v>
      </c>
      <c r="D15" s="67" t="s">
        <v>166</v>
      </c>
      <c r="E15" s="67" t="s">
        <v>9</v>
      </c>
      <c r="F15" s="67"/>
      <c r="G15" s="67"/>
      <c r="H15" s="91" t="s">
        <v>12</v>
      </c>
      <c r="I15" s="67"/>
      <c r="J15" s="91" t="s">
        <v>9</v>
      </c>
    </row>
    <row r="16" spans="1:10" ht="13.15">
      <c r="A16" s="211"/>
      <c r="B16" s="211"/>
      <c r="C16" s="73">
        <v>-1</v>
      </c>
      <c r="D16" s="73">
        <f>+C16-1</f>
        <v>-2</v>
      </c>
      <c r="E16" s="212">
        <f>+D16-1</f>
        <v>-3</v>
      </c>
      <c r="F16" s="212">
        <f>+E16-1</f>
        <v>-4</v>
      </c>
      <c r="G16" s="73" t="s">
        <v>123</v>
      </c>
      <c r="H16" s="212">
        <f>+F16-2</f>
        <v>-6</v>
      </c>
      <c r="I16" s="73" t="s">
        <v>125</v>
      </c>
      <c r="J16" s="73" t="s">
        <v>167</v>
      </c>
    </row>
    <row r="17" spans="1:14">
      <c r="A17" s="13"/>
      <c r="B17" s="13"/>
      <c r="C17" s="92"/>
      <c r="D17" s="92"/>
      <c r="E17" s="93"/>
      <c r="F17" s="93"/>
      <c r="G17" s="93"/>
      <c r="H17" s="93"/>
      <c r="I17" s="93"/>
      <c r="J17" s="93"/>
    </row>
    <row r="18" spans="1:14" ht="13.15">
      <c r="B18" s="94" t="s">
        <v>20</v>
      </c>
      <c r="C18" s="92"/>
      <c r="E18" s="69"/>
      <c r="F18" s="69"/>
      <c r="G18" s="69"/>
      <c r="H18" s="69"/>
      <c r="I18" s="69"/>
      <c r="J18" s="69"/>
    </row>
    <row r="19" spans="1:14">
      <c r="A19" s="18">
        <v>1</v>
      </c>
      <c r="C19" s="92" t="s">
        <v>90</v>
      </c>
      <c r="D19" s="18">
        <v>376</v>
      </c>
      <c r="E19" s="71">
        <v>109151305.60384615</v>
      </c>
      <c r="F19" s="95" t="s">
        <v>275</v>
      </c>
      <c r="G19" s="69" t="s">
        <v>275</v>
      </c>
      <c r="H19" s="71">
        <v>31094052.880999997</v>
      </c>
      <c r="I19" s="69" t="s">
        <v>275</v>
      </c>
      <c r="J19" s="69">
        <f t="shared" ref="J19" si="0">H19+E19</f>
        <v>140245358.48484614</v>
      </c>
      <c r="L19" s="96"/>
      <c r="M19" s="97"/>
      <c r="N19" s="98"/>
    </row>
    <row r="20" spans="1:14">
      <c r="A20" s="18">
        <f>A19+1</f>
        <v>2</v>
      </c>
      <c r="C20" s="92" t="s">
        <v>91</v>
      </c>
      <c r="D20" s="18">
        <v>376</v>
      </c>
      <c r="E20" s="71">
        <v>0</v>
      </c>
      <c r="F20" s="95" t="s">
        <v>275</v>
      </c>
      <c r="G20" s="69" t="s">
        <v>275</v>
      </c>
      <c r="H20" s="71">
        <v>0</v>
      </c>
      <c r="I20" s="69" t="s">
        <v>275</v>
      </c>
      <c r="J20" s="69">
        <f>H20+E20</f>
        <v>0</v>
      </c>
      <c r="L20" s="96"/>
      <c r="M20" s="97"/>
      <c r="N20" s="98"/>
    </row>
    <row r="21" spans="1:14">
      <c r="A21" s="18">
        <f>A20+1</f>
        <v>3</v>
      </c>
      <c r="C21" s="92" t="s">
        <v>92</v>
      </c>
      <c r="D21" s="18">
        <v>378</v>
      </c>
      <c r="E21" s="71">
        <v>1197457.4900000005</v>
      </c>
      <c r="F21" s="95" t="s">
        <v>275</v>
      </c>
      <c r="G21" s="69" t="s">
        <v>275</v>
      </c>
      <c r="H21" s="71">
        <v>899999.99999999988</v>
      </c>
      <c r="I21" s="69" t="s">
        <v>275</v>
      </c>
      <c r="J21" s="69">
        <f t="shared" ref="J21:J26" si="1">H21+E21</f>
        <v>2097457.4900000002</v>
      </c>
      <c r="L21" s="68"/>
      <c r="M21" s="97"/>
      <c r="N21" s="98"/>
    </row>
    <row r="22" spans="1:14">
      <c r="A22" s="18">
        <f>A21+1</f>
        <v>4</v>
      </c>
      <c r="C22" s="92" t="s">
        <v>93</v>
      </c>
      <c r="D22" s="18">
        <v>378</v>
      </c>
      <c r="E22" s="71">
        <v>3348545.4100000006</v>
      </c>
      <c r="F22" s="95" t="s">
        <v>275</v>
      </c>
      <c r="G22" s="69" t="s">
        <v>275</v>
      </c>
      <c r="H22" s="71">
        <v>0</v>
      </c>
      <c r="I22" s="69" t="s">
        <v>275</v>
      </c>
      <c r="J22" s="69">
        <f t="shared" si="1"/>
        <v>3348545.4100000006</v>
      </c>
      <c r="L22" s="68"/>
      <c r="M22" s="97"/>
      <c r="N22" s="98"/>
    </row>
    <row r="23" spans="1:14">
      <c r="A23" s="18">
        <f>A22+1</f>
        <v>5</v>
      </c>
      <c r="C23" s="92" t="s">
        <v>94</v>
      </c>
      <c r="D23" s="18">
        <v>380</v>
      </c>
      <c r="E23" s="71">
        <v>41524933.513076931</v>
      </c>
      <c r="F23" s="95" t="s">
        <v>275</v>
      </c>
      <c r="G23" s="69" t="s">
        <v>275</v>
      </c>
      <c r="H23" s="71">
        <v>7896626.9800000004</v>
      </c>
      <c r="I23" s="69" t="s">
        <v>275</v>
      </c>
      <c r="J23" s="69">
        <f t="shared" si="1"/>
        <v>49421560.493076935</v>
      </c>
      <c r="L23" s="96"/>
      <c r="M23" s="97"/>
      <c r="N23" s="98"/>
    </row>
    <row r="24" spans="1:14">
      <c r="A24" s="18">
        <f>A23+1</f>
        <v>6</v>
      </c>
      <c r="C24" s="92" t="s">
        <v>95</v>
      </c>
      <c r="D24" s="18">
        <v>382</v>
      </c>
      <c r="E24" s="71">
        <v>268945.93</v>
      </c>
      <c r="F24" s="95" t="s">
        <v>275</v>
      </c>
      <c r="G24" s="69" t="s">
        <v>275</v>
      </c>
      <c r="H24" s="71">
        <v>53316.34</v>
      </c>
      <c r="I24" s="69" t="s">
        <v>275</v>
      </c>
      <c r="J24" s="69">
        <f t="shared" si="1"/>
        <v>322262.27</v>
      </c>
      <c r="L24" s="96"/>
      <c r="M24" s="97"/>
      <c r="N24" s="98"/>
    </row>
    <row r="25" spans="1:14">
      <c r="A25" s="18">
        <f>+A24+1</f>
        <v>7</v>
      </c>
      <c r="C25" s="92" t="s">
        <v>96</v>
      </c>
      <c r="D25" s="18">
        <v>383</v>
      </c>
      <c r="E25" s="71">
        <v>323466.03000000003</v>
      </c>
      <c r="F25" s="95" t="s">
        <v>275</v>
      </c>
      <c r="G25" s="69" t="s">
        <v>275</v>
      </c>
      <c r="H25" s="71">
        <v>69827.439999999988</v>
      </c>
      <c r="I25" s="69" t="s">
        <v>275</v>
      </c>
      <c r="J25" s="69">
        <f t="shared" si="1"/>
        <v>393293.47000000003</v>
      </c>
      <c r="L25" s="68"/>
      <c r="M25" s="97"/>
      <c r="N25" s="98"/>
    </row>
    <row r="26" spans="1:14" ht="15">
      <c r="A26" s="18">
        <f>+A25+1</f>
        <v>8</v>
      </c>
      <c r="C26" s="92" t="s">
        <v>97</v>
      </c>
      <c r="D26" s="18">
        <v>387</v>
      </c>
      <c r="E26" s="100">
        <v>213381</v>
      </c>
      <c r="F26" s="95" t="s">
        <v>275</v>
      </c>
      <c r="G26" s="99" t="s">
        <v>275</v>
      </c>
      <c r="H26" s="100">
        <v>0</v>
      </c>
      <c r="I26" s="69" t="s">
        <v>275</v>
      </c>
      <c r="J26" s="99">
        <f t="shared" si="1"/>
        <v>213381</v>
      </c>
      <c r="M26" s="97"/>
      <c r="N26" s="98"/>
    </row>
    <row r="27" spans="1:14" ht="15">
      <c r="C27" s="92"/>
      <c r="D27" s="18"/>
      <c r="E27" s="99"/>
      <c r="F27" s="95"/>
      <c r="G27" s="99"/>
      <c r="H27" s="99"/>
      <c r="I27" s="69"/>
      <c r="J27" s="69"/>
      <c r="M27" s="68"/>
      <c r="N27" s="15"/>
    </row>
    <row r="28" spans="1:14">
      <c r="A28" s="18">
        <f>A26+1</f>
        <v>9</v>
      </c>
      <c r="C28" s="74" t="s">
        <v>21</v>
      </c>
      <c r="D28" s="101"/>
      <c r="E28" s="69">
        <f>SUM(E19:E26)</f>
        <v>156028034.97692308</v>
      </c>
      <c r="F28" s="102"/>
      <c r="G28" s="69">
        <f>SUM(G19:G26)</f>
        <v>0</v>
      </c>
      <c r="H28" s="69">
        <f>SUM(H19:H26)</f>
        <v>40013823.641000003</v>
      </c>
      <c r="I28" s="69">
        <f>SUM(I19:I26)</f>
        <v>0</v>
      </c>
      <c r="J28" s="69">
        <f>SUM(J19:J26)</f>
        <v>196041858.61792308</v>
      </c>
      <c r="M28" s="69"/>
    </row>
    <row r="29" spans="1:14">
      <c r="C29" s="92"/>
      <c r="E29" s="69"/>
      <c r="F29" s="102"/>
      <c r="G29" s="69"/>
      <c r="H29" s="69"/>
      <c r="I29" s="69"/>
      <c r="J29" s="69"/>
    </row>
    <row r="30" spans="1:14" ht="13.15">
      <c r="B30" s="94" t="s">
        <v>12</v>
      </c>
      <c r="C30" s="92"/>
      <c r="F30" s="102"/>
    </row>
    <row r="31" spans="1:14">
      <c r="A31" s="18">
        <f>A28+1</f>
        <v>10</v>
      </c>
      <c r="C31" s="92" t="s">
        <v>90</v>
      </c>
      <c r="D31" s="18">
        <v>376</v>
      </c>
      <c r="E31" s="71">
        <v>-8951244.5169230774</v>
      </c>
      <c r="F31" s="102" t="str">
        <f t="shared" ref="F31:F38" si="2">F19</f>
        <v>NA</v>
      </c>
      <c r="G31" s="69" t="s">
        <v>275</v>
      </c>
      <c r="H31" s="71">
        <v>-4156359</v>
      </c>
      <c r="I31" s="69" t="s">
        <v>275</v>
      </c>
      <c r="J31" s="69">
        <f t="shared" ref="J31" si="3">H31+E31</f>
        <v>-13107603.516923077</v>
      </c>
      <c r="M31" s="68"/>
    </row>
    <row r="32" spans="1:14">
      <c r="A32" s="18">
        <f t="shared" ref="A32:A39" si="4">A31+1</f>
        <v>11</v>
      </c>
      <c r="C32" s="92" t="s">
        <v>91</v>
      </c>
      <c r="D32" s="18">
        <v>376</v>
      </c>
      <c r="E32" s="71">
        <v>0</v>
      </c>
      <c r="F32" s="102" t="str">
        <f t="shared" si="2"/>
        <v>NA</v>
      </c>
      <c r="G32" s="69" t="s">
        <v>275</v>
      </c>
      <c r="H32" s="71">
        <v>0</v>
      </c>
      <c r="I32" s="69" t="s">
        <v>275</v>
      </c>
      <c r="J32" s="69">
        <f>H32+E32</f>
        <v>0</v>
      </c>
      <c r="M32" s="68"/>
    </row>
    <row r="33" spans="1:13">
      <c r="A33" s="18">
        <f t="shared" si="4"/>
        <v>12</v>
      </c>
      <c r="C33" s="92" t="s">
        <v>92</v>
      </c>
      <c r="D33" s="18">
        <v>378</v>
      </c>
      <c r="E33" s="71">
        <v>-124977.29999999999</v>
      </c>
      <c r="F33" s="102" t="str">
        <f t="shared" si="2"/>
        <v>NA</v>
      </c>
      <c r="G33" s="69" t="s">
        <v>275</v>
      </c>
      <c r="H33" s="71">
        <v>-120300</v>
      </c>
      <c r="I33" s="69" t="s">
        <v>275</v>
      </c>
      <c r="J33" s="69">
        <f t="shared" ref="J33:J38" si="5">H33+E33</f>
        <v>-245277.3</v>
      </c>
      <c r="M33" s="68"/>
    </row>
    <row r="34" spans="1:13">
      <c r="A34" s="18">
        <f t="shared" si="4"/>
        <v>13</v>
      </c>
      <c r="C34" s="92" t="s">
        <v>93</v>
      </c>
      <c r="D34" s="18">
        <v>378</v>
      </c>
      <c r="E34" s="71">
        <v>-194723.07</v>
      </c>
      <c r="F34" s="102" t="str">
        <f t="shared" si="2"/>
        <v>NA</v>
      </c>
      <c r="G34" s="69" t="s">
        <v>275</v>
      </c>
      <c r="H34" s="71">
        <v>0</v>
      </c>
      <c r="I34" s="69" t="s">
        <v>275</v>
      </c>
      <c r="J34" s="69">
        <f t="shared" si="5"/>
        <v>-194723.07</v>
      </c>
      <c r="M34" s="68"/>
    </row>
    <row r="35" spans="1:13">
      <c r="A35" s="18">
        <f t="shared" si="4"/>
        <v>14</v>
      </c>
      <c r="C35" s="92" t="s">
        <v>94</v>
      </c>
      <c r="D35" s="18">
        <v>380</v>
      </c>
      <c r="E35" s="71">
        <v>-8670361.7938461546</v>
      </c>
      <c r="F35" s="102" t="str">
        <f t="shared" si="2"/>
        <v>NA</v>
      </c>
      <c r="G35" s="69" t="s">
        <v>275</v>
      </c>
      <c r="H35" s="71">
        <v>-1055547</v>
      </c>
      <c r="I35" s="69" t="s">
        <v>275</v>
      </c>
      <c r="J35" s="69">
        <f t="shared" si="5"/>
        <v>-9725908.7938461546</v>
      </c>
      <c r="M35" s="68"/>
    </row>
    <row r="36" spans="1:13">
      <c r="A36" s="18">
        <f t="shared" si="4"/>
        <v>15</v>
      </c>
      <c r="C36" s="92" t="s">
        <v>95</v>
      </c>
      <c r="D36" s="18">
        <v>382</v>
      </c>
      <c r="E36" s="71">
        <v>-77823.182000000001</v>
      </c>
      <c r="F36" s="102" t="str">
        <f t="shared" si="2"/>
        <v>NA</v>
      </c>
      <c r="G36" s="69" t="s">
        <v>275</v>
      </c>
      <c r="H36" s="71">
        <v>-7129</v>
      </c>
      <c r="I36" s="69" t="s">
        <v>275</v>
      </c>
      <c r="J36" s="69">
        <f t="shared" si="5"/>
        <v>-84952.182000000001</v>
      </c>
      <c r="M36" s="68"/>
    </row>
    <row r="37" spans="1:13">
      <c r="A37" s="18">
        <f t="shared" si="4"/>
        <v>16</v>
      </c>
      <c r="C37" s="92" t="s">
        <v>96</v>
      </c>
      <c r="D37" s="18">
        <v>383</v>
      </c>
      <c r="E37" s="71">
        <v>-16618.050000000003</v>
      </c>
      <c r="F37" s="102" t="str">
        <f t="shared" si="2"/>
        <v>NA</v>
      </c>
      <c r="G37" s="69" t="s">
        <v>275</v>
      </c>
      <c r="H37" s="71">
        <v>-9330</v>
      </c>
      <c r="I37" s="69" t="s">
        <v>275</v>
      </c>
      <c r="J37" s="69">
        <f t="shared" si="5"/>
        <v>-25948.050000000003</v>
      </c>
      <c r="L37" s="70"/>
      <c r="M37" s="68"/>
    </row>
    <row r="38" spans="1:13" ht="15">
      <c r="A38" s="18">
        <f t="shared" si="4"/>
        <v>17</v>
      </c>
      <c r="C38" s="92" t="s">
        <v>97</v>
      </c>
      <c r="D38" s="18">
        <v>387</v>
      </c>
      <c r="E38" s="99">
        <v>0</v>
      </c>
      <c r="F38" s="102" t="str">
        <f t="shared" si="2"/>
        <v>NA</v>
      </c>
      <c r="G38" s="99" t="s">
        <v>275</v>
      </c>
      <c r="H38" s="100">
        <v>0</v>
      </c>
      <c r="I38" s="99" t="s">
        <v>275</v>
      </c>
      <c r="J38" s="99">
        <f t="shared" si="5"/>
        <v>0</v>
      </c>
      <c r="M38" s="68"/>
    </row>
    <row r="39" spans="1:13">
      <c r="A39" s="18">
        <f t="shared" si="4"/>
        <v>18</v>
      </c>
      <c r="C39" s="74" t="s">
        <v>22</v>
      </c>
      <c r="D39" s="101"/>
      <c r="E39" s="69">
        <f>SUM(E31:E38)</f>
        <v>-18035747.912769236</v>
      </c>
      <c r="F39" s="102"/>
      <c r="G39" s="69">
        <f>SUM(G31:G38)</f>
        <v>0</v>
      </c>
      <c r="H39" s="69">
        <f>SUM(H31:H38)</f>
        <v>-5348665</v>
      </c>
      <c r="I39" s="69">
        <f>SUM(I31:I38)</f>
        <v>0</v>
      </c>
      <c r="J39" s="69">
        <f>SUM(J31:J38)</f>
        <v>-23384412.912769236</v>
      </c>
    </row>
    <row r="40" spans="1:13">
      <c r="C40" s="92"/>
      <c r="E40" s="69"/>
      <c r="F40" s="102"/>
      <c r="G40" s="69"/>
      <c r="H40" s="69"/>
      <c r="J40" s="69"/>
    </row>
    <row r="41" spans="1:13" ht="13.9">
      <c r="A41" s="18">
        <f>A39+1</f>
        <v>19</v>
      </c>
      <c r="B41" s="94" t="s">
        <v>168</v>
      </c>
      <c r="C41" s="92"/>
      <c r="E41" s="103">
        <f>+E39+E28</f>
        <v>137992287.06415385</v>
      </c>
      <c r="F41" s="102"/>
      <c r="G41" s="103">
        <f>+G39+G28</f>
        <v>0</v>
      </c>
      <c r="H41" s="103">
        <f>+H39+H28</f>
        <v>34665158.641000003</v>
      </c>
      <c r="I41" s="103">
        <f>+I39+I28</f>
        <v>0</v>
      </c>
      <c r="J41" s="103">
        <f>+J39+J28</f>
        <v>172657445.70515385</v>
      </c>
      <c r="M41" s="68"/>
    </row>
    <row r="42" spans="1:13" ht="13.9">
      <c r="B42" s="94"/>
      <c r="C42" s="92"/>
      <c r="E42" s="103"/>
      <c r="F42" s="102"/>
      <c r="G42" s="103"/>
      <c r="H42" s="103"/>
      <c r="I42" s="103"/>
      <c r="J42" s="69"/>
      <c r="K42" s="67"/>
      <c r="L42" s="67"/>
      <c r="M42" s="67"/>
    </row>
    <row r="43" spans="1:13" ht="15">
      <c r="B43" s="10" t="s">
        <v>169</v>
      </c>
      <c r="E43" s="99"/>
      <c r="F43" s="104"/>
      <c r="G43" s="104"/>
      <c r="I43" s="104"/>
      <c r="J43" s="104"/>
      <c r="K43" s="105"/>
      <c r="L43" s="105"/>
      <c r="M43" s="105"/>
    </row>
    <row r="44" spans="1:13">
      <c r="A44" s="18">
        <f>A41+1</f>
        <v>20</v>
      </c>
      <c r="C44" s="92" t="s">
        <v>90</v>
      </c>
      <c r="D44" s="18">
        <v>376</v>
      </c>
      <c r="E44" s="71">
        <v>1264673.08517944</v>
      </c>
      <c r="F44" s="95"/>
      <c r="G44" s="69"/>
      <c r="H44" s="71">
        <v>422406</v>
      </c>
      <c r="I44" s="69"/>
      <c r="J44" s="69">
        <f t="shared" ref="J44" si="6">H44+E44</f>
        <v>1687079.08517944</v>
      </c>
      <c r="K44" s="93"/>
      <c r="L44" s="93"/>
      <c r="M44" s="68"/>
    </row>
    <row r="45" spans="1:13">
      <c r="A45" s="18">
        <f t="shared" ref="A45:A52" si="7">A44+1</f>
        <v>21</v>
      </c>
      <c r="C45" s="92" t="s">
        <v>91</v>
      </c>
      <c r="D45" s="18">
        <v>376</v>
      </c>
      <c r="E45" s="71">
        <v>0</v>
      </c>
      <c r="F45" s="95"/>
      <c r="G45" s="69"/>
      <c r="H45" s="71">
        <v>0</v>
      </c>
      <c r="I45" s="69"/>
      <c r="J45" s="69">
        <f>H45+E45</f>
        <v>0</v>
      </c>
      <c r="K45" s="93"/>
      <c r="L45" s="93"/>
      <c r="M45" s="68"/>
    </row>
    <row r="46" spans="1:13">
      <c r="A46" s="18">
        <f t="shared" si="7"/>
        <v>22</v>
      </c>
      <c r="C46" s="92" t="s">
        <v>92</v>
      </c>
      <c r="D46" s="18">
        <v>378</v>
      </c>
      <c r="E46" s="71">
        <v>10825.007477200001</v>
      </c>
      <c r="F46" s="95"/>
      <c r="G46" s="69"/>
      <c r="H46" s="71">
        <v>5716</v>
      </c>
      <c r="I46" s="69"/>
      <c r="J46" s="69">
        <f t="shared" ref="J46:J51" si="8">H46+E46</f>
        <v>16541.007477200001</v>
      </c>
      <c r="K46" s="69"/>
      <c r="L46" s="69"/>
      <c r="M46" s="68"/>
    </row>
    <row r="47" spans="1:13">
      <c r="A47" s="18">
        <f t="shared" si="7"/>
        <v>23</v>
      </c>
      <c r="C47" s="92" t="s">
        <v>93</v>
      </c>
      <c r="D47" s="18">
        <v>378</v>
      </c>
      <c r="E47" s="71">
        <v>10279.780000000001</v>
      </c>
      <c r="F47" s="95"/>
      <c r="G47" s="69"/>
      <c r="H47" s="71">
        <v>0</v>
      </c>
      <c r="I47" s="69"/>
      <c r="J47" s="69">
        <f t="shared" si="8"/>
        <v>10279.780000000001</v>
      </c>
      <c r="K47" s="69"/>
      <c r="L47" s="69"/>
      <c r="M47" s="68"/>
    </row>
    <row r="48" spans="1:13" ht="15">
      <c r="A48" s="18">
        <f t="shared" si="7"/>
        <v>24</v>
      </c>
      <c r="C48" s="92" t="s">
        <v>94</v>
      </c>
      <c r="D48" s="18">
        <v>380</v>
      </c>
      <c r="E48" s="71">
        <v>6073861.670123118</v>
      </c>
      <c r="F48" s="95"/>
      <c r="G48" s="99"/>
      <c r="H48" s="71">
        <v>1018077</v>
      </c>
      <c r="I48" s="99"/>
      <c r="J48" s="69">
        <f t="shared" si="8"/>
        <v>7091938.670123118</v>
      </c>
      <c r="K48" s="69"/>
      <c r="L48" s="69"/>
      <c r="M48" s="68"/>
    </row>
    <row r="49" spans="1:13">
      <c r="A49" s="18">
        <f t="shared" si="7"/>
        <v>25</v>
      </c>
      <c r="C49" s="92" t="s">
        <v>95</v>
      </c>
      <c r="D49" s="18">
        <v>382</v>
      </c>
      <c r="E49" s="71">
        <v>635.78700842681928</v>
      </c>
      <c r="F49" s="95"/>
      <c r="G49" s="69"/>
      <c r="H49" s="71">
        <v>636</v>
      </c>
      <c r="I49" s="69"/>
      <c r="J49" s="69">
        <f t="shared" si="8"/>
        <v>1271.7870084268193</v>
      </c>
      <c r="K49" s="69"/>
      <c r="L49" s="69"/>
      <c r="M49" s="68"/>
    </row>
    <row r="50" spans="1:13">
      <c r="A50" s="18">
        <f t="shared" si="7"/>
        <v>26</v>
      </c>
      <c r="C50" s="92" t="s">
        <v>96</v>
      </c>
      <c r="D50" s="18">
        <v>383</v>
      </c>
      <c r="E50" s="71">
        <v>65.232293883720004</v>
      </c>
      <c r="H50" s="71">
        <v>65</v>
      </c>
      <c r="J50" s="69">
        <f t="shared" si="8"/>
        <v>130.23229388371999</v>
      </c>
      <c r="K50" s="69"/>
      <c r="L50" s="69"/>
      <c r="M50" s="68"/>
    </row>
    <row r="51" spans="1:13" ht="15">
      <c r="A51" s="18">
        <f t="shared" si="7"/>
        <v>27</v>
      </c>
      <c r="C51" s="92" t="s">
        <v>97</v>
      </c>
      <c r="D51" s="18">
        <v>387</v>
      </c>
      <c r="E51" s="99">
        <v>0</v>
      </c>
      <c r="H51" s="100">
        <v>0</v>
      </c>
      <c r="I51" s="106"/>
      <c r="J51" s="99">
        <f t="shared" si="8"/>
        <v>0</v>
      </c>
      <c r="K51" s="69"/>
      <c r="L51" s="69"/>
      <c r="M51" s="68"/>
    </row>
    <row r="52" spans="1:13" ht="15">
      <c r="A52" s="18">
        <f t="shared" si="7"/>
        <v>28</v>
      </c>
      <c r="C52" s="13" t="s">
        <v>23</v>
      </c>
      <c r="E52" s="68">
        <f>SUM(E44:E51)</f>
        <v>7360340.5620820681</v>
      </c>
      <c r="G52" s="69"/>
      <c r="H52" s="68">
        <f>SUM(H44:H51)</f>
        <v>1446900</v>
      </c>
      <c r="I52" s="69"/>
      <c r="J52" s="68">
        <f>SUM(J44:J51)</f>
        <v>8807240.562082069</v>
      </c>
      <c r="K52" s="99"/>
      <c r="L52" s="99"/>
      <c r="M52" s="99"/>
    </row>
    <row r="62" spans="1:13">
      <c r="E62" s="15"/>
    </row>
  </sheetData>
  <mergeCells count="3">
    <mergeCell ref="A8:J8"/>
    <mergeCell ref="A9:J9"/>
    <mergeCell ref="A10:J10"/>
  </mergeCells>
  <printOptions horizontalCentered="1"/>
  <pageMargins left="0.5" right="0.5" top="0.75" bottom="0.5" header="0.5" footer="0.5"/>
  <pageSetup scale="78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5">
    <tabColor rgb="FF00B050"/>
    <pageSetUpPr fitToPage="1"/>
  </sheetPr>
  <dimension ref="A1:R54"/>
  <sheetViews>
    <sheetView zoomScaleNormal="100" workbookViewId="0">
      <selection activeCell="F36" sqref="F36"/>
    </sheetView>
  </sheetViews>
  <sheetFormatPr defaultColWidth="9.3984375" defaultRowHeight="12.75"/>
  <cols>
    <col min="1" max="1" width="5.3984375" style="182" customWidth="1"/>
    <col min="2" max="2" width="2.59765625" style="182" customWidth="1"/>
    <col min="3" max="3" width="28.1328125" style="12" bestFit="1" customWidth="1"/>
    <col min="4" max="4" width="9.3984375" style="182"/>
    <col min="5" max="5" width="1.3984375" style="182" customWidth="1"/>
    <col min="6" max="6" width="15.59765625" style="12" customWidth="1"/>
    <col min="7" max="7" width="1.3984375" style="182" customWidth="1"/>
    <col min="8" max="8" width="9.59765625" style="12" customWidth="1"/>
    <col min="9" max="9" width="1.3984375" style="182" customWidth="1"/>
    <col min="10" max="10" width="12.59765625" style="12" bestFit="1" customWidth="1"/>
    <col min="11" max="11" width="1.3984375" style="182" customWidth="1"/>
    <col min="12" max="12" width="14.59765625" style="12" bestFit="1" customWidth="1"/>
    <col min="13" max="13" width="1.3984375" style="182" customWidth="1"/>
    <col min="14" max="14" width="16.59765625" style="12" customWidth="1"/>
    <col min="15" max="15" width="1.3984375" style="182" customWidth="1"/>
    <col min="16" max="16" width="16" style="12" bestFit="1" customWidth="1"/>
    <col min="17" max="17" width="1.3984375" style="182" customWidth="1"/>
    <col min="18" max="18" width="15.59765625" style="12" customWidth="1"/>
    <col min="19" max="16384" width="9.3984375" style="12"/>
  </cols>
  <sheetData>
    <row r="1" spans="1:18" ht="13.15">
      <c r="R1" s="220" t="s">
        <v>278</v>
      </c>
    </row>
    <row r="2" spans="1:18" ht="13.15">
      <c r="R2" s="220" t="s">
        <v>279</v>
      </c>
    </row>
    <row r="3" spans="1:18" ht="13.15">
      <c r="R3" s="220" t="s">
        <v>280</v>
      </c>
    </row>
    <row r="4" spans="1:18" ht="13.15">
      <c r="R4" s="220" t="s">
        <v>296</v>
      </c>
    </row>
    <row r="5" spans="1:18" ht="13.15">
      <c r="R5" s="220"/>
    </row>
    <row r="6" spans="1:18" ht="13.15">
      <c r="R6" s="65" t="s">
        <v>170</v>
      </c>
    </row>
    <row r="7" spans="1:18" ht="13.15">
      <c r="A7" s="176" t="s">
        <v>116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</row>
    <row r="8" spans="1:18" s="13" customFormat="1" ht="13.15">
      <c r="A8" s="177" t="s">
        <v>115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</row>
    <row r="9" spans="1:18" ht="13.15">
      <c r="A9" s="176" t="s">
        <v>253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</row>
    <row r="10" spans="1:18" ht="13.15">
      <c r="A10" s="179"/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</row>
    <row r="11" spans="1:18" ht="13.15">
      <c r="A11" s="180"/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</row>
    <row r="12" spans="1:18" ht="13.15">
      <c r="C12" s="181"/>
      <c r="D12" s="181"/>
      <c r="E12" s="181"/>
      <c r="F12" s="181" t="s">
        <v>59</v>
      </c>
      <c r="G12" s="181"/>
      <c r="H12" s="181"/>
      <c r="I12" s="181"/>
      <c r="J12" s="181" t="s">
        <v>59</v>
      </c>
      <c r="K12" s="181"/>
      <c r="L12" s="181" t="s">
        <v>59</v>
      </c>
      <c r="M12" s="181"/>
      <c r="N12" s="181"/>
      <c r="O12" s="181"/>
      <c r="P12" s="181"/>
      <c r="Q12" s="181"/>
      <c r="R12" s="181" t="s">
        <v>59</v>
      </c>
    </row>
    <row r="13" spans="1:18" ht="13.15">
      <c r="C13" s="181"/>
      <c r="D13" s="181"/>
      <c r="E13" s="181"/>
      <c r="F13" s="181" t="s">
        <v>8</v>
      </c>
      <c r="G13" s="181"/>
      <c r="H13" s="181" t="s">
        <v>73</v>
      </c>
      <c r="I13" s="181"/>
      <c r="J13" s="181" t="s">
        <v>11</v>
      </c>
      <c r="K13" s="181"/>
      <c r="L13" s="181" t="s">
        <v>20</v>
      </c>
      <c r="M13" s="181"/>
      <c r="N13" s="181" t="s">
        <v>60</v>
      </c>
      <c r="O13" s="181"/>
      <c r="P13" s="181" t="s">
        <v>60</v>
      </c>
      <c r="Q13" s="181"/>
      <c r="R13" s="181" t="s">
        <v>14</v>
      </c>
    </row>
    <row r="14" spans="1:18" ht="13.15">
      <c r="A14" s="181" t="s">
        <v>4</v>
      </c>
      <c r="B14" s="181"/>
      <c r="C14" s="181"/>
      <c r="D14" s="181" t="s">
        <v>7</v>
      </c>
      <c r="E14" s="181"/>
      <c r="F14" s="181" t="s">
        <v>1</v>
      </c>
      <c r="G14" s="181"/>
      <c r="H14" s="181" t="s">
        <v>10</v>
      </c>
      <c r="I14" s="181"/>
      <c r="J14" s="181" t="s">
        <v>8</v>
      </c>
      <c r="K14" s="181"/>
      <c r="L14" s="181" t="s">
        <v>42</v>
      </c>
      <c r="M14" s="181"/>
      <c r="N14" s="181" t="s">
        <v>11</v>
      </c>
      <c r="O14" s="181"/>
      <c r="P14" s="181" t="s">
        <v>28</v>
      </c>
      <c r="Q14" s="181"/>
      <c r="R14" s="181" t="s">
        <v>1</v>
      </c>
    </row>
    <row r="15" spans="1:18" ht="13.15">
      <c r="A15" s="183" t="s">
        <v>5</v>
      </c>
      <c r="B15" s="183"/>
      <c r="C15" s="183" t="s">
        <v>6</v>
      </c>
      <c r="D15" s="183" t="s">
        <v>5</v>
      </c>
      <c r="E15" s="183"/>
      <c r="F15" s="183" t="s">
        <v>9</v>
      </c>
      <c r="G15" s="183"/>
      <c r="H15" s="183" t="s">
        <v>2</v>
      </c>
      <c r="I15" s="183"/>
      <c r="J15" s="183" t="s">
        <v>9</v>
      </c>
      <c r="K15" s="183"/>
      <c r="L15" s="183" t="s">
        <v>12</v>
      </c>
      <c r="M15" s="183"/>
      <c r="N15" s="183" t="s">
        <v>13</v>
      </c>
      <c r="O15" s="183"/>
      <c r="P15" s="183" t="s">
        <v>0</v>
      </c>
      <c r="Q15" s="183"/>
      <c r="R15" s="183" t="s">
        <v>9</v>
      </c>
    </row>
    <row r="16" spans="1:18" s="1" customFormat="1" ht="13.15">
      <c r="A16" s="181"/>
      <c r="B16" s="181"/>
      <c r="C16" s="184">
        <v>-1</v>
      </c>
      <c r="D16" s="184">
        <v>-2</v>
      </c>
      <c r="E16" s="184"/>
      <c r="F16" s="184">
        <v>-3</v>
      </c>
      <c r="G16" s="184"/>
      <c r="H16" s="184">
        <v>-4</v>
      </c>
      <c r="I16" s="184"/>
      <c r="J16" s="184" t="s">
        <v>15</v>
      </c>
      <c r="K16" s="184"/>
      <c r="L16" s="184">
        <v>-6</v>
      </c>
      <c r="M16" s="184"/>
      <c r="N16" s="184" t="s">
        <v>16</v>
      </c>
      <c r="O16" s="184"/>
      <c r="P16" s="184" t="s">
        <v>61</v>
      </c>
      <c r="Q16" s="184"/>
      <c r="R16" s="184" t="s">
        <v>17</v>
      </c>
    </row>
    <row r="18" spans="1:18" ht="13.15">
      <c r="B18" s="185" t="s">
        <v>20</v>
      </c>
      <c r="C18" s="185"/>
    </row>
    <row r="19" spans="1:18">
      <c r="A19" s="182">
        <v>1</v>
      </c>
      <c r="B19" s="12"/>
      <c r="C19" s="12" t="s">
        <v>90</v>
      </c>
      <c r="D19" s="182">
        <v>376</v>
      </c>
      <c r="F19" s="186">
        <f>'Plant &amp; Book Depr Form 2.0'!E19</f>
        <v>109151305.60384615</v>
      </c>
      <c r="H19" s="218">
        <f>1.78%/12</f>
        <v>1.4833333333333332E-3</v>
      </c>
      <c r="J19" s="188">
        <f>F19*H19</f>
        <v>161907.76997903845</v>
      </c>
      <c r="L19" s="189">
        <f>'Cap Ex 2021 Form 2.13'!D17</f>
        <v>822195.70691731083</v>
      </c>
      <c r="N19" s="188">
        <f>H19*L19*0.5</f>
        <v>609.79514929700554</v>
      </c>
      <c r="P19" s="188">
        <f>J19+N19</f>
        <v>162517.56512833547</v>
      </c>
      <c r="R19" s="188">
        <f>L19+F19</f>
        <v>109973501.31076346</v>
      </c>
    </row>
    <row r="20" spans="1:18">
      <c r="A20" s="182">
        <f t="shared" ref="A20:A26" si="0">A19+1</f>
        <v>2</v>
      </c>
      <c r="B20" s="12"/>
      <c r="C20" s="12" t="s">
        <v>91</v>
      </c>
      <c r="D20" s="182">
        <v>376</v>
      </c>
      <c r="F20" s="186">
        <f>'Plant &amp; Book Depr Form 2.0'!E20</f>
        <v>0</v>
      </c>
      <c r="H20" s="218">
        <f>1.78%/12</f>
        <v>1.4833333333333332E-3</v>
      </c>
      <c r="J20" s="188">
        <f t="shared" ref="J20:J23" si="1">F20*H20</f>
        <v>0</v>
      </c>
      <c r="L20" s="189">
        <f>'Cap Ex 2021 Form 2.13'!D18</f>
        <v>0</v>
      </c>
      <c r="N20" s="188">
        <f t="shared" ref="N20:N24" si="2">H20*L20*0.5</f>
        <v>0</v>
      </c>
      <c r="P20" s="188">
        <f t="shared" ref="P20:P23" si="3">J20+N20</f>
        <v>0</v>
      </c>
      <c r="R20" s="188">
        <f t="shared" ref="R20:R23" si="4">L20+F20</f>
        <v>0</v>
      </c>
    </row>
    <row r="21" spans="1:18">
      <c r="A21" s="182">
        <f t="shared" si="0"/>
        <v>3</v>
      </c>
      <c r="B21" s="12"/>
      <c r="C21" s="12" t="s">
        <v>92</v>
      </c>
      <c r="D21" s="182">
        <v>378</v>
      </c>
      <c r="F21" s="186">
        <f>'Plant &amp; Book Depr Form 2.0'!E21</f>
        <v>1197457.4900000005</v>
      </c>
      <c r="H21" s="187">
        <f>2.51%/12</f>
        <v>2.0916666666666666E-3</v>
      </c>
      <c r="J21" s="188">
        <f t="shared" si="1"/>
        <v>2504.681916583334</v>
      </c>
      <c r="L21" s="189">
        <f>'Cap Ex 2021 Form 2.13'!D19</f>
        <v>23797.995682889628</v>
      </c>
      <c r="N21" s="188">
        <f t="shared" si="2"/>
        <v>24.888737151688737</v>
      </c>
      <c r="P21" s="188">
        <f t="shared" si="3"/>
        <v>2529.5706537350229</v>
      </c>
      <c r="R21" s="188">
        <f t="shared" si="4"/>
        <v>1221255.4856828901</v>
      </c>
    </row>
    <row r="22" spans="1:18">
      <c r="A22" s="182">
        <f t="shared" si="0"/>
        <v>4</v>
      </c>
      <c r="B22" s="12"/>
      <c r="C22" s="12" t="s">
        <v>93</v>
      </c>
      <c r="D22" s="182">
        <v>378</v>
      </c>
      <c r="F22" s="186">
        <f>'Plant &amp; Book Depr Form 2.0'!E22</f>
        <v>3348545.4100000006</v>
      </c>
      <c r="H22" s="187">
        <f>+H21</f>
        <v>2.0916666666666666E-3</v>
      </c>
      <c r="J22" s="188">
        <f t="shared" si="1"/>
        <v>7004.0408159166673</v>
      </c>
      <c r="L22" s="189">
        <f>'Cap Ex 2021 Form 2.13'!D20</f>
        <v>0</v>
      </c>
      <c r="N22" s="188">
        <f t="shared" si="2"/>
        <v>0</v>
      </c>
      <c r="P22" s="188">
        <f t="shared" si="3"/>
        <v>7004.0408159166673</v>
      </c>
      <c r="R22" s="188">
        <f t="shared" si="4"/>
        <v>3348545.4100000006</v>
      </c>
    </row>
    <row r="23" spans="1:18">
      <c r="A23" s="182">
        <f t="shared" si="0"/>
        <v>5</v>
      </c>
      <c r="B23" s="12"/>
      <c r="C23" s="12" t="s">
        <v>94</v>
      </c>
      <c r="D23" s="182">
        <v>380</v>
      </c>
      <c r="F23" s="186">
        <f>'Plant &amp; Book Depr Form 2.0'!E23</f>
        <v>41524933.513076931</v>
      </c>
      <c r="H23" s="187">
        <f>3.98%/12</f>
        <v>3.316666666666667E-3</v>
      </c>
      <c r="J23" s="188">
        <f t="shared" si="1"/>
        <v>137724.36281837182</v>
      </c>
      <c r="L23" s="189">
        <f>'Cap Ex 2021 Form 2.13'!D21</f>
        <v>208804.32753269971</v>
      </c>
      <c r="N23" s="188">
        <f t="shared" si="2"/>
        <v>346.26717649172707</v>
      </c>
      <c r="P23" s="188">
        <f t="shared" si="3"/>
        <v>138070.62999486356</v>
      </c>
      <c r="R23" s="188">
        <f t="shared" si="4"/>
        <v>41733737.840609632</v>
      </c>
    </row>
    <row r="24" spans="1:18">
      <c r="A24" s="182">
        <f t="shared" si="0"/>
        <v>6</v>
      </c>
      <c r="B24" s="12"/>
      <c r="C24" s="12" t="s">
        <v>95</v>
      </c>
      <c r="D24" s="182">
        <v>382</v>
      </c>
      <c r="F24" s="186">
        <f>'Plant &amp; Book Depr Form 2.0'!E24</f>
        <v>268945.93</v>
      </c>
      <c r="H24" s="187">
        <f>1.77%/12</f>
        <v>1.475E-3</v>
      </c>
      <c r="J24" s="188">
        <f>F24*H24</f>
        <v>396.69524674999997</v>
      </c>
      <c r="L24" s="189">
        <f>'Cap Ex 2021 Form 2.13'!D22</f>
        <v>1409.8022546083059</v>
      </c>
      <c r="N24" s="188">
        <f t="shared" si="2"/>
        <v>1.0397291627736256</v>
      </c>
      <c r="P24" s="188">
        <f>J24+N24</f>
        <v>397.73497591277362</v>
      </c>
      <c r="R24" s="188">
        <f>L24+F24</f>
        <v>270355.7322546083</v>
      </c>
    </row>
    <row r="25" spans="1:18">
      <c r="A25" s="182">
        <f t="shared" si="0"/>
        <v>7</v>
      </c>
      <c r="B25" s="12"/>
      <c r="C25" s="190" t="s">
        <v>96</v>
      </c>
      <c r="D25" s="182">
        <v>383</v>
      </c>
      <c r="F25" s="186">
        <f>'Plant &amp; Book Depr Form 2.0'!E25</f>
        <v>323466.03000000003</v>
      </c>
      <c r="H25" s="187">
        <f>1.96%/12</f>
        <v>1.6333333333333332E-3</v>
      </c>
      <c r="J25" s="188">
        <f>F25*H25</f>
        <v>528.32784900000001</v>
      </c>
      <c r="L25" s="189">
        <f>'Cap Ex 2021 Form 2.13'!D23</f>
        <v>1846.3923507413713</v>
      </c>
      <c r="N25" s="188">
        <f>H25*L25*0.5</f>
        <v>1.5078870864387863</v>
      </c>
      <c r="P25" s="188">
        <f>J25+N25</f>
        <v>529.83573608643883</v>
      </c>
      <c r="R25" s="188">
        <f>L25+F25</f>
        <v>325312.4223507414</v>
      </c>
    </row>
    <row r="26" spans="1:18">
      <c r="A26" s="182">
        <f t="shared" si="0"/>
        <v>8</v>
      </c>
      <c r="B26" s="12"/>
      <c r="C26" s="12" t="s">
        <v>97</v>
      </c>
      <c r="D26" s="182">
        <v>387</v>
      </c>
      <c r="F26" s="191">
        <f>'Plant &amp; Book Depr Form 2.0'!E26</f>
        <v>213381</v>
      </c>
      <c r="H26" s="187">
        <f>3.19%/12</f>
        <v>2.6583333333333333E-3</v>
      </c>
      <c r="J26" s="188">
        <f>F26*H26</f>
        <v>567.23782500000004</v>
      </c>
      <c r="L26" s="189">
        <f>'Cap Ex 2021 Form 2.13'!D24</f>
        <v>0</v>
      </c>
      <c r="N26" s="188">
        <f>H26*L26*0.5</f>
        <v>0</v>
      </c>
      <c r="P26" s="188">
        <f>J26+N26</f>
        <v>567.23782500000004</v>
      </c>
      <c r="R26" s="188">
        <f>L26+F26</f>
        <v>213381</v>
      </c>
    </row>
    <row r="27" spans="1:18">
      <c r="A27" s="182">
        <f>A26+1</f>
        <v>9</v>
      </c>
      <c r="B27" s="12"/>
      <c r="C27" s="12" t="s">
        <v>21</v>
      </c>
      <c r="F27" s="192">
        <f>SUM(F19:F26)</f>
        <v>156028034.97692308</v>
      </c>
      <c r="J27" s="192">
        <f>SUM(J19:J26)</f>
        <v>310633.11645066034</v>
      </c>
      <c r="L27" s="192">
        <f>SUM(L19:L26)</f>
        <v>1058054.22473825</v>
      </c>
      <c r="N27" s="192">
        <f>SUM(N19:N26)</f>
        <v>983.49867918963366</v>
      </c>
      <c r="P27" s="192">
        <f>SUM(P19:P26)</f>
        <v>311616.61512984993</v>
      </c>
      <c r="R27" s="192">
        <f>SUM(R19:R26)</f>
        <v>157086089.20166132</v>
      </c>
    </row>
    <row r="28" spans="1:18">
      <c r="B28" s="12"/>
    </row>
    <row r="29" spans="1:18" ht="13.15">
      <c r="B29" s="185" t="s">
        <v>12</v>
      </c>
      <c r="C29" s="185"/>
    </row>
    <row r="30" spans="1:18">
      <c r="A30" s="182">
        <f>A27+1</f>
        <v>10</v>
      </c>
      <c r="B30" s="12"/>
      <c r="C30" s="12" t="str">
        <f>C19</f>
        <v>Mains</v>
      </c>
      <c r="D30" s="182">
        <f>D19</f>
        <v>376</v>
      </c>
      <c r="F30" s="186">
        <f>+'Plant &amp; Book Depr Form 2.0'!E31</f>
        <v>-8951244.5169230774</v>
      </c>
      <c r="H30" s="187">
        <f>+H19</f>
        <v>1.4833333333333332E-3</v>
      </c>
      <c r="J30" s="188">
        <f>F30*H30</f>
        <v>-13277.679366769231</v>
      </c>
      <c r="L30" s="189">
        <f>'Cap Ex 2021 Form 2.13'!D27</f>
        <v>-166254</v>
      </c>
      <c r="N30" s="188">
        <f>H30*L30*0.5</f>
        <v>-123.30504999999999</v>
      </c>
      <c r="P30" s="188">
        <f>J30+N30</f>
        <v>-13400.984416769232</v>
      </c>
      <c r="R30" s="188">
        <f>L30+F30</f>
        <v>-9117498.5169230774</v>
      </c>
    </row>
    <row r="31" spans="1:18">
      <c r="A31" s="182">
        <f>A30+1</f>
        <v>11</v>
      </c>
      <c r="B31" s="12"/>
      <c r="C31" s="12" t="str">
        <f t="shared" ref="C31:D37" si="5">C20</f>
        <v>Mains - In-Line Inspections</v>
      </c>
      <c r="D31" s="182">
        <f t="shared" si="5"/>
        <v>376</v>
      </c>
      <c r="F31" s="186">
        <f>+'Plant &amp; Book Depr Form 2.0'!E32</f>
        <v>0</v>
      </c>
      <c r="H31" s="187">
        <f>+H30</f>
        <v>1.4833333333333332E-3</v>
      </c>
      <c r="J31" s="188">
        <f>F31*H31</f>
        <v>0</v>
      </c>
      <c r="L31" s="189">
        <f>'Cap Ex 2021 Form 2.13'!D28</f>
        <v>0</v>
      </c>
      <c r="N31" s="188">
        <f>H31*L31*0.5</f>
        <v>0</v>
      </c>
      <c r="P31" s="188">
        <f>J31+N31</f>
        <v>0</v>
      </c>
      <c r="R31" s="188">
        <f>L31+F31</f>
        <v>0</v>
      </c>
    </row>
    <row r="32" spans="1:18">
      <c r="A32" s="182">
        <f>A31+1</f>
        <v>12</v>
      </c>
      <c r="B32" s="12"/>
      <c r="C32" s="12" t="str">
        <f t="shared" si="5"/>
        <v>Plant Regulators</v>
      </c>
      <c r="D32" s="182">
        <f t="shared" si="5"/>
        <v>378</v>
      </c>
      <c r="F32" s="186">
        <f>+'Plant &amp; Book Depr Form 2.0'!E33</f>
        <v>-124977.29999999999</v>
      </c>
      <c r="H32" s="187">
        <f>+H21</f>
        <v>2.0916666666666666E-3</v>
      </c>
      <c r="J32" s="188">
        <f t="shared" ref="J32:J36" si="6">F32*H32</f>
        <v>-261.41085249999998</v>
      </c>
      <c r="L32" s="189">
        <f>'Cap Ex 2021 Form 2.13'!D29</f>
        <v>-4812</v>
      </c>
      <c r="N32" s="188">
        <f t="shared" ref="N32:N36" si="7">H32*L32*0.5</f>
        <v>-5.0325499999999996</v>
      </c>
      <c r="P32" s="188">
        <f t="shared" ref="P32:P36" si="8">J32+N32</f>
        <v>-266.44340249999999</v>
      </c>
      <c r="R32" s="188">
        <f t="shared" ref="R32:R36" si="9">L32+F32</f>
        <v>-129789.29999999999</v>
      </c>
    </row>
    <row r="33" spans="1:18">
      <c r="A33" s="182">
        <f t="shared" ref="A33:A36" si="10">A32+1</f>
        <v>13</v>
      </c>
      <c r="B33" s="12"/>
      <c r="C33" s="12" t="str">
        <f t="shared" si="5"/>
        <v>Plant Regulators - LP Program</v>
      </c>
      <c r="D33" s="182">
        <f t="shared" si="5"/>
        <v>378</v>
      </c>
      <c r="F33" s="186">
        <f>+'Plant &amp; Book Depr Form 2.0'!E34</f>
        <v>-194723.07</v>
      </c>
      <c r="H33" s="187">
        <f t="shared" ref="H33:H37" si="11">+H22</f>
        <v>2.0916666666666666E-3</v>
      </c>
      <c r="J33" s="188">
        <f t="shared" si="6"/>
        <v>-407.29575475000001</v>
      </c>
      <c r="L33" s="189">
        <f>'Cap Ex 2021 Form 2.13'!D30</f>
        <v>0</v>
      </c>
      <c r="N33" s="188">
        <f t="shared" si="7"/>
        <v>0</v>
      </c>
      <c r="P33" s="188">
        <f t="shared" si="8"/>
        <v>-407.29575475000001</v>
      </c>
      <c r="R33" s="188">
        <f t="shared" si="9"/>
        <v>-194723.07</v>
      </c>
    </row>
    <row r="34" spans="1:18">
      <c r="A34" s="182">
        <f t="shared" si="10"/>
        <v>14</v>
      </c>
      <c r="B34" s="12"/>
      <c r="C34" s="12" t="str">
        <f t="shared" si="5"/>
        <v>Service Lines</v>
      </c>
      <c r="D34" s="182">
        <f t="shared" si="5"/>
        <v>380</v>
      </c>
      <c r="F34" s="186">
        <f>+'Plant &amp; Book Depr Form 2.0'!E35</f>
        <v>-8670361.7938461546</v>
      </c>
      <c r="H34" s="187">
        <f t="shared" si="11"/>
        <v>3.316666666666667E-3</v>
      </c>
      <c r="J34" s="188">
        <f t="shared" si="6"/>
        <v>-28756.699949589747</v>
      </c>
      <c r="L34" s="189">
        <f>'Cap Ex 2021 Form 2.13'!D31</f>
        <v>-52777</v>
      </c>
      <c r="N34" s="188">
        <f t="shared" si="7"/>
        <v>-87.521858333333341</v>
      </c>
      <c r="P34" s="188">
        <f t="shared" si="8"/>
        <v>-28844.221807923081</v>
      </c>
      <c r="R34" s="188">
        <f t="shared" si="9"/>
        <v>-8723138.7938461546</v>
      </c>
    </row>
    <row r="35" spans="1:18">
      <c r="A35" s="182">
        <f t="shared" si="10"/>
        <v>15</v>
      </c>
      <c r="B35" s="12"/>
      <c r="C35" s="12" t="str">
        <f t="shared" si="5"/>
        <v>Meter Installations</v>
      </c>
      <c r="D35" s="182">
        <f t="shared" si="5"/>
        <v>382</v>
      </c>
      <c r="F35" s="186">
        <f>+'Plant &amp; Book Depr Form 2.0'!E36</f>
        <v>-77823.182000000001</v>
      </c>
      <c r="H35" s="187">
        <f t="shared" si="11"/>
        <v>1.475E-3</v>
      </c>
      <c r="J35" s="188">
        <f t="shared" si="6"/>
        <v>-114.78919345</v>
      </c>
      <c r="L35" s="189">
        <f>'Cap Ex 2021 Form 2.13'!D32</f>
        <v>-285</v>
      </c>
      <c r="N35" s="188">
        <f t="shared" si="7"/>
        <v>-0.2101875</v>
      </c>
      <c r="P35" s="188">
        <f t="shared" si="8"/>
        <v>-114.99938095</v>
      </c>
      <c r="R35" s="188">
        <f t="shared" si="9"/>
        <v>-78108.182000000001</v>
      </c>
    </row>
    <row r="36" spans="1:18" s="193" customFormat="1">
      <c r="A36" s="182">
        <f t="shared" si="10"/>
        <v>16</v>
      </c>
      <c r="C36" s="12" t="str">
        <f t="shared" si="5"/>
        <v>House Regulators</v>
      </c>
      <c r="D36" s="182">
        <f t="shared" si="5"/>
        <v>383</v>
      </c>
      <c r="E36" s="194"/>
      <c r="F36" s="186">
        <f>+'Plant &amp; Book Depr Form 2.0'!E37</f>
        <v>-16618.050000000003</v>
      </c>
      <c r="G36" s="194"/>
      <c r="H36" s="187">
        <f t="shared" si="11"/>
        <v>1.6333333333333332E-3</v>
      </c>
      <c r="I36" s="194"/>
      <c r="J36" s="186">
        <f t="shared" si="6"/>
        <v>-27.142815000000002</v>
      </c>
      <c r="K36" s="194"/>
      <c r="L36" s="189">
        <f>'Cap Ex 2021 Form 2.13'!D33</f>
        <v>-373</v>
      </c>
      <c r="M36" s="194"/>
      <c r="N36" s="186">
        <f t="shared" si="7"/>
        <v>-0.30461666666666665</v>
      </c>
      <c r="O36" s="194"/>
      <c r="P36" s="186">
        <f t="shared" si="8"/>
        <v>-27.44743166666667</v>
      </c>
      <c r="Q36" s="194"/>
      <c r="R36" s="186">
        <f t="shared" si="9"/>
        <v>-16991.050000000003</v>
      </c>
    </row>
    <row r="37" spans="1:18">
      <c r="A37" s="182">
        <f>A36+1</f>
        <v>17</v>
      </c>
      <c r="B37" s="12"/>
      <c r="C37" s="12" t="str">
        <f t="shared" si="5"/>
        <v>GPS Devices</v>
      </c>
      <c r="D37" s="182">
        <f t="shared" si="5"/>
        <v>387</v>
      </c>
      <c r="F37" s="186">
        <f>+'Plant &amp; Book Depr Form 2.0'!E38</f>
        <v>0</v>
      </c>
      <c r="H37" s="187">
        <f t="shared" si="11"/>
        <v>2.6583333333333333E-3</v>
      </c>
      <c r="J37" s="188">
        <f t="shared" ref="J37" si="12">F37*H37</f>
        <v>0</v>
      </c>
      <c r="L37" s="195">
        <f>'Cap Ex 2021 Form 2.13'!D34</f>
        <v>0</v>
      </c>
      <c r="N37" s="188">
        <f t="shared" ref="N37" si="13">H37*L37*0.5</f>
        <v>0</v>
      </c>
      <c r="P37" s="188">
        <f t="shared" ref="P37" si="14">J37+N37</f>
        <v>0</v>
      </c>
      <c r="R37" s="188">
        <f t="shared" ref="R37" si="15">L37+F37</f>
        <v>0</v>
      </c>
    </row>
    <row r="38" spans="1:18">
      <c r="A38" s="182">
        <f>A37+1</f>
        <v>18</v>
      </c>
      <c r="B38" s="12"/>
      <c r="C38" s="12" t="s">
        <v>22</v>
      </c>
      <c r="F38" s="192">
        <f>SUM(F30:F37)</f>
        <v>-18035747.912769236</v>
      </c>
      <c r="J38" s="192">
        <f>SUM(J30:J37)</f>
        <v>-42845.017932058974</v>
      </c>
      <c r="L38" s="192">
        <f>SUM(L30:L37)</f>
        <v>-224501</v>
      </c>
      <c r="N38" s="192">
        <f>SUM(N30:N37)</f>
        <v>-216.37426249999999</v>
      </c>
      <c r="P38" s="192">
        <f>SUM(P30:P37)</f>
        <v>-43061.392194558975</v>
      </c>
      <c r="R38" s="192">
        <f>SUM(R30:R37)</f>
        <v>-18260248.912769236</v>
      </c>
    </row>
    <row r="39" spans="1:18">
      <c r="B39" s="12"/>
    </row>
    <row r="40" spans="1:18" s="199" customFormat="1" ht="13.5" thickBot="1">
      <c r="A40" s="196">
        <f>A38+1</f>
        <v>19</v>
      </c>
      <c r="B40" s="197" t="s">
        <v>18</v>
      </c>
      <c r="C40" s="197"/>
      <c r="D40" s="196"/>
      <c r="E40" s="196"/>
      <c r="F40" s="198">
        <f>F27+F38</f>
        <v>137992287.06415385</v>
      </c>
      <c r="G40" s="196"/>
      <c r="I40" s="196"/>
      <c r="J40" s="198">
        <f>J27+J38</f>
        <v>267788.09851860139</v>
      </c>
      <c r="K40" s="196"/>
      <c r="L40" s="198">
        <f>L27+L38</f>
        <v>833553.22473825002</v>
      </c>
      <c r="M40" s="196"/>
      <c r="N40" s="198">
        <f>N27+N38</f>
        <v>767.12441668963368</v>
      </c>
      <c r="O40" s="196"/>
      <c r="P40" s="198">
        <f>P27+P38</f>
        <v>268555.22293529095</v>
      </c>
      <c r="Q40" s="196"/>
      <c r="R40" s="198">
        <f>R27+R38</f>
        <v>138825840.28889209</v>
      </c>
    </row>
    <row r="41" spans="1:18" ht="13.15" thickTop="1">
      <c r="B41" s="12"/>
    </row>
    <row r="42" spans="1:18" ht="13.15">
      <c r="B42" s="200" t="s">
        <v>19</v>
      </c>
      <c r="C42" s="200"/>
    </row>
    <row r="43" spans="1:18">
      <c r="A43" s="182">
        <f>A40+1</f>
        <v>20</v>
      </c>
      <c r="B43" s="12"/>
      <c r="C43" s="12" t="str">
        <f>C30</f>
        <v>Mains</v>
      </c>
      <c r="D43" s="182">
        <f>D30</f>
        <v>376</v>
      </c>
      <c r="F43" s="186">
        <f>+'Plant &amp; Book Depr Form 2.0'!E44</f>
        <v>1264673.08517944</v>
      </c>
      <c r="J43" s="188"/>
      <c r="L43" s="189">
        <f>'Cap Ex 2021 Form 2.13'!D39</f>
        <v>19694.491746386</v>
      </c>
      <c r="N43" s="188"/>
      <c r="P43" s="188"/>
      <c r="R43" s="188">
        <f>L43+F43</f>
        <v>1284367.576925826</v>
      </c>
    </row>
    <row r="44" spans="1:18">
      <c r="A44" s="182">
        <f>A43+1</f>
        <v>21</v>
      </c>
      <c r="B44" s="12"/>
      <c r="C44" s="12" t="str">
        <f t="shared" ref="C44:D50" si="16">C31</f>
        <v>Mains - In-Line Inspections</v>
      </c>
      <c r="D44" s="182">
        <f t="shared" si="16"/>
        <v>376</v>
      </c>
      <c r="F44" s="186">
        <f>+'Plant &amp; Book Depr Form 2.0'!E45</f>
        <v>0</v>
      </c>
      <c r="J44" s="188"/>
      <c r="L44" s="189">
        <f>'Cap Ex 2021 Form 2.13'!D40</f>
        <v>0</v>
      </c>
      <c r="N44" s="188"/>
      <c r="P44" s="188"/>
      <c r="R44" s="188">
        <f>L44+F44</f>
        <v>0</v>
      </c>
    </row>
    <row r="45" spans="1:18">
      <c r="A45" s="182">
        <f>A44+1</f>
        <v>22</v>
      </c>
      <c r="B45" s="12"/>
      <c r="C45" s="12" t="str">
        <f t="shared" si="16"/>
        <v>Plant Regulators</v>
      </c>
      <c r="D45" s="182">
        <f t="shared" si="16"/>
        <v>378</v>
      </c>
      <c r="F45" s="186">
        <f>+'Plant &amp; Book Depr Form 2.0'!E46</f>
        <v>10825.007477200001</v>
      </c>
      <c r="J45" s="188"/>
      <c r="L45" s="189">
        <f>'Cap Ex 2021 Form 2.13'!D41</f>
        <v>228.62189908799999</v>
      </c>
      <c r="N45" s="188"/>
      <c r="P45" s="188"/>
      <c r="R45" s="188">
        <f>L45+F45</f>
        <v>11053.629376288001</v>
      </c>
    </row>
    <row r="46" spans="1:18">
      <c r="A46" s="182">
        <f t="shared" ref="A46:A49" si="17">A45+1</f>
        <v>23</v>
      </c>
      <c r="B46" s="12"/>
      <c r="C46" s="12" t="str">
        <f t="shared" si="16"/>
        <v>Plant Regulators - LP Program</v>
      </c>
      <c r="D46" s="182">
        <f t="shared" si="16"/>
        <v>378</v>
      </c>
      <c r="F46" s="186">
        <f>+'Plant &amp; Book Depr Form 2.0'!E47</f>
        <v>10279.780000000001</v>
      </c>
      <c r="J46" s="188"/>
      <c r="L46" s="189">
        <f>'Cap Ex 2021 Form 2.13'!D42</f>
        <v>0</v>
      </c>
      <c r="N46" s="188"/>
      <c r="P46" s="188"/>
      <c r="R46" s="188">
        <f t="shared" ref="R46:R49" si="18">L46+F46</f>
        <v>10279.780000000001</v>
      </c>
    </row>
    <row r="47" spans="1:18">
      <c r="A47" s="182">
        <f t="shared" si="17"/>
        <v>24</v>
      </c>
      <c r="B47" s="12"/>
      <c r="C47" s="12" t="str">
        <f t="shared" si="16"/>
        <v>Service Lines</v>
      </c>
      <c r="D47" s="182">
        <f t="shared" si="16"/>
        <v>380</v>
      </c>
      <c r="F47" s="186">
        <f>+'Plant &amp; Book Depr Form 2.0'!E48</f>
        <v>6073861.670123118</v>
      </c>
      <c r="J47" s="188"/>
      <c r="L47" s="189">
        <f>'Cap Ex 2021 Form 2.13'!D43</f>
        <v>44908.753166363596</v>
      </c>
      <c r="N47" s="188"/>
      <c r="P47" s="188"/>
      <c r="R47" s="188">
        <f t="shared" si="18"/>
        <v>6118770.4232894816</v>
      </c>
    </row>
    <row r="48" spans="1:18">
      <c r="A48" s="182">
        <f t="shared" si="17"/>
        <v>25</v>
      </c>
      <c r="B48" s="12"/>
      <c r="C48" s="12" t="str">
        <f t="shared" si="16"/>
        <v>Meter Installations</v>
      </c>
      <c r="D48" s="182">
        <f t="shared" si="16"/>
        <v>382</v>
      </c>
      <c r="F48" s="186">
        <f>+'Plant &amp; Book Depr Form 2.0'!E49</f>
        <v>635.78700842681928</v>
      </c>
      <c r="J48" s="188"/>
      <c r="L48" s="189">
        <f>'Cap Ex 2021 Form 2.13'!D44</f>
        <v>25.431692974375277</v>
      </c>
      <c r="N48" s="188"/>
      <c r="P48" s="188"/>
      <c r="R48" s="188">
        <f t="shared" si="18"/>
        <v>661.21870140119461</v>
      </c>
    </row>
    <row r="49" spans="1:18" s="193" customFormat="1">
      <c r="A49" s="182">
        <f t="shared" si="17"/>
        <v>26</v>
      </c>
      <c r="C49" s="12" t="str">
        <f t="shared" si="16"/>
        <v>House Regulators</v>
      </c>
      <c r="D49" s="182">
        <f t="shared" si="16"/>
        <v>383</v>
      </c>
      <c r="E49" s="194"/>
      <c r="F49" s="186">
        <f>+'Plant &amp; Book Depr Form 2.0'!E50</f>
        <v>65.232293883720004</v>
      </c>
      <c r="G49" s="194"/>
      <c r="I49" s="194"/>
      <c r="J49" s="186"/>
      <c r="K49" s="194"/>
      <c r="L49" s="189">
        <f>'Cap Ex 2021 Form 2.13'!D45</f>
        <v>2.8025016313935502</v>
      </c>
      <c r="M49" s="194"/>
      <c r="N49" s="186"/>
      <c r="O49" s="194"/>
      <c r="P49" s="186"/>
      <c r="Q49" s="194"/>
      <c r="R49" s="188">
        <f t="shared" si="18"/>
        <v>68.034795515113558</v>
      </c>
    </row>
    <row r="50" spans="1:18">
      <c r="A50" s="182">
        <f t="shared" ref="A50" si="19">A49+1</f>
        <v>27</v>
      </c>
      <c r="B50" s="12"/>
      <c r="C50" s="12" t="str">
        <f t="shared" si="16"/>
        <v>GPS Devices</v>
      </c>
      <c r="D50" s="182">
        <f t="shared" si="16"/>
        <v>387</v>
      </c>
      <c r="F50" s="186">
        <f>+'Plant &amp; Book Depr Form 2.0'!E51</f>
        <v>0</v>
      </c>
      <c r="J50" s="188"/>
      <c r="L50" s="189">
        <f>'Cap Ex 2021 Form 2.13'!D46</f>
        <v>0</v>
      </c>
      <c r="N50" s="188"/>
      <c r="P50" s="188"/>
      <c r="R50" s="188">
        <f>L50+F50</f>
        <v>0</v>
      </c>
    </row>
    <row r="51" spans="1:18">
      <c r="A51" s="182">
        <f>A50+1</f>
        <v>28</v>
      </c>
      <c r="B51" s="12"/>
      <c r="C51" s="12" t="s">
        <v>23</v>
      </c>
      <c r="F51" s="192">
        <f>SUM(F43:F50)</f>
        <v>7360340.5620820681</v>
      </c>
      <c r="J51" s="192">
        <f>SUM(J43:J50)</f>
        <v>0</v>
      </c>
      <c r="L51" s="192">
        <f>SUM(L43:L50)</f>
        <v>64860.101006443358</v>
      </c>
      <c r="N51" s="192">
        <f>SUM(N43:N50)</f>
        <v>0</v>
      </c>
      <c r="P51" s="192">
        <f>SUM(P43:P50)</f>
        <v>0</v>
      </c>
      <c r="R51" s="192">
        <f>SUM(R43:R50)</f>
        <v>7425200.6630885117</v>
      </c>
    </row>
    <row r="53" spans="1:18">
      <c r="A53" s="182">
        <v>29</v>
      </c>
      <c r="C53" s="12" t="s">
        <v>276</v>
      </c>
      <c r="J53" s="219">
        <f>+J19+J20+J23+J31+J34+J30</f>
        <v>257597.75348105127</v>
      </c>
      <c r="N53" s="219">
        <f>+N19+N20+N23+N31+N34+N30</f>
        <v>745.23541745539933</v>
      </c>
      <c r="P53" s="219">
        <f>+J53+N53</f>
        <v>258342.98889850668</v>
      </c>
    </row>
    <row r="54" spans="1:18">
      <c r="A54" s="182">
        <v>30</v>
      </c>
      <c r="C54" s="12" t="s">
        <v>277</v>
      </c>
      <c r="J54" s="219">
        <f>+J40-J53</f>
        <v>10190.345037550112</v>
      </c>
      <c r="N54" s="219">
        <f>+N40-N53</f>
        <v>21.888999234234348</v>
      </c>
      <c r="P54" s="219">
        <f>+P40-P53</f>
        <v>10212.23403678427</v>
      </c>
    </row>
  </sheetData>
  <pageMargins left="0.7" right="0.7" top="0.75" bottom="0.75" header="0.3" footer="0.3"/>
  <pageSetup scale="7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6">
    <tabColor rgb="FF00B050"/>
    <pageSetUpPr fitToPage="1"/>
  </sheetPr>
  <dimension ref="A1:R54"/>
  <sheetViews>
    <sheetView zoomScaleNormal="100" workbookViewId="0">
      <selection activeCell="F36" sqref="F36"/>
    </sheetView>
  </sheetViews>
  <sheetFormatPr defaultColWidth="9.3984375" defaultRowHeight="12.75"/>
  <cols>
    <col min="1" max="1" width="5.3984375" style="182" customWidth="1"/>
    <col min="2" max="2" width="2.59765625" style="182" customWidth="1"/>
    <col min="3" max="3" width="28.1328125" style="12" bestFit="1" customWidth="1"/>
    <col min="4" max="4" width="9.3984375" style="182"/>
    <col min="5" max="5" width="1.3984375" style="182" customWidth="1"/>
    <col min="6" max="6" width="15.59765625" style="12" customWidth="1"/>
    <col min="7" max="7" width="1.3984375" style="182" customWidth="1"/>
    <col min="8" max="8" width="9.59765625" style="12" customWidth="1"/>
    <col min="9" max="9" width="1.3984375" style="182" customWidth="1"/>
    <col min="10" max="10" width="12.59765625" style="12" bestFit="1" customWidth="1"/>
    <col min="11" max="11" width="1.3984375" style="182" customWidth="1"/>
    <col min="12" max="12" width="14.59765625" style="12" bestFit="1" customWidth="1"/>
    <col min="13" max="13" width="1.3984375" style="182" customWidth="1"/>
    <col min="14" max="14" width="16.59765625" style="12" customWidth="1"/>
    <col min="15" max="15" width="1.3984375" style="182" customWidth="1"/>
    <col min="16" max="16" width="16" style="12" bestFit="1" customWidth="1"/>
    <col min="17" max="17" width="1.3984375" style="182" customWidth="1"/>
    <col min="18" max="18" width="15.59765625" style="12" customWidth="1"/>
    <col min="19" max="16384" width="9.3984375" style="12"/>
  </cols>
  <sheetData>
    <row r="1" spans="1:18" ht="13.15">
      <c r="R1" s="220" t="s">
        <v>278</v>
      </c>
    </row>
    <row r="2" spans="1:18" ht="13.15">
      <c r="R2" s="220" t="s">
        <v>279</v>
      </c>
    </row>
    <row r="3" spans="1:18" ht="13.15">
      <c r="R3" s="220" t="s">
        <v>280</v>
      </c>
    </row>
    <row r="4" spans="1:18" ht="13.15">
      <c r="R4" s="220" t="s">
        <v>295</v>
      </c>
    </row>
    <row r="5" spans="1:18" ht="13.15">
      <c r="R5" s="220"/>
    </row>
    <row r="6" spans="1:18" ht="13.15">
      <c r="R6" s="65" t="s">
        <v>239</v>
      </c>
    </row>
    <row r="7" spans="1:18" ht="13.15">
      <c r="A7" s="176" t="str">
        <f>'202201 Bk Depr Form 2.1'!A7</f>
        <v>COLUMBIA GAS OF KENTUCKY, INC.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</row>
    <row r="8" spans="1:18" s="13" customFormat="1" ht="13.15">
      <c r="A8" s="177" t="str">
        <f>'202201 Bk Depr Form 2.1'!A8</f>
        <v>ANNUAL ADJUSTMENT TO THE SAFETY MODIFICATION AND REPLACEMENT PROGRAM ("SMRP")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</row>
    <row r="9" spans="1:18" ht="13.15">
      <c r="A9" s="176" t="s">
        <v>254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</row>
    <row r="10" spans="1:18" ht="13.15">
      <c r="A10" s="179"/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</row>
    <row r="11" spans="1:18" ht="13.15">
      <c r="A11" s="180"/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</row>
    <row r="12" spans="1:18" ht="13.15">
      <c r="C12" s="181"/>
      <c r="D12" s="181"/>
      <c r="E12" s="181"/>
      <c r="F12" s="181" t="s">
        <v>62</v>
      </c>
      <c r="G12" s="181"/>
      <c r="H12" s="181"/>
      <c r="I12" s="181"/>
      <c r="J12" s="181" t="s">
        <v>62</v>
      </c>
      <c r="K12" s="181"/>
      <c r="L12" s="181" t="s">
        <v>62</v>
      </c>
      <c r="M12" s="181"/>
      <c r="N12" s="181"/>
      <c r="O12" s="181"/>
      <c r="P12" s="181"/>
      <c r="Q12" s="181"/>
      <c r="R12" s="181" t="s">
        <v>62</v>
      </c>
    </row>
    <row r="13" spans="1:18" ht="13.15">
      <c r="C13" s="181"/>
      <c r="D13" s="181"/>
      <c r="E13" s="181"/>
      <c r="F13" s="181" t="s">
        <v>8</v>
      </c>
      <c r="G13" s="181"/>
      <c r="H13" s="181" t="s">
        <v>73</v>
      </c>
      <c r="I13" s="181"/>
      <c r="J13" s="181" t="s">
        <v>11</v>
      </c>
      <c r="K13" s="181"/>
      <c r="L13" s="181" t="s">
        <v>20</v>
      </c>
      <c r="M13" s="181"/>
      <c r="N13" s="181" t="s">
        <v>60</v>
      </c>
      <c r="O13" s="181"/>
      <c r="P13" s="181" t="s">
        <v>60</v>
      </c>
      <c r="Q13" s="181"/>
      <c r="R13" s="181" t="s">
        <v>14</v>
      </c>
    </row>
    <row r="14" spans="1:18" ht="13.15">
      <c r="A14" s="181" t="s">
        <v>4</v>
      </c>
      <c r="B14" s="181"/>
      <c r="C14" s="181"/>
      <c r="D14" s="181" t="s">
        <v>7</v>
      </c>
      <c r="E14" s="181"/>
      <c r="F14" s="181" t="s">
        <v>1</v>
      </c>
      <c r="G14" s="181"/>
      <c r="H14" s="181" t="s">
        <v>10</v>
      </c>
      <c r="I14" s="181"/>
      <c r="J14" s="181" t="s">
        <v>8</v>
      </c>
      <c r="K14" s="181"/>
      <c r="L14" s="181" t="s">
        <v>42</v>
      </c>
      <c r="M14" s="181"/>
      <c r="N14" s="181" t="s">
        <v>11</v>
      </c>
      <c r="O14" s="181"/>
      <c r="P14" s="181" t="s">
        <v>28</v>
      </c>
      <c r="Q14" s="181"/>
      <c r="R14" s="181" t="s">
        <v>1</v>
      </c>
    </row>
    <row r="15" spans="1:18" ht="13.15">
      <c r="A15" s="183" t="s">
        <v>5</v>
      </c>
      <c r="B15" s="183"/>
      <c r="C15" s="183" t="s">
        <v>6</v>
      </c>
      <c r="D15" s="183" t="s">
        <v>5</v>
      </c>
      <c r="E15" s="183"/>
      <c r="F15" s="183" t="s">
        <v>9</v>
      </c>
      <c r="G15" s="183"/>
      <c r="H15" s="183" t="s">
        <v>2</v>
      </c>
      <c r="I15" s="183"/>
      <c r="J15" s="183" t="s">
        <v>9</v>
      </c>
      <c r="K15" s="183"/>
      <c r="L15" s="183" t="s">
        <v>12</v>
      </c>
      <c r="M15" s="183"/>
      <c r="N15" s="183" t="s">
        <v>13</v>
      </c>
      <c r="O15" s="183"/>
      <c r="P15" s="183" t="s">
        <v>0</v>
      </c>
      <c r="Q15" s="183"/>
      <c r="R15" s="183" t="s">
        <v>9</v>
      </c>
    </row>
    <row r="16" spans="1:18" s="1" customFormat="1" ht="13.15">
      <c r="A16" s="181"/>
      <c r="B16" s="181"/>
      <c r="C16" s="184">
        <v>-1</v>
      </c>
      <c r="D16" s="184">
        <v>-2</v>
      </c>
      <c r="E16" s="184"/>
      <c r="F16" s="184">
        <v>-3</v>
      </c>
      <c r="G16" s="184"/>
      <c r="H16" s="184">
        <v>-4</v>
      </c>
      <c r="I16" s="184"/>
      <c r="J16" s="184" t="s">
        <v>15</v>
      </c>
      <c r="K16" s="184"/>
      <c r="L16" s="184">
        <v>-6</v>
      </c>
      <c r="M16" s="184"/>
      <c r="N16" s="184" t="s">
        <v>16</v>
      </c>
      <c r="O16" s="184"/>
      <c r="P16" s="184" t="s">
        <v>61</v>
      </c>
      <c r="Q16" s="184"/>
      <c r="R16" s="184" t="s">
        <v>17</v>
      </c>
    </row>
    <row r="18" spans="1:18" ht="13.15">
      <c r="B18" s="185" t="s">
        <v>20</v>
      </c>
      <c r="C18" s="185"/>
    </row>
    <row r="19" spans="1:18">
      <c r="A19" s="182">
        <v>1</v>
      </c>
      <c r="B19" s="12"/>
      <c r="C19" s="12" t="s">
        <v>90</v>
      </c>
      <c r="D19" s="182">
        <v>376</v>
      </c>
      <c r="F19" s="186">
        <f>'202201 Bk Depr Form 2.1'!R19</f>
        <v>109973501.31076346</v>
      </c>
      <c r="H19" s="187">
        <f>+'202201 Bk Depr Form 2.1'!H19</f>
        <v>1.4833333333333332E-3</v>
      </c>
      <c r="J19" s="188">
        <f>F19*H19</f>
        <v>163127.36027763246</v>
      </c>
      <c r="L19" s="189">
        <f>'Cap Ex 2021 Form 2.13'!E17</f>
        <v>2004747.4487841479</v>
      </c>
      <c r="N19" s="188">
        <f>H19*L19*0.5</f>
        <v>1486.8543578482429</v>
      </c>
      <c r="P19" s="188">
        <f>J19+N19</f>
        <v>164614.21463548069</v>
      </c>
      <c r="R19" s="188">
        <f>L19+F19</f>
        <v>111978248.75954761</v>
      </c>
    </row>
    <row r="20" spans="1:18">
      <c r="A20" s="182">
        <f t="shared" ref="A20:A26" si="0">A19+1</f>
        <v>2</v>
      </c>
      <c r="B20" s="12"/>
      <c r="C20" s="12" t="s">
        <v>91</v>
      </c>
      <c r="D20" s="182">
        <v>376</v>
      </c>
      <c r="F20" s="186">
        <f>'202201 Bk Depr Form 2.1'!R20</f>
        <v>0</v>
      </c>
      <c r="H20" s="187">
        <f>+'202201 Bk Depr Form 2.1'!H20</f>
        <v>1.4833333333333332E-3</v>
      </c>
      <c r="J20" s="188">
        <f t="shared" ref="J20:J23" si="1">F20*H20</f>
        <v>0</v>
      </c>
      <c r="L20" s="189">
        <f>'Cap Ex 2021 Form 2.13'!E18</f>
        <v>0</v>
      </c>
      <c r="N20" s="188">
        <f t="shared" ref="N20:N24" si="2">H20*L20*0.5</f>
        <v>0</v>
      </c>
      <c r="P20" s="188">
        <f t="shared" ref="P20:P23" si="3">J20+N20</f>
        <v>0</v>
      </c>
      <c r="R20" s="188">
        <f t="shared" ref="R20:R23" si="4">L20+F20</f>
        <v>0</v>
      </c>
    </row>
    <row r="21" spans="1:18">
      <c r="A21" s="182">
        <f t="shared" si="0"/>
        <v>3</v>
      </c>
      <c r="B21" s="12"/>
      <c r="C21" s="12" t="s">
        <v>92</v>
      </c>
      <c r="D21" s="182">
        <v>378</v>
      </c>
      <c r="F21" s="186">
        <f>'202201 Bk Depr Form 2.1'!R21</f>
        <v>1221255.4856828901</v>
      </c>
      <c r="H21" s="187">
        <f>+'202201 Bk Depr Form 2.1'!H21</f>
        <v>2.0916666666666666E-3</v>
      </c>
      <c r="J21" s="188">
        <f t="shared" si="1"/>
        <v>2554.4593908867114</v>
      </c>
      <c r="L21" s="189">
        <f>'Cap Ex 2021 Form 2.13'!E19</f>
        <v>58026.295600990394</v>
      </c>
      <c r="N21" s="188">
        <f t="shared" si="2"/>
        <v>60.685834149369121</v>
      </c>
      <c r="P21" s="188">
        <f t="shared" si="3"/>
        <v>2615.1452250360803</v>
      </c>
      <c r="R21" s="188">
        <f t="shared" si="4"/>
        <v>1279281.7812838804</v>
      </c>
    </row>
    <row r="22" spans="1:18">
      <c r="A22" s="182">
        <f t="shared" si="0"/>
        <v>4</v>
      </c>
      <c r="B22" s="12"/>
      <c r="C22" s="12" t="s">
        <v>93</v>
      </c>
      <c r="D22" s="182">
        <v>378</v>
      </c>
      <c r="F22" s="186">
        <f>'202201 Bk Depr Form 2.1'!R22</f>
        <v>3348545.4100000006</v>
      </c>
      <c r="H22" s="187">
        <f>+'202201 Bk Depr Form 2.1'!H22</f>
        <v>2.0916666666666666E-3</v>
      </c>
      <c r="J22" s="188">
        <f t="shared" si="1"/>
        <v>7004.0408159166673</v>
      </c>
      <c r="L22" s="189">
        <f>'Cap Ex 2021 Form 2.13'!E20</f>
        <v>0</v>
      </c>
      <c r="N22" s="188">
        <f t="shared" si="2"/>
        <v>0</v>
      </c>
      <c r="P22" s="188">
        <f t="shared" si="3"/>
        <v>7004.0408159166673</v>
      </c>
      <c r="R22" s="188">
        <f t="shared" si="4"/>
        <v>3348545.4100000006</v>
      </c>
    </row>
    <row r="23" spans="1:18">
      <c r="A23" s="182">
        <f t="shared" si="0"/>
        <v>5</v>
      </c>
      <c r="B23" s="12"/>
      <c r="C23" s="12" t="s">
        <v>94</v>
      </c>
      <c r="D23" s="182">
        <v>380</v>
      </c>
      <c r="F23" s="186">
        <f>'202201 Bk Depr Form 2.1'!R23</f>
        <v>41733737.840609632</v>
      </c>
      <c r="H23" s="187">
        <f>+'202201 Bk Depr Form 2.1'!H23</f>
        <v>3.316666666666667E-3</v>
      </c>
      <c r="J23" s="188">
        <f t="shared" si="1"/>
        <v>138416.89717135529</v>
      </c>
      <c r="L23" s="189">
        <f>'Cap Ex 2021 Form 2.13'!E21</f>
        <v>509124.45710248448</v>
      </c>
      <c r="N23" s="188">
        <f t="shared" si="2"/>
        <v>844.29805802828685</v>
      </c>
      <c r="P23" s="188">
        <f t="shared" si="3"/>
        <v>139261.19522938356</v>
      </c>
      <c r="R23" s="188">
        <f t="shared" si="4"/>
        <v>42242862.297712117</v>
      </c>
    </row>
    <row r="24" spans="1:18">
      <c r="A24" s="182">
        <f t="shared" si="0"/>
        <v>6</v>
      </c>
      <c r="B24" s="12"/>
      <c r="C24" s="12" t="s">
        <v>95</v>
      </c>
      <c r="D24" s="182">
        <v>382</v>
      </c>
      <c r="F24" s="186">
        <f>'202201 Bk Depr Form 2.1'!R24</f>
        <v>270355.7322546083</v>
      </c>
      <c r="H24" s="187">
        <f>+'202201 Bk Depr Form 2.1'!H24</f>
        <v>1.475E-3</v>
      </c>
      <c r="J24" s="188">
        <f>F24*H24</f>
        <v>398.77470507554722</v>
      </c>
      <c r="L24" s="189">
        <f>'Cap Ex 2021 Form 2.13'!E22</f>
        <v>3437.4996724476755</v>
      </c>
      <c r="N24" s="188">
        <f t="shared" si="2"/>
        <v>2.5351560084301608</v>
      </c>
      <c r="P24" s="188">
        <f>J24+N24</f>
        <v>401.30986108397735</v>
      </c>
      <c r="R24" s="188">
        <f>L24+F24</f>
        <v>273793.23192705598</v>
      </c>
    </row>
    <row r="25" spans="1:18">
      <c r="A25" s="182">
        <f t="shared" si="0"/>
        <v>7</v>
      </c>
      <c r="B25" s="12"/>
      <c r="C25" s="190" t="s">
        <v>96</v>
      </c>
      <c r="D25" s="182">
        <v>383</v>
      </c>
      <c r="F25" s="186">
        <f>'202201 Bk Depr Form 2.1'!R25</f>
        <v>325312.4223507414</v>
      </c>
      <c r="H25" s="187">
        <f>+'202201 Bk Depr Form 2.1'!H25</f>
        <v>1.6333333333333332E-3</v>
      </c>
      <c r="J25" s="188">
        <f>F25*H25</f>
        <v>531.34362317287753</v>
      </c>
      <c r="L25" s="189">
        <f>'Cap Ex 2021 Form 2.13'!E23</f>
        <v>4502.0307494449107</v>
      </c>
      <c r="N25" s="188">
        <f>H25*L25*0.5</f>
        <v>3.67665844538001</v>
      </c>
      <c r="P25" s="188">
        <f>J25+N25</f>
        <v>535.02028161825751</v>
      </c>
      <c r="R25" s="188">
        <f>L25+F25</f>
        <v>329814.45310018631</v>
      </c>
    </row>
    <row r="26" spans="1:18">
      <c r="A26" s="182">
        <f t="shared" si="0"/>
        <v>8</v>
      </c>
      <c r="B26" s="12"/>
      <c r="C26" s="12" t="s">
        <v>97</v>
      </c>
      <c r="D26" s="182">
        <v>387</v>
      </c>
      <c r="F26" s="191">
        <f>'202201 Bk Depr Form 2.1'!R26</f>
        <v>213381</v>
      </c>
      <c r="H26" s="187">
        <f>+'202201 Bk Depr Form 2.1'!H26</f>
        <v>2.6583333333333333E-3</v>
      </c>
      <c r="J26" s="188">
        <f>F26*H26</f>
        <v>567.23782500000004</v>
      </c>
      <c r="L26" s="189">
        <f>'Cap Ex 2021 Form 2.13'!E24</f>
        <v>0</v>
      </c>
      <c r="N26" s="188">
        <f>H26*L26*0.5</f>
        <v>0</v>
      </c>
      <c r="P26" s="188">
        <f>J26+N26</f>
        <v>567.23782500000004</v>
      </c>
      <c r="R26" s="188">
        <f>L26+F26</f>
        <v>213381</v>
      </c>
    </row>
    <row r="27" spans="1:18">
      <c r="A27" s="182">
        <f>A26+1</f>
        <v>9</v>
      </c>
      <c r="B27" s="12"/>
      <c r="C27" s="12" t="s">
        <v>21</v>
      </c>
      <c r="F27" s="192">
        <f>SUM(F19:F26)</f>
        <v>157086089.20166132</v>
      </c>
      <c r="J27" s="192">
        <f>SUM(J19:J26)</f>
        <v>312600.11380903958</v>
      </c>
      <c r="L27" s="192">
        <f>SUM(L19:L26)</f>
        <v>2579837.7319095153</v>
      </c>
      <c r="N27" s="192">
        <f>SUM(N19:N26)</f>
        <v>2398.0500644797089</v>
      </c>
      <c r="P27" s="192">
        <f>SUM(P19:P26)</f>
        <v>314998.16387351928</v>
      </c>
      <c r="R27" s="192">
        <f>SUM(R19:R26)</f>
        <v>159665926.93357086</v>
      </c>
    </row>
    <row r="28" spans="1:18">
      <c r="B28" s="12"/>
    </row>
    <row r="29" spans="1:18" ht="13.15">
      <c r="B29" s="185" t="s">
        <v>12</v>
      </c>
      <c r="C29" s="185"/>
    </row>
    <row r="30" spans="1:18">
      <c r="A30" s="182">
        <f>A27+1</f>
        <v>10</v>
      </c>
      <c r="B30" s="12"/>
      <c r="C30" s="12" t="str">
        <f>C19</f>
        <v>Mains</v>
      </c>
      <c r="D30" s="182">
        <f>D19</f>
        <v>376</v>
      </c>
      <c r="F30" s="186">
        <f>'202201 Bk Depr Form 2.1'!R30</f>
        <v>-9117498.5169230774</v>
      </c>
      <c r="H30" s="187">
        <f>+'202201 Bk Depr Form 2.1'!H30</f>
        <v>1.4833333333333332E-3</v>
      </c>
      <c r="J30" s="188">
        <f>F30*H30</f>
        <v>-13524.289466769231</v>
      </c>
      <c r="L30" s="189">
        <f>'Cap Ex 2021 Form 2.13'!E27</f>
        <v>-228600</v>
      </c>
      <c r="N30" s="188">
        <f>H30*L30*0.5</f>
        <v>-169.54499999999999</v>
      </c>
      <c r="P30" s="188">
        <f>J30+N30</f>
        <v>-13693.834466769231</v>
      </c>
      <c r="R30" s="188">
        <f>L30+F30</f>
        <v>-9346098.5169230774</v>
      </c>
    </row>
    <row r="31" spans="1:18">
      <c r="A31" s="182">
        <f>A30+1</f>
        <v>11</v>
      </c>
      <c r="B31" s="12"/>
      <c r="C31" s="12" t="str">
        <f t="shared" ref="C31:D37" si="5">C20</f>
        <v>Mains - In-Line Inspections</v>
      </c>
      <c r="D31" s="182">
        <f t="shared" si="5"/>
        <v>376</v>
      </c>
      <c r="F31" s="186">
        <f>'202201 Bk Depr Form 2.1'!R31</f>
        <v>0</v>
      </c>
      <c r="H31" s="187">
        <f>+'202201 Bk Depr Form 2.1'!H31</f>
        <v>1.4833333333333332E-3</v>
      </c>
      <c r="J31" s="188">
        <f>F31*H31</f>
        <v>0</v>
      </c>
      <c r="L31" s="189">
        <f>'Cap Ex 2021 Form 2.13'!E28</f>
        <v>0</v>
      </c>
      <c r="N31" s="188">
        <f>H31*L31*0.5</f>
        <v>0</v>
      </c>
      <c r="P31" s="188">
        <f>J31+N31</f>
        <v>0</v>
      </c>
      <c r="R31" s="188">
        <f>L31+F31</f>
        <v>0</v>
      </c>
    </row>
    <row r="32" spans="1:18">
      <c r="A32" s="182">
        <f>A31+1</f>
        <v>12</v>
      </c>
      <c r="B32" s="12"/>
      <c r="C32" s="12" t="str">
        <f t="shared" si="5"/>
        <v>Plant Regulators</v>
      </c>
      <c r="D32" s="182">
        <f t="shared" si="5"/>
        <v>378</v>
      </c>
      <c r="F32" s="186">
        <f>'202201 Bk Depr Form 2.1'!R32</f>
        <v>-129789.29999999999</v>
      </c>
      <c r="H32" s="187">
        <f>+'202201 Bk Depr Form 2.1'!H32</f>
        <v>2.0916666666666666E-3</v>
      </c>
      <c r="J32" s="188">
        <f t="shared" ref="J32:J37" si="6">F32*H32</f>
        <v>-271.47595249999995</v>
      </c>
      <c r="L32" s="189">
        <f>'Cap Ex 2021 Form 2.13'!E29</f>
        <v>-4812</v>
      </c>
      <c r="N32" s="188">
        <f t="shared" ref="N32:N37" si="7">H32*L32*0.5</f>
        <v>-5.0325499999999996</v>
      </c>
      <c r="P32" s="188">
        <f t="shared" ref="P32:P37" si="8">J32+N32</f>
        <v>-276.50850249999996</v>
      </c>
      <c r="R32" s="188">
        <f t="shared" ref="R32:R37" si="9">L32+F32</f>
        <v>-134601.29999999999</v>
      </c>
    </row>
    <row r="33" spans="1:18">
      <c r="A33" s="182">
        <f t="shared" ref="A33:A36" si="10">A32+1</f>
        <v>13</v>
      </c>
      <c r="B33" s="12"/>
      <c r="C33" s="12" t="str">
        <f t="shared" si="5"/>
        <v>Plant Regulators - LP Program</v>
      </c>
      <c r="D33" s="182">
        <f t="shared" si="5"/>
        <v>378</v>
      </c>
      <c r="F33" s="186">
        <f>'202201 Bk Depr Form 2.1'!R33</f>
        <v>-194723.07</v>
      </c>
      <c r="H33" s="187">
        <f>+'202201 Bk Depr Form 2.1'!H33</f>
        <v>2.0916666666666666E-3</v>
      </c>
      <c r="J33" s="188">
        <f t="shared" si="6"/>
        <v>-407.29575475000001</v>
      </c>
      <c r="L33" s="189">
        <f>'Cap Ex 2021 Form 2.13'!E30</f>
        <v>0</v>
      </c>
      <c r="N33" s="188">
        <f t="shared" si="7"/>
        <v>0</v>
      </c>
      <c r="P33" s="188">
        <f t="shared" si="8"/>
        <v>-407.29575475000001</v>
      </c>
      <c r="R33" s="188">
        <f t="shared" si="9"/>
        <v>-194723.07</v>
      </c>
    </row>
    <row r="34" spans="1:18">
      <c r="A34" s="182">
        <f t="shared" si="10"/>
        <v>14</v>
      </c>
      <c r="B34" s="12"/>
      <c r="C34" s="12" t="str">
        <f t="shared" si="5"/>
        <v>Service Lines</v>
      </c>
      <c r="D34" s="182">
        <f t="shared" si="5"/>
        <v>380</v>
      </c>
      <c r="F34" s="186">
        <f>'202201 Bk Depr Form 2.1'!R34</f>
        <v>-8723138.7938461546</v>
      </c>
      <c r="H34" s="187">
        <f>+'202201 Bk Depr Form 2.1'!H34</f>
        <v>3.316666666666667E-3</v>
      </c>
      <c r="J34" s="188">
        <f t="shared" si="6"/>
        <v>-28931.743666256414</v>
      </c>
      <c r="L34" s="189">
        <f>'Cap Ex 2021 Form 2.13'!E31</f>
        <v>-63333</v>
      </c>
      <c r="N34" s="188">
        <f t="shared" si="7"/>
        <v>-105.02722500000002</v>
      </c>
      <c r="P34" s="188">
        <f t="shared" si="8"/>
        <v>-29036.770891256416</v>
      </c>
      <c r="R34" s="188">
        <f t="shared" si="9"/>
        <v>-8786471.7938461546</v>
      </c>
    </row>
    <row r="35" spans="1:18">
      <c r="A35" s="182">
        <f t="shared" si="10"/>
        <v>15</v>
      </c>
      <c r="B35" s="12"/>
      <c r="C35" s="12" t="str">
        <f t="shared" si="5"/>
        <v>Meter Installations</v>
      </c>
      <c r="D35" s="182">
        <f t="shared" si="5"/>
        <v>382</v>
      </c>
      <c r="F35" s="186">
        <f>'202201 Bk Depr Form 2.1'!R35</f>
        <v>-78108.182000000001</v>
      </c>
      <c r="H35" s="187">
        <f>+'202201 Bk Depr Form 2.1'!H35</f>
        <v>1.475E-3</v>
      </c>
      <c r="J35" s="188">
        <f t="shared" si="6"/>
        <v>-115.20956844999999</v>
      </c>
      <c r="L35" s="189">
        <f>'Cap Ex 2021 Form 2.13'!E32</f>
        <v>-285</v>
      </c>
      <c r="N35" s="188">
        <f t="shared" si="7"/>
        <v>-0.2101875</v>
      </c>
      <c r="P35" s="188">
        <f t="shared" si="8"/>
        <v>-115.41975595</v>
      </c>
      <c r="R35" s="188">
        <f t="shared" si="9"/>
        <v>-78393.182000000001</v>
      </c>
    </row>
    <row r="36" spans="1:18" s="193" customFormat="1">
      <c r="A36" s="182">
        <f t="shared" si="10"/>
        <v>16</v>
      </c>
      <c r="C36" s="12" t="str">
        <f t="shared" si="5"/>
        <v>House Regulators</v>
      </c>
      <c r="D36" s="182">
        <f t="shared" si="5"/>
        <v>383</v>
      </c>
      <c r="E36" s="194"/>
      <c r="F36" s="186">
        <f>'202201 Bk Depr Form 2.1'!R36</f>
        <v>-16991.050000000003</v>
      </c>
      <c r="G36" s="194"/>
      <c r="H36" s="187">
        <f>+'202201 Bk Depr Form 2.1'!H36</f>
        <v>1.6333333333333332E-3</v>
      </c>
      <c r="I36" s="194"/>
      <c r="J36" s="186">
        <f t="shared" si="6"/>
        <v>-27.752048333333335</v>
      </c>
      <c r="K36" s="194"/>
      <c r="L36" s="189">
        <f>'Cap Ex 2021 Form 2.13'!E33</f>
        <v>-373</v>
      </c>
      <c r="M36" s="194"/>
      <c r="N36" s="186">
        <f t="shared" si="7"/>
        <v>-0.30461666666666665</v>
      </c>
      <c r="O36" s="194"/>
      <c r="P36" s="186">
        <f t="shared" si="8"/>
        <v>-28.056665000000002</v>
      </c>
      <c r="Q36" s="194"/>
      <c r="R36" s="186">
        <f t="shared" si="9"/>
        <v>-17364.050000000003</v>
      </c>
    </row>
    <row r="37" spans="1:18">
      <c r="A37" s="182">
        <f>A36+1</f>
        <v>17</v>
      </c>
      <c r="B37" s="12"/>
      <c r="C37" s="12" t="str">
        <f t="shared" si="5"/>
        <v>GPS Devices</v>
      </c>
      <c r="D37" s="182">
        <f t="shared" si="5"/>
        <v>387</v>
      </c>
      <c r="F37" s="191">
        <f>'202201 Bk Depr Form 2.1'!R37</f>
        <v>0</v>
      </c>
      <c r="H37" s="187">
        <f>+'202201 Bk Depr Form 2.1'!H37</f>
        <v>2.6583333333333333E-3</v>
      </c>
      <c r="J37" s="188">
        <f t="shared" si="6"/>
        <v>0</v>
      </c>
      <c r="L37" s="195">
        <f>'Cap Ex 2021 Form 2.13'!E34</f>
        <v>0</v>
      </c>
      <c r="N37" s="188">
        <f t="shared" si="7"/>
        <v>0</v>
      </c>
      <c r="P37" s="188">
        <f t="shared" si="8"/>
        <v>0</v>
      </c>
      <c r="R37" s="188">
        <f t="shared" si="9"/>
        <v>0</v>
      </c>
    </row>
    <row r="38" spans="1:18">
      <c r="A38" s="182">
        <f>A37+1</f>
        <v>18</v>
      </c>
      <c r="B38" s="12"/>
      <c r="C38" s="12" t="s">
        <v>22</v>
      </c>
      <c r="F38" s="192">
        <f>SUM(F30:F37)</f>
        <v>-18260248.912769236</v>
      </c>
      <c r="J38" s="192">
        <f>SUM(J30:J37)</f>
        <v>-43277.766457058984</v>
      </c>
      <c r="L38" s="192">
        <f>SUM(L30:L37)</f>
        <v>-297403</v>
      </c>
      <c r="N38" s="192">
        <f>SUM(N30:N37)</f>
        <v>-280.11957916666671</v>
      </c>
      <c r="P38" s="192">
        <f>SUM(P30:P37)</f>
        <v>-43557.886036225646</v>
      </c>
      <c r="R38" s="192">
        <f>SUM(R30:R37)</f>
        <v>-18557651.912769236</v>
      </c>
    </row>
    <row r="39" spans="1:18">
      <c r="B39" s="12"/>
    </row>
    <row r="40" spans="1:18" s="199" customFormat="1" ht="13.5" thickBot="1">
      <c r="A40" s="196">
        <f>A38+1</f>
        <v>19</v>
      </c>
      <c r="B40" s="197" t="s">
        <v>18</v>
      </c>
      <c r="C40" s="197"/>
      <c r="D40" s="196"/>
      <c r="E40" s="196"/>
      <c r="F40" s="198">
        <f>F27+F38</f>
        <v>138825840.28889209</v>
      </c>
      <c r="G40" s="196"/>
      <c r="I40" s="196"/>
      <c r="J40" s="198">
        <f>J27+J38</f>
        <v>269322.34735198063</v>
      </c>
      <c r="K40" s="196"/>
      <c r="L40" s="198">
        <f>L27+L38</f>
        <v>2282434.7319095153</v>
      </c>
      <c r="M40" s="196"/>
      <c r="N40" s="198">
        <f>N27+N38</f>
        <v>2117.930485313042</v>
      </c>
      <c r="O40" s="196"/>
      <c r="P40" s="198">
        <f>P27+P38</f>
        <v>271440.27783729363</v>
      </c>
      <c r="Q40" s="196"/>
      <c r="R40" s="198">
        <f>R27+R38</f>
        <v>141108275.02080163</v>
      </c>
    </row>
    <row r="41" spans="1:18" ht="13.15" thickTop="1">
      <c r="B41" s="12"/>
    </row>
    <row r="42" spans="1:18" ht="13.15">
      <c r="B42" s="200" t="s">
        <v>19</v>
      </c>
      <c r="C42" s="200"/>
    </row>
    <row r="43" spans="1:18">
      <c r="A43" s="182">
        <f>A40+1</f>
        <v>20</v>
      </c>
      <c r="B43" s="12"/>
      <c r="C43" s="12" t="str">
        <f>C30</f>
        <v>Mains</v>
      </c>
      <c r="D43" s="182">
        <f>D30</f>
        <v>376</v>
      </c>
      <c r="F43" s="186">
        <f>'202201 Bk Depr Form 2.1'!R43</f>
        <v>1284367.576925826</v>
      </c>
      <c r="J43" s="188"/>
      <c r="L43" s="189">
        <f>'Cap Ex 2021 Form 2.13'!E39</f>
        <v>24431.178565880116</v>
      </c>
      <c r="N43" s="188"/>
      <c r="P43" s="188"/>
      <c r="R43" s="188">
        <f>L43+F43</f>
        <v>1308798.7554917061</v>
      </c>
    </row>
    <row r="44" spans="1:18">
      <c r="A44" s="182">
        <f>A43+1</f>
        <v>21</v>
      </c>
      <c r="B44" s="12"/>
      <c r="C44" s="12" t="str">
        <f t="shared" ref="C44:D50" si="11">C31</f>
        <v>Mains - In-Line Inspections</v>
      </c>
      <c r="D44" s="182">
        <f t="shared" si="11"/>
        <v>376</v>
      </c>
      <c r="F44" s="186">
        <f>'202201 Bk Depr Form 2.1'!R44</f>
        <v>0</v>
      </c>
      <c r="J44" s="188"/>
      <c r="L44" s="189">
        <f>'Cap Ex 2021 Form 2.13'!E40</f>
        <v>0</v>
      </c>
      <c r="N44" s="188"/>
      <c r="P44" s="188"/>
      <c r="R44" s="188">
        <f>L44+F44</f>
        <v>0</v>
      </c>
    </row>
    <row r="45" spans="1:18">
      <c r="A45" s="182">
        <f>A44+1</f>
        <v>22</v>
      </c>
      <c r="B45" s="12"/>
      <c r="C45" s="12" t="str">
        <f t="shared" si="11"/>
        <v>Plant Regulators</v>
      </c>
      <c r="D45" s="182">
        <f t="shared" si="11"/>
        <v>378</v>
      </c>
      <c r="F45" s="186">
        <f>'202201 Bk Depr Form 2.1'!R45</f>
        <v>11053.629376288001</v>
      </c>
      <c r="J45" s="188"/>
      <c r="L45" s="189">
        <f>'Cap Ex 2021 Form 2.13'!E41</f>
        <v>228.62189908799999</v>
      </c>
      <c r="N45" s="188"/>
      <c r="P45" s="188"/>
      <c r="R45" s="188">
        <f>L45+F45</f>
        <v>11282.251275376002</v>
      </c>
    </row>
    <row r="46" spans="1:18">
      <c r="A46" s="182">
        <f t="shared" ref="A46:A50" si="12">A45+1</f>
        <v>23</v>
      </c>
      <c r="B46" s="12"/>
      <c r="C46" s="12" t="str">
        <f t="shared" si="11"/>
        <v>Plant Regulators - LP Program</v>
      </c>
      <c r="D46" s="182">
        <f t="shared" si="11"/>
        <v>378</v>
      </c>
      <c r="F46" s="186">
        <f>'202201 Bk Depr Form 2.1'!R46</f>
        <v>10279.780000000001</v>
      </c>
      <c r="J46" s="188"/>
      <c r="L46" s="189">
        <f>'Cap Ex 2021 Form 2.13'!E42</f>
        <v>0</v>
      </c>
      <c r="N46" s="188"/>
      <c r="P46" s="188"/>
      <c r="R46" s="188">
        <f t="shared" ref="R46:R49" si="13">L46+F46</f>
        <v>10279.780000000001</v>
      </c>
    </row>
    <row r="47" spans="1:18">
      <c r="A47" s="182">
        <f t="shared" si="12"/>
        <v>24</v>
      </c>
      <c r="B47" s="12"/>
      <c r="C47" s="12" t="str">
        <f t="shared" si="11"/>
        <v>Service Lines</v>
      </c>
      <c r="D47" s="182">
        <f t="shared" si="11"/>
        <v>380</v>
      </c>
      <c r="F47" s="186">
        <f>'202201 Bk Depr Form 2.1'!R47</f>
        <v>6118770.4232894816</v>
      </c>
      <c r="J47" s="188"/>
      <c r="L47" s="189">
        <f>'Cap Ex 2021 Form 2.13'!E43</f>
        <v>54224.987704253916</v>
      </c>
      <c r="N47" s="188"/>
      <c r="P47" s="188"/>
      <c r="R47" s="188">
        <f t="shared" si="13"/>
        <v>6172995.4109937353</v>
      </c>
    </row>
    <row r="48" spans="1:18">
      <c r="A48" s="182">
        <f t="shared" si="12"/>
        <v>25</v>
      </c>
      <c r="B48" s="12"/>
      <c r="C48" s="12" t="str">
        <f t="shared" si="11"/>
        <v>Meter Installations</v>
      </c>
      <c r="D48" s="182">
        <f t="shared" si="11"/>
        <v>382</v>
      </c>
      <c r="F48" s="186">
        <f>'202201 Bk Depr Form 2.1'!R48</f>
        <v>661.21870140119461</v>
      </c>
      <c r="J48" s="188"/>
      <c r="L48" s="189">
        <f>'Cap Ex 2021 Form 2.13'!E44</f>
        <v>25.431692974375277</v>
      </c>
      <c r="N48" s="188"/>
      <c r="P48" s="188"/>
      <c r="R48" s="188">
        <f t="shared" si="13"/>
        <v>686.65039437556993</v>
      </c>
    </row>
    <row r="49" spans="1:18" s="193" customFormat="1">
      <c r="A49" s="182">
        <f t="shared" si="12"/>
        <v>26</v>
      </c>
      <c r="C49" s="12" t="str">
        <f t="shared" si="11"/>
        <v>House Regulators</v>
      </c>
      <c r="D49" s="182">
        <f t="shared" si="11"/>
        <v>383</v>
      </c>
      <c r="E49" s="194"/>
      <c r="F49" s="186">
        <f>'202201 Bk Depr Form 2.1'!R49</f>
        <v>68.034795515113558</v>
      </c>
      <c r="G49" s="194"/>
      <c r="I49" s="194"/>
      <c r="J49" s="186"/>
      <c r="K49" s="194"/>
      <c r="L49" s="189">
        <f>'Cap Ex 2021 Form 2.13'!E45</f>
        <v>2.7574198546940902</v>
      </c>
      <c r="M49" s="194"/>
      <c r="N49" s="186"/>
      <c r="O49" s="194"/>
      <c r="P49" s="186"/>
      <c r="Q49" s="194"/>
      <c r="R49" s="188">
        <f t="shared" si="13"/>
        <v>70.79221536980765</v>
      </c>
    </row>
    <row r="50" spans="1:18">
      <c r="A50" s="182">
        <f t="shared" si="12"/>
        <v>27</v>
      </c>
      <c r="B50" s="12"/>
      <c r="C50" s="12" t="str">
        <f t="shared" si="11"/>
        <v>GPS Devices</v>
      </c>
      <c r="D50" s="182">
        <f t="shared" si="11"/>
        <v>387</v>
      </c>
      <c r="F50" s="191">
        <f>'202201 Bk Depr Form 2.1'!R50</f>
        <v>0</v>
      </c>
      <c r="J50" s="188"/>
      <c r="L50" s="189">
        <f>'Cap Ex 2021 Form 2.13'!E46</f>
        <v>0</v>
      </c>
      <c r="N50" s="188"/>
      <c r="P50" s="188"/>
      <c r="R50" s="188">
        <f>L50+F50</f>
        <v>0</v>
      </c>
    </row>
    <row r="51" spans="1:18">
      <c r="A51" s="182">
        <f>A50+1</f>
        <v>28</v>
      </c>
      <c r="B51" s="12"/>
      <c r="C51" s="12" t="s">
        <v>23</v>
      </c>
      <c r="F51" s="192">
        <f>SUM(F43:F50)</f>
        <v>7425200.6630885117</v>
      </c>
      <c r="J51" s="192">
        <f>SUM(J43:J50)</f>
        <v>0</v>
      </c>
      <c r="L51" s="192">
        <f>SUM(L43:L50)</f>
        <v>78912.977282051113</v>
      </c>
      <c r="N51" s="192">
        <f>SUM(N43:N50)</f>
        <v>0</v>
      </c>
      <c r="P51" s="192">
        <f>SUM(P43:P50)</f>
        <v>0</v>
      </c>
      <c r="R51" s="192">
        <f>SUM(R43:R50)</f>
        <v>7504113.6403705627</v>
      </c>
    </row>
    <row r="53" spans="1:18">
      <c r="A53" s="182">
        <v>29</v>
      </c>
      <c r="C53" s="12" t="s">
        <v>276</v>
      </c>
      <c r="J53" s="219">
        <f>+J19+J20+J23+J31+J34+J30</f>
        <v>259088.22431596208</v>
      </c>
      <c r="N53" s="219">
        <f>+N19+N20+N23+N31+N34+N30</f>
        <v>2056.5801908765297</v>
      </c>
      <c r="P53" s="219">
        <f>+J53+N53</f>
        <v>261144.80450683861</v>
      </c>
    </row>
    <row r="54" spans="1:18">
      <c r="A54" s="182">
        <v>30</v>
      </c>
      <c r="C54" s="12" t="s">
        <v>277</v>
      </c>
      <c r="J54" s="219">
        <f>+J40-J53</f>
        <v>10234.123036018544</v>
      </c>
      <c r="N54" s="219">
        <f>+N40-N53</f>
        <v>61.350294436512286</v>
      </c>
      <c r="P54" s="219">
        <f>+P40-P53</f>
        <v>10295.473330455017</v>
      </c>
    </row>
  </sheetData>
  <pageMargins left="0.7" right="0.7" top="0.75" bottom="0.75" header="0.3" footer="0.3"/>
  <pageSetup scale="7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7">
    <tabColor rgb="FF00B050"/>
    <pageSetUpPr fitToPage="1"/>
  </sheetPr>
  <dimension ref="A1:R54"/>
  <sheetViews>
    <sheetView zoomScaleNormal="100" workbookViewId="0">
      <selection activeCell="F36" sqref="F36"/>
    </sheetView>
  </sheetViews>
  <sheetFormatPr defaultColWidth="9.3984375" defaultRowHeight="12.75"/>
  <cols>
    <col min="1" max="1" width="5.3984375" style="182" customWidth="1"/>
    <col min="2" max="2" width="2.59765625" style="182" customWidth="1"/>
    <col min="3" max="3" width="28.1328125" style="12" bestFit="1" customWidth="1"/>
    <col min="4" max="4" width="9.3984375" style="182"/>
    <col min="5" max="5" width="1.3984375" style="182" customWidth="1"/>
    <col min="6" max="6" width="15.59765625" style="12" customWidth="1"/>
    <col min="7" max="7" width="1.3984375" style="182" customWidth="1"/>
    <col min="8" max="8" width="9.59765625" style="12" customWidth="1"/>
    <col min="9" max="9" width="1.3984375" style="182" customWidth="1"/>
    <col min="10" max="10" width="12.59765625" style="12" bestFit="1" customWidth="1"/>
    <col min="11" max="11" width="1.3984375" style="182" customWidth="1"/>
    <col min="12" max="12" width="14.59765625" style="12" bestFit="1" customWidth="1"/>
    <col min="13" max="13" width="1.3984375" style="182" customWidth="1"/>
    <col min="14" max="14" width="16.59765625" style="12" customWidth="1"/>
    <col min="15" max="15" width="1.3984375" style="182" customWidth="1"/>
    <col min="16" max="16" width="16" style="12" bestFit="1" customWidth="1"/>
    <col min="17" max="17" width="1.3984375" style="182" customWidth="1"/>
    <col min="18" max="18" width="15.59765625" style="12" customWidth="1"/>
    <col min="19" max="16384" width="9.3984375" style="12"/>
  </cols>
  <sheetData>
    <row r="1" spans="1:18" ht="13.15">
      <c r="R1" s="220" t="s">
        <v>278</v>
      </c>
    </row>
    <row r="2" spans="1:18" ht="13.15">
      <c r="R2" s="220" t="s">
        <v>279</v>
      </c>
    </row>
    <row r="3" spans="1:18" ht="13.15">
      <c r="R3" s="220" t="s">
        <v>280</v>
      </c>
    </row>
    <row r="4" spans="1:18" ht="13.15">
      <c r="R4" s="220" t="s">
        <v>294</v>
      </c>
    </row>
    <row r="5" spans="1:18" ht="13.15">
      <c r="R5" s="220"/>
    </row>
    <row r="6" spans="1:18" ht="13.15">
      <c r="R6" s="65" t="s">
        <v>240</v>
      </c>
    </row>
    <row r="7" spans="1:18" ht="13.15">
      <c r="A7" s="176" t="str">
        <f>'202202 Bk Depr Form 2.2'!A7</f>
        <v>COLUMBIA GAS OF KENTUCKY, INC.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</row>
    <row r="8" spans="1:18" s="13" customFormat="1" ht="13.15">
      <c r="A8" s="177" t="str">
        <f>'202202 Bk Depr Form 2.2'!A8</f>
        <v>ANNUAL ADJUSTMENT TO THE SAFETY MODIFICATION AND REPLACEMENT PROGRAM ("SMRP")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</row>
    <row r="9" spans="1:18" ht="13.15">
      <c r="A9" s="176" t="s">
        <v>255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</row>
    <row r="10" spans="1:18" ht="13.15">
      <c r="A10" s="179"/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</row>
    <row r="11" spans="1:18" ht="13.15">
      <c r="A11" s="180"/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</row>
    <row r="12" spans="1:18" ht="13.15">
      <c r="C12" s="181"/>
      <c r="D12" s="181"/>
      <c r="E12" s="181"/>
      <c r="F12" s="181" t="s">
        <v>63</v>
      </c>
      <c r="G12" s="181"/>
      <c r="H12" s="181"/>
      <c r="I12" s="181"/>
      <c r="J12" s="181" t="s">
        <v>63</v>
      </c>
      <c r="K12" s="181"/>
      <c r="L12" s="181" t="s">
        <v>63</v>
      </c>
      <c r="M12" s="181"/>
      <c r="N12" s="181"/>
      <c r="O12" s="181"/>
      <c r="P12" s="181"/>
      <c r="Q12" s="181"/>
      <c r="R12" s="181" t="s">
        <v>63</v>
      </c>
    </row>
    <row r="13" spans="1:18" ht="13.15">
      <c r="C13" s="181"/>
      <c r="D13" s="181"/>
      <c r="E13" s="181"/>
      <c r="F13" s="181" t="s">
        <v>8</v>
      </c>
      <c r="G13" s="181"/>
      <c r="H13" s="181" t="s">
        <v>73</v>
      </c>
      <c r="I13" s="181"/>
      <c r="J13" s="181" t="s">
        <v>11</v>
      </c>
      <c r="K13" s="181"/>
      <c r="L13" s="181" t="s">
        <v>20</v>
      </c>
      <c r="M13" s="181"/>
      <c r="N13" s="181" t="s">
        <v>60</v>
      </c>
      <c r="O13" s="181"/>
      <c r="P13" s="181" t="s">
        <v>60</v>
      </c>
      <c r="Q13" s="181"/>
      <c r="R13" s="181" t="s">
        <v>14</v>
      </c>
    </row>
    <row r="14" spans="1:18" ht="13.15">
      <c r="A14" s="181" t="s">
        <v>4</v>
      </c>
      <c r="B14" s="181"/>
      <c r="C14" s="181"/>
      <c r="D14" s="181" t="s">
        <v>7</v>
      </c>
      <c r="E14" s="181"/>
      <c r="F14" s="181" t="s">
        <v>1</v>
      </c>
      <c r="G14" s="181"/>
      <c r="H14" s="181" t="s">
        <v>10</v>
      </c>
      <c r="I14" s="181"/>
      <c r="J14" s="181" t="s">
        <v>8</v>
      </c>
      <c r="K14" s="181"/>
      <c r="L14" s="181" t="s">
        <v>42</v>
      </c>
      <c r="M14" s="181"/>
      <c r="N14" s="181" t="s">
        <v>11</v>
      </c>
      <c r="O14" s="181"/>
      <c r="P14" s="181" t="s">
        <v>28</v>
      </c>
      <c r="Q14" s="181"/>
      <c r="R14" s="181" t="s">
        <v>1</v>
      </c>
    </row>
    <row r="15" spans="1:18" ht="13.15">
      <c r="A15" s="183" t="s">
        <v>5</v>
      </c>
      <c r="B15" s="183"/>
      <c r="C15" s="183" t="s">
        <v>6</v>
      </c>
      <c r="D15" s="183" t="s">
        <v>5</v>
      </c>
      <c r="E15" s="183"/>
      <c r="F15" s="183" t="s">
        <v>9</v>
      </c>
      <c r="G15" s="183"/>
      <c r="H15" s="183" t="s">
        <v>2</v>
      </c>
      <c r="I15" s="183"/>
      <c r="J15" s="183" t="s">
        <v>9</v>
      </c>
      <c r="K15" s="183"/>
      <c r="L15" s="183" t="s">
        <v>12</v>
      </c>
      <c r="M15" s="183"/>
      <c r="N15" s="183" t="s">
        <v>13</v>
      </c>
      <c r="O15" s="183"/>
      <c r="P15" s="183" t="s">
        <v>0</v>
      </c>
      <c r="Q15" s="183"/>
      <c r="R15" s="183" t="s">
        <v>9</v>
      </c>
    </row>
    <row r="16" spans="1:18" s="1" customFormat="1" ht="13.15">
      <c r="A16" s="181"/>
      <c r="B16" s="181"/>
      <c r="C16" s="184">
        <v>-1</v>
      </c>
      <c r="D16" s="184">
        <v>-2</v>
      </c>
      <c r="E16" s="184"/>
      <c r="F16" s="184">
        <v>-3</v>
      </c>
      <c r="G16" s="184"/>
      <c r="H16" s="184">
        <v>-4</v>
      </c>
      <c r="I16" s="184"/>
      <c r="J16" s="184" t="s">
        <v>15</v>
      </c>
      <c r="K16" s="184"/>
      <c r="L16" s="184">
        <v>-6</v>
      </c>
      <c r="M16" s="184"/>
      <c r="N16" s="184" t="s">
        <v>16</v>
      </c>
      <c r="O16" s="184"/>
      <c r="P16" s="184" t="s">
        <v>61</v>
      </c>
      <c r="Q16" s="184"/>
      <c r="R16" s="184" t="s">
        <v>17</v>
      </c>
    </row>
    <row r="18" spans="1:18" ht="13.15">
      <c r="B18" s="185" t="s">
        <v>20</v>
      </c>
      <c r="C18" s="185"/>
    </row>
    <row r="19" spans="1:18">
      <c r="A19" s="182">
        <v>1</v>
      </c>
      <c r="B19" s="12"/>
      <c r="C19" s="12" t="s">
        <v>90</v>
      </c>
      <c r="D19" s="182">
        <v>376</v>
      </c>
      <c r="F19" s="186">
        <f>'202202 Bk Depr Form 2.2'!R19</f>
        <v>111978248.75954761</v>
      </c>
      <c r="H19" s="187">
        <f>+'202201 Bk Depr Form 2.1'!H19</f>
        <v>1.4833333333333332E-3</v>
      </c>
      <c r="J19" s="188">
        <f>F19*H19</f>
        <v>166101.06899332895</v>
      </c>
      <c r="L19" s="189">
        <f>'Cap Ex 2021 Form 2.13'!F17</f>
        <v>2143358.799215673</v>
      </c>
      <c r="N19" s="188">
        <f>H19*L19*0.5</f>
        <v>1589.6577760849573</v>
      </c>
      <c r="P19" s="188">
        <f>J19+N19</f>
        <v>167690.72676941392</v>
      </c>
      <c r="R19" s="188">
        <f>L19+F19</f>
        <v>114121607.55876328</v>
      </c>
    </row>
    <row r="20" spans="1:18">
      <c r="A20" s="182">
        <f t="shared" ref="A20:A26" si="0">A19+1</f>
        <v>2</v>
      </c>
      <c r="B20" s="12"/>
      <c r="C20" s="12" t="s">
        <v>91</v>
      </c>
      <c r="D20" s="182">
        <v>376</v>
      </c>
      <c r="F20" s="186">
        <f>'202202 Bk Depr Form 2.2'!R20</f>
        <v>0</v>
      </c>
      <c r="H20" s="187">
        <f>+'202201 Bk Depr Form 2.1'!H20</f>
        <v>1.4833333333333332E-3</v>
      </c>
      <c r="J20" s="188">
        <f t="shared" ref="J20:J23" si="1">F20*H20</f>
        <v>0</v>
      </c>
      <c r="L20" s="189">
        <f>'Cap Ex 2021 Form 2.13'!F18</f>
        <v>0</v>
      </c>
      <c r="N20" s="188">
        <f t="shared" ref="N20:N24" si="2">H20*L20*0.5</f>
        <v>0</v>
      </c>
      <c r="P20" s="188">
        <f t="shared" ref="P20:P23" si="3">J20+N20</f>
        <v>0</v>
      </c>
      <c r="R20" s="188">
        <f t="shared" ref="R20:R23" si="4">L20+F20</f>
        <v>0</v>
      </c>
    </row>
    <row r="21" spans="1:18">
      <c r="A21" s="182">
        <f t="shared" si="0"/>
        <v>3</v>
      </c>
      <c r="B21" s="12"/>
      <c r="C21" s="12" t="s">
        <v>92</v>
      </c>
      <c r="D21" s="182">
        <v>378</v>
      </c>
      <c r="F21" s="186">
        <f>'202202 Bk Depr Form 2.2'!R21</f>
        <v>1279281.7812838804</v>
      </c>
      <c r="H21" s="187">
        <f>+'202201 Bk Depr Form 2.1'!H21</f>
        <v>2.0916666666666666E-3</v>
      </c>
      <c r="J21" s="188">
        <f t="shared" si="1"/>
        <v>2675.8310591854497</v>
      </c>
      <c r="L21" s="189">
        <f>'Cap Ex 2021 Form 2.13'!F19</f>
        <v>62038.323748810297</v>
      </c>
      <c r="N21" s="188">
        <f t="shared" si="2"/>
        <v>64.881746920630761</v>
      </c>
      <c r="P21" s="188">
        <f t="shared" si="3"/>
        <v>2740.7128061060803</v>
      </c>
      <c r="R21" s="188">
        <f t="shared" si="4"/>
        <v>1341320.1050326906</v>
      </c>
    </row>
    <row r="22" spans="1:18">
      <c r="A22" s="182">
        <f t="shared" si="0"/>
        <v>4</v>
      </c>
      <c r="B22" s="12"/>
      <c r="C22" s="12" t="s">
        <v>93</v>
      </c>
      <c r="D22" s="182">
        <v>378</v>
      </c>
      <c r="F22" s="186">
        <f>'202202 Bk Depr Form 2.2'!R22</f>
        <v>3348545.4100000006</v>
      </c>
      <c r="H22" s="187">
        <f>+'202201 Bk Depr Form 2.1'!H22</f>
        <v>2.0916666666666666E-3</v>
      </c>
      <c r="J22" s="188">
        <f t="shared" si="1"/>
        <v>7004.0408159166673</v>
      </c>
      <c r="L22" s="189">
        <f>'Cap Ex 2021 Form 2.13'!F20</f>
        <v>0</v>
      </c>
      <c r="N22" s="188">
        <f t="shared" si="2"/>
        <v>0</v>
      </c>
      <c r="P22" s="188">
        <f t="shared" si="3"/>
        <v>7004.0408159166673</v>
      </c>
      <c r="R22" s="188">
        <f t="shared" si="4"/>
        <v>3348545.4100000006</v>
      </c>
    </row>
    <row r="23" spans="1:18">
      <c r="A23" s="182">
        <f t="shared" si="0"/>
        <v>5</v>
      </c>
      <c r="B23" s="12"/>
      <c r="C23" s="12" t="s">
        <v>94</v>
      </c>
      <c r="D23" s="182">
        <v>380</v>
      </c>
      <c r="F23" s="186">
        <f>'202202 Bk Depr Form 2.2'!R23</f>
        <v>42242862.297712117</v>
      </c>
      <c r="H23" s="187">
        <f>+'202201 Bk Depr Form 2.1'!H23</f>
        <v>3.316666666666667E-3</v>
      </c>
      <c r="J23" s="188">
        <f t="shared" si="1"/>
        <v>140105.49328741187</v>
      </c>
      <c r="L23" s="189">
        <f>'Cap Ex 2021 Form 2.13'!F21</f>
        <v>544326.1123431446</v>
      </c>
      <c r="N23" s="188">
        <f t="shared" si="2"/>
        <v>902.6741363023815</v>
      </c>
      <c r="P23" s="188">
        <f t="shared" si="3"/>
        <v>141008.16742371424</v>
      </c>
      <c r="R23" s="188">
        <f t="shared" si="4"/>
        <v>42787188.410055265</v>
      </c>
    </row>
    <row r="24" spans="1:18">
      <c r="A24" s="182">
        <f t="shared" si="0"/>
        <v>6</v>
      </c>
      <c r="B24" s="12"/>
      <c r="C24" s="12" t="s">
        <v>95</v>
      </c>
      <c r="D24" s="182">
        <v>382</v>
      </c>
      <c r="F24" s="186">
        <f>'202202 Bk Depr Form 2.2'!R24</f>
        <v>273793.23192705598</v>
      </c>
      <c r="H24" s="187">
        <f>+'202201 Bk Depr Form 2.1'!H24</f>
        <v>1.475E-3</v>
      </c>
      <c r="J24" s="188">
        <f>F24*H24</f>
        <v>403.84501709240755</v>
      </c>
      <c r="L24" s="189">
        <f>'Cap Ex 2021 Form 2.13'!F22</f>
        <v>3675.1737355796045</v>
      </c>
      <c r="N24" s="188">
        <f t="shared" si="2"/>
        <v>2.7104406299899582</v>
      </c>
      <c r="P24" s="188">
        <f>J24+N24</f>
        <v>406.55545772239748</v>
      </c>
      <c r="R24" s="188">
        <f>L24+F24</f>
        <v>277468.40566263557</v>
      </c>
    </row>
    <row r="25" spans="1:18">
      <c r="A25" s="182">
        <f t="shared" si="0"/>
        <v>7</v>
      </c>
      <c r="B25" s="12"/>
      <c r="C25" s="190" t="s">
        <v>96</v>
      </c>
      <c r="D25" s="182">
        <v>383</v>
      </c>
      <c r="F25" s="186">
        <f>'202202 Bk Depr Form 2.2'!R25</f>
        <v>329814.45310018631</v>
      </c>
      <c r="H25" s="187">
        <f>+'202201 Bk Depr Form 2.1'!H25</f>
        <v>1.6333333333333332E-3</v>
      </c>
      <c r="J25" s="188">
        <f>F25*H25</f>
        <v>538.69694006363761</v>
      </c>
      <c r="L25" s="189">
        <f>'Cap Ex 2021 Form 2.13'!F23</f>
        <v>4813.3081436340281</v>
      </c>
      <c r="N25" s="188">
        <f>H25*L25*0.5</f>
        <v>3.9308683173011225</v>
      </c>
      <c r="P25" s="188">
        <f>J25+N25</f>
        <v>542.62780838093875</v>
      </c>
      <c r="R25" s="188">
        <f>L25+F25</f>
        <v>334627.76124382031</v>
      </c>
    </row>
    <row r="26" spans="1:18">
      <c r="A26" s="182">
        <f t="shared" si="0"/>
        <v>8</v>
      </c>
      <c r="B26" s="12"/>
      <c r="C26" s="12" t="s">
        <v>97</v>
      </c>
      <c r="D26" s="182">
        <v>387</v>
      </c>
      <c r="F26" s="191">
        <f>'202202 Bk Depr Form 2.2'!R26</f>
        <v>213381</v>
      </c>
      <c r="H26" s="187">
        <f>+'202201 Bk Depr Form 2.1'!H26</f>
        <v>2.6583333333333333E-3</v>
      </c>
      <c r="J26" s="188">
        <f>F26*H26</f>
        <v>567.23782500000004</v>
      </c>
      <c r="L26" s="189">
        <f>'Cap Ex 2021 Form 2.13'!F24</f>
        <v>0</v>
      </c>
      <c r="N26" s="188">
        <f>H26*L26*0.5</f>
        <v>0</v>
      </c>
      <c r="P26" s="188">
        <f>J26+N26</f>
        <v>567.23782500000004</v>
      </c>
      <c r="R26" s="188">
        <f>L26+F26</f>
        <v>213381</v>
      </c>
    </row>
    <row r="27" spans="1:18">
      <c r="A27" s="182">
        <f>A26+1</f>
        <v>9</v>
      </c>
      <c r="B27" s="12"/>
      <c r="C27" s="12" t="s">
        <v>21</v>
      </c>
      <c r="F27" s="192">
        <f>SUM(F19:F26)</f>
        <v>159665926.93357086</v>
      </c>
      <c r="J27" s="192">
        <f>SUM(J19:J26)</f>
        <v>317396.21393799898</v>
      </c>
      <c r="L27" s="192">
        <f>SUM(L19:L26)</f>
        <v>2758211.7171868412</v>
      </c>
      <c r="N27" s="192">
        <f>SUM(N19:N26)</f>
        <v>2563.8549682552607</v>
      </c>
      <c r="P27" s="192">
        <f>SUM(P19:P26)</f>
        <v>319960.06890625425</v>
      </c>
      <c r="R27" s="192">
        <f>SUM(R19:R26)</f>
        <v>162424138.6507577</v>
      </c>
    </row>
    <row r="28" spans="1:18">
      <c r="B28" s="12"/>
    </row>
    <row r="29" spans="1:18" ht="13.15">
      <c r="B29" s="185" t="s">
        <v>12</v>
      </c>
      <c r="C29" s="185"/>
    </row>
    <row r="30" spans="1:18">
      <c r="A30" s="182">
        <f>A27+1</f>
        <v>10</v>
      </c>
      <c r="B30" s="12"/>
      <c r="C30" s="12" t="str">
        <f>C19</f>
        <v>Mains</v>
      </c>
      <c r="D30" s="182">
        <f>D19</f>
        <v>376</v>
      </c>
      <c r="F30" s="186">
        <f>'202202 Bk Depr Form 2.2'!R30</f>
        <v>-9346098.5169230774</v>
      </c>
      <c r="H30" s="187">
        <f>+'202201 Bk Depr Form 2.1'!H30</f>
        <v>1.4833333333333332E-3</v>
      </c>
      <c r="J30" s="188">
        <f>F30*H30</f>
        <v>-13863.379466769231</v>
      </c>
      <c r="L30" s="189">
        <f>'Cap Ex 2021 Form 2.13'!F27</f>
        <v>-415636</v>
      </c>
      <c r="N30" s="188">
        <f>H30*L30*0.5</f>
        <v>-308.26336666666663</v>
      </c>
      <c r="P30" s="188">
        <f>J30+N30</f>
        <v>-14171.642833435897</v>
      </c>
      <c r="R30" s="188">
        <f>L30+F30</f>
        <v>-9761734.5169230774</v>
      </c>
    </row>
    <row r="31" spans="1:18">
      <c r="A31" s="182">
        <f>A30+1</f>
        <v>11</v>
      </c>
      <c r="B31" s="12"/>
      <c r="C31" s="12" t="str">
        <f t="shared" ref="C31:D37" si="5">C20</f>
        <v>Mains - In-Line Inspections</v>
      </c>
      <c r="D31" s="182">
        <f t="shared" si="5"/>
        <v>376</v>
      </c>
      <c r="F31" s="186">
        <f>'202202 Bk Depr Form 2.2'!R31</f>
        <v>0</v>
      </c>
      <c r="H31" s="187">
        <f>+'202201 Bk Depr Form 2.1'!H31</f>
        <v>1.4833333333333332E-3</v>
      </c>
      <c r="J31" s="188">
        <f>F31*H31</f>
        <v>0</v>
      </c>
      <c r="L31" s="189">
        <f>'Cap Ex 2021 Form 2.13'!F28</f>
        <v>0</v>
      </c>
      <c r="N31" s="188">
        <f>H31*L31*0.5</f>
        <v>0</v>
      </c>
      <c r="P31" s="188">
        <f>J31+N31</f>
        <v>0</v>
      </c>
      <c r="R31" s="188">
        <f>L31+F31</f>
        <v>0</v>
      </c>
    </row>
    <row r="32" spans="1:18">
      <c r="A32" s="182">
        <f>A31+1</f>
        <v>12</v>
      </c>
      <c r="B32" s="12"/>
      <c r="C32" s="12" t="str">
        <f t="shared" si="5"/>
        <v>Plant Regulators</v>
      </c>
      <c r="D32" s="182">
        <f t="shared" si="5"/>
        <v>378</v>
      </c>
      <c r="F32" s="186">
        <f>'202202 Bk Depr Form 2.2'!R32</f>
        <v>-134601.29999999999</v>
      </c>
      <c r="H32" s="187">
        <f>+'202201 Bk Depr Form 2.1'!H32</f>
        <v>2.0916666666666666E-3</v>
      </c>
      <c r="J32" s="188">
        <f t="shared" ref="J32:J37" si="6">F32*H32</f>
        <v>-281.54105249999998</v>
      </c>
      <c r="L32" s="189">
        <f>'Cap Ex 2021 Form 2.13'!F29</f>
        <v>-6015</v>
      </c>
      <c r="N32" s="188">
        <f t="shared" ref="N32:N37" si="7">H32*L32*0.5</f>
        <v>-6.2906874999999998</v>
      </c>
      <c r="P32" s="188">
        <f t="shared" ref="P32:P37" si="8">J32+N32</f>
        <v>-287.83173999999997</v>
      </c>
      <c r="R32" s="188">
        <f t="shared" ref="R32:R37" si="9">L32+F32</f>
        <v>-140616.29999999999</v>
      </c>
    </row>
    <row r="33" spans="1:18">
      <c r="A33" s="182">
        <f t="shared" ref="A33:A36" si="10">A32+1</f>
        <v>13</v>
      </c>
      <c r="B33" s="12"/>
      <c r="C33" s="12" t="str">
        <f t="shared" si="5"/>
        <v>Plant Regulators - LP Program</v>
      </c>
      <c r="D33" s="182">
        <f t="shared" si="5"/>
        <v>378</v>
      </c>
      <c r="F33" s="186">
        <f>'202202 Bk Depr Form 2.2'!R33</f>
        <v>-194723.07</v>
      </c>
      <c r="H33" s="187">
        <f>+'202201 Bk Depr Form 2.1'!H33</f>
        <v>2.0916666666666666E-3</v>
      </c>
      <c r="J33" s="188">
        <f t="shared" si="6"/>
        <v>-407.29575475000001</v>
      </c>
      <c r="L33" s="189">
        <f>'Cap Ex 2021 Form 2.13'!F30</f>
        <v>0</v>
      </c>
      <c r="N33" s="188">
        <f t="shared" si="7"/>
        <v>0</v>
      </c>
      <c r="P33" s="188">
        <f t="shared" si="8"/>
        <v>-407.29575475000001</v>
      </c>
      <c r="R33" s="188">
        <f t="shared" si="9"/>
        <v>-194723.07</v>
      </c>
    </row>
    <row r="34" spans="1:18">
      <c r="A34" s="182">
        <f t="shared" si="10"/>
        <v>14</v>
      </c>
      <c r="B34" s="12"/>
      <c r="C34" s="12" t="str">
        <f t="shared" si="5"/>
        <v>Service Lines</v>
      </c>
      <c r="D34" s="182">
        <f t="shared" si="5"/>
        <v>380</v>
      </c>
      <c r="F34" s="186">
        <f>'202202 Bk Depr Form 2.2'!R34</f>
        <v>-8786471.7938461546</v>
      </c>
      <c r="H34" s="187">
        <f>+'202201 Bk Depr Form 2.1'!H34</f>
        <v>3.316666666666667E-3</v>
      </c>
      <c r="J34" s="188">
        <f t="shared" si="6"/>
        <v>-29141.798116256414</v>
      </c>
      <c r="L34" s="189">
        <f>'Cap Ex 2021 Form 2.13'!F31</f>
        <v>-73888</v>
      </c>
      <c r="N34" s="188">
        <f t="shared" si="7"/>
        <v>-122.53093333333335</v>
      </c>
      <c r="P34" s="188">
        <f t="shared" si="8"/>
        <v>-29264.329049589745</v>
      </c>
      <c r="R34" s="188">
        <f t="shared" si="9"/>
        <v>-8860359.7938461546</v>
      </c>
    </row>
    <row r="35" spans="1:18">
      <c r="A35" s="182">
        <f t="shared" si="10"/>
        <v>15</v>
      </c>
      <c r="B35" s="12"/>
      <c r="C35" s="12" t="str">
        <f t="shared" si="5"/>
        <v>Meter Installations</v>
      </c>
      <c r="D35" s="182">
        <f t="shared" si="5"/>
        <v>382</v>
      </c>
      <c r="F35" s="186">
        <f>'202202 Bk Depr Form 2.2'!R35</f>
        <v>-78393.182000000001</v>
      </c>
      <c r="H35" s="187">
        <f>+'202201 Bk Depr Form 2.1'!H35</f>
        <v>1.475E-3</v>
      </c>
      <c r="J35" s="188">
        <f t="shared" si="6"/>
        <v>-115.62994345</v>
      </c>
      <c r="L35" s="189">
        <f>'Cap Ex 2021 Form 2.13'!F32</f>
        <v>-356</v>
      </c>
      <c r="N35" s="188">
        <f t="shared" si="7"/>
        <v>-0.26255000000000001</v>
      </c>
      <c r="P35" s="188">
        <f t="shared" si="8"/>
        <v>-115.89249345</v>
      </c>
      <c r="R35" s="188">
        <f t="shared" si="9"/>
        <v>-78749.182000000001</v>
      </c>
    </row>
    <row r="36" spans="1:18" s="193" customFormat="1">
      <c r="A36" s="182">
        <f t="shared" si="10"/>
        <v>16</v>
      </c>
      <c r="C36" s="12" t="str">
        <f t="shared" si="5"/>
        <v>House Regulators</v>
      </c>
      <c r="D36" s="182">
        <f t="shared" si="5"/>
        <v>383</v>
      </c>
      <c r="E36" s="194"/>
      <c r="F36" s="186">
        <f>'202202 Bk Depr Form 2.2'!R36</f>
        <v>-17364.050000000003</v>
      </c>
      <c r="G36" s="194"/>
      <c r="H36" s="187">
        <f>+'202201 Bk Depr Form 2.1'!H36</f>
        <v>1.6333333333333332E-3</v>
      </c>
      <c r="I36" s="194"/>
      <c r="J36" s="186">
        <f t="shared" si="6"/>
        <v>-28.36128166666667</v>
      </c>
      <c r="K36" s="194"/>
      <c r="L36" s="189">
        <f>'Cap Ex 2021 Form 2.13'!F33</f>
        <v>-467</v>
      </c>
      <c r="M36" s="194"/>
      <c r="N36" s="186">
        <f t="shared" si="7"/>
        <v>-0.3813833333333333</v>
      </c>
      <c r="O36" s="194"/>
      <c r="P36" s="186">
        <f t="shared" si="8"/>
        <v>-28.742665000000002</v>
      </c>
      <c r="Q36" s="194"/>
      <c r="R36" s="186">
        <f t="shared" si="9"/>
        <v>-17831.050000000003</v>
      </c>
    </row>
    <row r="37" spans="1:18">
      <c r="A37" s="182">
        <f>A36+1</f>
        <v>17</v>
      </c>
      <c r="B37" s="12"/>
      <c r="C37" s="12" t="str">
        <f t="shared" si="5"/>
        <v>GPS Devices</v>
      </c>
      <c r="D37" s="182">
        <f t="shared" si="5"/>
        <v>387</v>
      </c>
      <c r="F37" s="191">
        <f>'202202 Bk Depr Form 2.2'!R37</f>
        <v>0</v>
      </c>
      <c r="H37" s="187">
        <f>+'202201 Bk Depr Form 2.1'!H37</f>
        <v>2.6583333333333333E-3</v>
      </c>
      <c r="J37" s="188">
        <f t="shared" si="6"/>
        <v>0</v>
      </c>
      <c r="L37" s="195">
        <f>'Cap Ex 2021 Form 2.13'!F34</f>
        <v>0</v>
      </c>
      <c r="N37" s="188">
        <f t="shared" si="7"/>
        <v>0</v>
      </c>
      <c r="P37" s="188">
        <f t="shared" si="8"/>
        <v>0</v>
      </c>
      <c r="R37" s="188">
        <f t="shared" si="9"/>
        <v>0</v>
      </c>
    </row>
    <row r="38" spans="1:18">
      <c r="A38" s="182">
        <f>A37+1</f>
        <v>18</v>
      </c>
      <c r="B38" s="12"/>
      <c r="C38" s="12" t="s">
        <v>22</v>
      </c>
      <c r="F38" s="192">
        <f>SUM(F30:F37)</f>
        <v>-18557651.912769236</v>
      </c>
      <c r="J38" s="192">
        <f>SUM(J30:J37)</f>
        <v>-43838.005615392314</v>
      </c>
      <c r="L38" s="192">
        <f>SUM(L30:L37)</f>
        <v>-496362</v>
      </c>
      <c r="N38" s="192">
        <f>SUM(N30:N37)</f>
        <v>-437.72892083333329</v>
      </c>
      <c r="P38" s="192">
        <f>SUM(P30:P37)</f>
        <v>-44275.734536225638</v>
      </c>
      <c r="R38" s="192">
        <f>SUM(R30:R37)</f>
        <v>-19054013.912769236</v>
      </c>
    </row>
    <row r="39" spans="1:18">
      <c r="B39" s="12"/>
    </row>
    <row r="40" spans="1:18" s="199" customFormat="1" ht="13.5" thickBot="1">
      <c r="A40" s="196">
        <f>A38+1</f>
        <v>19</v>
      </c>
      <c r="B40" s="197" t="s">
        <v>18</v>
      </c>
      <c r="C40" s="197"/>
      <c r="D40" s="196"/>
      <c r="E40" s="196"/>
      <c r="F40" s="198">
        <f>F27+F38</f>
        <v>141108275.02080163</v>
      </c>
      <c r="G40" s="196"/>
      <c r="I40" s="196"/>
      <c r="J40" s="198">
        <f>J27+J38</f>
        <v>273558.20832260669</v>
      </c>
      <c r="K40" s="196"/>
      <c r="L40" s="198">
        <f>L27+L38</f>
        <v>2261849.7171868412</v>
      </c>
      <c r="M40" s="196"/>
      <c r="N40" s="198">
        <f>N27+N38</f>
        <v>2126.1260474219275</v>
      </c>
      <c r="O40" s="196"/>
      <c r="P40" s="198">
        <f>P27+P38</f>
        <v>275684.33437002864</v>
      </c>
      <c r="Q40" s="196"/>
      <c r="R40" s="198">
        <f>R27+R38</f>
        <v>143370124.73798847</v>
      </c>
    </row>
    <row r="41" spans="1:18" ht="13.15" thickTop="1">
      <c r="B41" s="12"/>
    </row>
    <row r="42" spans="1:18" ht="13.15">
      <c r="B42" s="200" t="s">
        <v>19</v>
      </c>
      <c r="C42" s="200"/>
    </row>
    <row r="43" spans="1:18">
      <c r="A43" s="182">
        <f>A40+1</f>
        <v>20</v>
      </c>
      <c r="B43" s="12"/>
      <c r="C43" s="12" t="str">
        <f>C30</f>
        <v>Mains</v>
      </c>
      <c r="D43" s="182">
        <f>D30</f>
        <v>376</v>
      </c>
      <c r="F43" s="186">
        <f>'202202 Bk Depr Form 2.2'!R43</f>
        <v>1308798.7554917061</v>
      </c>
      <c r="J43" s="188"/>
      <c r="L43" s="189">
        <f>'Cap Ex 2021 Form 2.13'!F39</f>
        <v>31643.251478487626</v>
      </c>
      <c r="N43" s="188"/>
      <c r="P43" s="188"/>
      <c r="R43" s="188">
        <f>L43+F43</f>
        <v>1340442.0069701937</v>
      </c>
    </row>
    <row r="44" spans="1:18">
      <c r="A44" s="182">
        <f>A43+1</f>
        <v>21</v>
      </c>
      <c r="B44" s="12"/>
      <c r="C44" s="12" t="str">
        <f t="shared" ref="C44:D50" si="11">C31</f>
        <v>Mains - In-Line Inspections</v>
      </c>
      <c r="D44" s="182">
        <f t="shared" si="11"/>
        <v>376</v>
      </c>
      <c r="F44" s="186">
        <f>'202202 Bk Depr Form 2.2'!R44</f>
        <v>0</v>
      </c>
      <c r="J44" s="188"/>
      <c r="L44" s="189">
        <f>'Cap Ex 2021 Form 2.13'!F40</f>
        <v>0</v>
      </c>
      <c r="N44" s="188"/>
      <c r="P44" s="188"/>
      <c r="R44" s="188">
        <f>L44+F44</f>
        <v>0</v>
      </c>
    </row>
    <row r="45" spans="1:18">
      <c r="A45" s="182">
        <f>A44+1</f>
        <v>22</v>
      </c>
      <c r="B45" s="12"/>
      <c r="C45" s="12" t="str">
        <f t="shared" si="11"/>
        <v>Plant Regulators</v>
      </c>
      <c r="D45" s="182">
        <f t="shared" si="11"/>
        <v>378</v>
      </c>
      <c r="F45" s="186">
        <f>'202202 Bk Depr Form 2.2'!R45</f>
        <v>11282.251275376002</v>
      </c>
      <c r="J45" s="188"/>
      <c r="L45" s="189">
        <f>'Cap Ex 2021 Form 2.13'!F41</f>
        <v>285.77737386000001</v>
      </c>
      <c r="N45" s="188"/>
      <c r="P45" s="188"/>
      <c r="R45" s="188">
        <f>L45+F45</f>
        <v>11568.028649236003</v>
      </c>
    </row>
    <row r="46" spans="1:18">
      <c r="A46" s="182">
        <f t="shared" ref="A46:A50" si="12">A45+1</f>
        <v>23</v>
      </c>
      <c r="B46" s="12"/>
      <c r="C46" s="12" t="str">
        <f t="shared" si="11"/>
        <v>Plant Regulators - LP Program</v>
      </c>
      <c r="D46" s="182">
        <f t="shared" si="11"/>
        <v>378</v>
      </c>
      <c r="F46" s="186">
        <f>'202202 Bk Depr Form 2.2'!R46</f>
        <v>10279.780000000001</v>
      </c>
      <c r="J46" s="188"/>
      <c r="L46" s="189">
        <f>'Cap Ex 2021 Form 2.13'!F42</f>
        <v>0</v>
      </c>
      <c r="N46" s="188"/>
      <c r="P46" s="188"/>
      <c r="R46" s="188">
        <f t="shared" ref="R46:R49" si="13">L46+F46</f>
        <v>10279.780000000001</v>
      </c>
    </row>
    <row r="47" spans="1:18">
      <c r="A47" s="182">
        <f t="shared" si="12"/>
        <v>24</v>
      </c>
      <c r="B47" s="12"/>
      <c r="C47" s="12" t="str">
        <f t="shared" si="11"/>
        <v>Service Lines</v>
      </c>
      <c r="D47" s="182">
        <f t="shared" si="11"/>
        <v>380</v>
      </c>
      <c r="F47" s="186">
        <f>'202202 Bk Depr Form 2.2'!R47</f>
        <v>6172995.4109937353</v>
      </c>
      <c r="J47" s="188"/>
      <c r="L47" s="189">
        <f>'Cap Ex 2021 Form 2.13'!F43</f>
        <v>72587.52112044052</v>
      </c>
      <c r="N47" s="188"/>
      <c r="P47" s="188"/>
      <c r="R47" s="188">
        <f t="shared" si="13"/>
        <v>6245582.9321141755</v>
      </c>
    </row>
    <row r="48" spans="1:18">
      <c r="A48" s="182">
        <f t="shared" si="12"/>
        <v>25</v>
      </c>
      <c r="B48" s="12"/>
      <c r="C48" s="12" t="str">
        <f t="shared" si="11"/>
        <v>Meter Installations</v>
      </c>
      <c r="D48" s="182">
        <f t="shared" si="11"/>
        <v>382</v>
      </c>
      <c r="F48" s="186">
        <f>'202202 Bk Depr Form 2.2'!R48</f>
        <v>686.65039437556993</v>
      </c>
      <c r="J48" s="188"/>
      <c r="L48" s="189">
        <f>'Cap Ex 2021 Form 2.13'!F44</f>
        <v>31.789616217969098</v>
      </c>
      <c r="N48" s="188"/>
      <c r="P48" s="188"/>
      <c r="R48" s="188">
        <f t="shared" si="13"/>
        <v>718.440010593539</v>
      </c>
    </row>
    <row r="49" spans="1:18" s="193" customFormat="1">
      <c r="A49" s="182">
        <f t="shared" si="12"/>
        <v>26</v>
      </c>
      <c r="C49" s="12" t="str">
        <f t="shared" si="11"/>
        <v>House Regulators</v>
      </c>
      <c r="D49" s="182">
        <f t="shared" si="11"/>
        <v>383</v>
      </c>
      <c r="E49" s="194"/>
      <c r="F49" s="186">
        <f>'202202 Bk Depr Form 2.2'!R49</f>
        <v>70.79221536980765</v>
      </c>
      <c r="G49" s="194"/>
      <c r="I49" s="194"/>
      <c r="J49" s="186"/>
      <c r="K49" s="194"/>
      <c r="L49" s="189">
        <f>'Cap Ex 2021 Form 2.13'!F45</f>
        <v>3.3208819309217703</v>
      </c>
      <c r="M49" s="194"/>
      <c r="N49" s="186"/>
      <c r="O49" s="194"/>
      <c r="P49" s="186"/>
      <c r="Q49" s="194"/>
      <c r="R49" s="188">
        <f t="shared" si="13"/>
        <v>74.113097300729422</v>
      </c>
    </row>
    <row r="50" spans="1:18">
      <c r="A50" s="182">
        <f t="shared" si="12"/>
        <v>27</v>
      </c>
      <c r="B50" s="12"/>
      <c r="C50" s="12" t="str">
        <f t="shared" si="11"/>
        <v>GPS Devices</v>
      </c>
      <c r="D50" s="182">
        <f t="shared" si="11"/>
        <v>387</v>
      </c>
      <c r="F50" s="191">
        <f>'202202 Bk Depr Form 2.2'!R50</f>
        <v>0</v>
      </c>
      <c r="J50" s="188"/>
      <c r="L50" s="189">
        <f>'Cap Ex 2021 Form 2.13'!F46</f>
        <v>0</v>
      </c>
      <c r="N50" s="188"/>
      <c r="P50" s="188"/>
      <c r="R50" s="188">
        <f>L50+F50</f>
        <v>0</v>
      </c>
    </row>
    <row r="51" spans="1:18">
      <c r="A51" s="182">
        <f>A50+1</f>
        <v>28</v>
      </c>
      <c r="B51" s="12"/>
      <c r="C51" s="12" t="s">
        <v>23</v>
      </c>
      <c r="F51" s="192">
        <f>SUM(F43:F50)</f>
        <v>7504113.6403705627</v>
      </c>
      <c r="J51" s="192">
        <f>SUM(J43:J50)</f>
        <v>0</v>
      </c>
      <c r="L51" s="192">
        <f>SUM(L43:L50)</f>
        <v>104551.66047093703</v>
      </c>
      <c r="N51" s="192">
        <f>SUM(N43:N50)</f>
        <v>0</v>
      </c>
      <c r="P51" s="192">
        <f>SUM(P43:P50)</f>
        <v>0</v>
      </c>
      <c r="R51" s="192">
        <f>SUM(R43:R50)</f>
        <v>7608665.3008414991</v>
      </c>
    </row>
    <row r="53" spans="1:18">
      <c r="A53" s="182">
        <v>29</v>
      </c>
      <c r="C53" s="12" t="s">
        <v>276</v>
      </c>
      <c r="J53" s="219">
        <f>+J19+J20+J23+J31+J34+J30</f>
        <v>263201.38469771517</v>
      </c>
      <c r="N53" s="219">
        <f>+N19+N20+N23+N31+N34+N30</f>
        <v>2061.5376123873389</v>
      </c>
      <c r="P53" s="219">
        <f>+J53+N53</f>
        <v>265262.9223101025</v>
      </c>
    </row>
    <row r="54" spans="1:18">
      <c r="A54" s="182">
        <v>30</v>
      </c>
      <c r="C54" s="12" t="s">
        <v>277</v>
      </c>
      <c r="J54" s="219">
        <f>+J40-J53</f>
        <v>10356.82362489152</v>
      </c>
      <c r="N54" s="219">
        <f>+N40-N53</f>
        <v>64.588435034588656</v>
      </c>
      <c r="P54" s="219">
        <f>+P40-P53</f>
        <v>10421.412059926137</v>
      </c>
    </row>
  </sheetData>
  <pageMargins left="0.7" right="0.7" top="0.75" bottom="0.75" header="0.3" footer="0.3"/>
  <pageSetup scale="7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8">
    <tabColor rgb="FF00B050"/>
    <pageSetUpPr fitToPage="1"/>
  </sheetPr>
  <dimension ref="A1:R54"/>
  <sheetViews>
    <sheetView zoomScaleNormal="100" workbookViewId="0">
      <selection activeCell="F36" sqref="F36"/>
    </sheetView>
  </sheetViews>
  <sheetFormatPr defaultColWidth="9.3984375" defaultRowHeight="12.75"/>
  <cols>
    <col min="1" max="1" width="5.3984375" style="182" customWidth="1"/>
    <col min="2" max="2" width="2.59765625" style="182" customWidth="1"/>
    <col min="3" max="3" width="28.1328125" style="12" bestFit="1" customWidth="1"/>
    <col min="4" max="4" width="9.3984375" style="182"/>
    <col min="5" max="5" width="1.3984375" style="182" customWidth="1"/>
    <col min="6" max="6" width="15.59765625" style="12" customWidth="1"/>
    <col min="7" max="7" width="1.3984375" style="182" customWidth="1"/>
    <col min="8" max="8" width="9.59765625" style="12" customWidth="1"/>
    <col min="9" max="9" width="1.3984375" style="182" customWidth="1"/>
    <col min="10" max="10" width="12.59765625" style="12" bestFit="1" customWidth="1"/>
    <col min="11" max="11" width="1.3984375" style="182" customWidth="1"/>
    <col min="12" max="12" width="14.59765625" style="12" bestFit="1" customWidth="1"/>
    <col min="13" max="13" width="1.3984375" style="182" customWidth="1"/>
    <col min="14" max="14" width="16.59765625" style="12" customWidth="1"/>
    <col min="15" max="15" width="1.3984375" style="182" customWidth="1"/>
    <col min="16" max="16" width="16" style="12" bestFit="1" customWidth="1"/>
    <col min="17" max="17" width="1.3984375" style="182" customWidth="1"/>
    <col min="18" max="18" width="15.59765625" style="12" customWidth="1"/>
    <col min="19" max="16384" width="9.3984375" style="12"/>
  </cols>
  <sheetData>
    <row r="1" spans="1:18" ht="13.15">
      <c r="R1" s="220" t="s">
        <v>278</v>
      </c>
    </row>
    <row r="2" spans="1:18" ht="13.15">
      <c r="R2" s="220" t="s">
        <v>279</v>
      </c>
    </row>
    <row r="3" spans="1:18" ht="13.15">
      <c r="R3" s="220" t="s">
        <v>280</v>
      </c>
    </row>
    <row r="4" spans="1:18" ht="13.15">
      <c r="R4" s="220" t="s">
        <v>293</v>
      </c>
    </row>
    <row r="6" spans="1:18" ht="13.15">
      <c r="R6" s="65" t="s">
        <v>241</v>
      </c>
    </row>
    <row r="7" spans="1:18" ht="13.15">
      <c r="A7" s="176" t="str">
        <f>'202203 Bk Depr Form 2.3'!A7</f>
        <v>COLUMBIA GAS OF KENTUCKY, INC.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</row>
    <row r="8" spans="1:18" s="13" customFormat="1" ht="13.15">
      <c r="A8" s="177" t="str">
        <f>'202203 Bk Depr Form 2.3'!A8</f>
        <v>ANNUAL ADJUSTMENT TO THE SAFETY MODIFICATION AND REPLACEMENT PROGRAM ("SMRP")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</row>
    <row r="9" spans="1:18" ht="13.15">
      <c r="A9" s="176" t="s">
        <v>256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</row>
    <row r="10" spans="1:18" ht="13.15">
      <c r="A10" s="179"/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</row>
    <row r="11" spans="1:18" ht="13.15">
      <c r="A11" s="180"/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</row>
    <row r="12" spans="1:18" ht="13.15">
      <c r="C12" s="181"/>
      <c r="D12" s="181"/>
      <c r="E12" s="181"/>
      <c r="F12" s="181" t="s">
        <v>64</v>
      </c>
      <c r="G12" s="181"/>
      <c r="H12" s="181"/>
      <c r="I12" s="181"/>
      <c r="J12" s="181" t="s">
        <v>64</v>
      </c>
      <c r="K12" s="181"/>
      <c r="L12" s="181" t="s">
        <v>64</v>
      </c>
      <c r="M12" s="181"/>
      <c r="N12" s="181"/>
      <c r="O12" s="181"/>
      <c r="P12" s="181"/>
      <c r="Q12" s="181"/>
      <c r="R12" s="181" t="s">
        <v>64</v>
      </c>
    </row>
    <row r="13" spans="1:18" ht="13.15">
      <c r="C13" s="181"/>
      <c r="D13" s="181"/>
      <c r="E13" s="181"/>
      <c r="F13" s="181" t="s">
        <v>8</v>
      </c>
      <c r="G13" s="181"/>
      <c r="H13" s="181" t="s">
        <v>73</v>
      </c>
      <c r="I13" s="181"/>
      <c r="J13" s="181" t="s">
        <v>11</v>
      </c>
      <c r="K13" s="181"/>
      <c r="L13" s="181" t="s">
        <v>20</v>
      </c>
      <c r="M13" s="181"/>
      <c r="N13" s="181" t="s">
        <v>60</v>
      </c>
      <c r="O13" s="181"/>
      <c r="P13" s="181" t="s">
        <v>60</v>
      </c>
      <c r="Q13" s="181"/>
      <c r="R13" s="181" t="s">
        <v>14</v>
      </c>
    </row>
    <row r="14" spans="1:18" ht="13.15">
      <c r="A14" s="181" t="s">
        <v>4</v>
      </c>
      <c r="B14" s="181"/>
      <c r="C14" s="181"/>
      <c r="D14" s="181" t="s">
        <v>7</v>
      </c>
      <c r="E14" s="181"/>
      <c r="F14" s="181" t="s">
        <v>1</v>
      </c>
      <c r="G14" s="181"/>
      <c r="H14" s="181" t="s">
        <v>10</v>
      </c>
      <c r="I14" s="181"/>
      <c r="J14" s="181" t="s">
        <v>8</v>
      </c>
      <c r="K14" s="181"/>
      <c r="L14" s="181" t="s">
        <v>42</v>
      </c>
      <c r="M14" s="181"/>
      <c r="N14" s="181" t="s">
        <v>11</v>
      </c>
      <c r="O14" s="181"/>
      <c r="P14" s="181" t="s">
        <v>28</v>
      </c>
      <c r="Q14" s="181"/>
      <c r="R14" s="181" t="s">
        <v>1</v>
      </c>
    </row>
    <row r="15" spans="1:18" ht="13.15">
      <c r="A15" s="183" t="s">
        <v>5</v>
      </c>
      <c r="B15" s="183"/>
      <c r="C15" s="183" t="s">
        <v>6</v>
      </c>
      <c r="D15" s="183" t="s">
        <v>5</v>
      </c>
      <c r="E15" s="183"/>
      <c r="F15" s="183" t="s">
        <v>9</v>
      </c>
      <c r="G15" s="183"/>
      <c r="H15" s="183" t="s">
        <v>2</v>
      </c>
      <c r="I15" s="183"/>
      <c r="J15" s="183" t="s">
        <v>9</v>
      </c>
      <c r="K15" s="183"/>
      <c r="L15" s="183" t="s">
        <v>12</v>
      </c>
      <c r="M15" s="183"/>
      <c r="N15" s="183" t="s">
        <v>13</v>
      </c>
      <c r="O15" s="183"/>
      <c r="P15" s="183" t="s">
        <v>0</v>
      </c>
      <c r="Q15" s="183"/>
      <c r="R15" s="183" t="s">
        <v>9</v>
      </c>
    </row>
    <row r="16" spans="1:18" s="1" customFormat="1" ht="13.15">
      <c r="A16" s="181"/>
      <c r="B16" s="181"/>
      <c r="C16" s="184">
        <v>-1</v>
      </c>
      <c r="D16" s="184">
        <v>-2</v>
      </c>
      <c r="E16" s="184"/>
      <c r="F16" s="184">
        <v>-3</v>
      </c>
      <c r="G16" s="184"/>
      <c r="H16" s="184">
        <v>-4</v>
      </c>
      <c r="I16" s="184"/>
      <c r="J16" s="184" t="s">
        <v>15</v>
      </c>
      <c r="K16" s="184"/>
      <c r="L16" s="184">
        <v>-6</v>
      </c>
      <c r="M16" s="184"/>
      <c r="N16" s="184" t="s">
        <v>16</v>
      </c>
      <c r="O16" s="184"/>
      <c r="P16" s="184" t="s">
        <v>61</v>
      </c>
      <c r="Q16" s="184"/>
      <c r="R16" s="184" t="s">
        <v>17</v>
      </c>
    </row>
    <row r="18" spans="1:18" ht="13.15">
      <c r="B18" s="185" t="s">
        <v>20</v>
      </c>
      <c r="C18" s="185"/>
    </row>
    <row r="19" spans="1:18">
      <c r="A19" s="182">
        <v>1</v>
      </c>
      <c r="B19" s="12"/>
      <c r="C19" s="12" t="s">
        <v>90</v>
      </c>
      <c r="D19" s="182">
        <v>376</v>
      </c>
      <c r="F19" s="186">
        <f>'202203 Bk Depr Form 2.3'!R19</f>
        <v>114121607.55876328</v>
      </c>
      <c r="H19" s="187">
        <f>+'202201 Bk Depr Form 2.1'!H19</f>
        <v>1.4833333333333332E-3</v>
      </c>
      <c r="J19" s="188">
        <f>F19*H19</f>
        <v>169280.38454549885</v>
      </c>
      <c r="L19" s="189">
        <f>'Cap Ex 2021 Form 2.13'!G17</f>
        <v>1678558.4563323304</v>
      </c>
      <c r="N19" s="188">
        <f>H19*L19*0.5</f>
        <v>1244.9308551131448</v>
      </c>
      <c r="P19" s="188">
        <f>J19+N19</f>
        <v>170525.31540061199</v>
      </c>
      <c r="R19" s="188">
        <f>L19+F19</f>
        <v>115800166.01509561</v>
      </c>
    </row>
    <row r="20" spans="1:18">
      <c r="A20" s="182">
        <f t="shared" ref="A20:A26" si="0">A19+1</f>
        <v>2</v>
      </c>
      <c r="B20" s="12"/>
      <c r="C20" s="12" t="s">
        <v>91</v>
      </c>
      <c r="D20" s="182">
        <v>376</v>
      </c>
      <c r="F20" s="186">
        <f>'202203 Bk Depr Form 2.3'!R20</f>
        <v>0</v>
      </c>
      <c r="H20" s="187">
        <f>+'202201 Bk Depr Form 2.1'!H20</f>
        <v>1.4833333333333332E-3</v>
      </c>
      <c r="J20" s="188">
        <f t="shared" ref="J20:J23" si="1">F20*H20</f>
        <v>0</v>
      </c>
      <c r="L20" s="189">
        <f>'Cap Ex 2021 Form 2.13'!G18</f>
        <v>0</v>
      </c>
      <c r="N20" s="188">
        <f t="shared" ref="N20:N24" si="2">H20*L20*0.5</f>
        <v>0</v>
      </c>
      <c r="P20" s="188">
        <f t="shared" ref="P20:P23" si="3">J20+N20</f>
        <v>0</v>
      </c>
      <c r="R20" s="188">
        <f t="shared" ref="R20:R23" si="4">L20+F20</f>
        <v>0</v>
      </c>
    </row>
    <row r="21" spans="1:18">
      <c r="A21" s="182">
        <f t="shared" si="0"/>
        <v>3</v>
      </c>
      <c r="B21" s="12"/>
      <c r="C21" s="12" t="s">
        <v>92</v>
      </c>
      <c r="D21" s="182">
        <v>378</v>
      </c>
      <c r="F21" s="186">
        <f>'202203 Bk Depr Form 2.3'!R21</f>
        <v>1341320.1050326906</v>
      </c>
      <c r="H21" s="187">
        <f>+'202201 Bk Depr Form 2.1'!H21</f>
        <v>2.0916666666666666E-3</v>
      </c>
      <c r="J21" s="188">
        <f t="shared" si="1"/>
        <v>2805.5945530267109</v>
      </c>
      <c r="L21" s="189">
        <f>'Cap Ex 2021 Form 2.13'!G19</f>
        <v>48584.937334502669</v>
      </c>
      <c r="N21" s="188">
        <f t="shared" si="2"/>
        <v>50.811746962334041</v>
      </c>
      <c r="P21" s="188">
        <f t="shared" si="3"/>
        <v>2856.4062999890448</v>
      </c>
      <c r="R21" s="188">
        <f t="shared" si="4"/>
        <v>1389905.0423671931</v>
      </c>
    </row>
    <row r="22" spans="1:18">
      <c r="A22" s="182">
        <f t="shared" si="0"/>
        <v>4</v>
      </c>
      <c r="B22" s="12"/>
      <c r="C22" s="12" t="s">
        <v>93</v>
      </c>
      <c r="D22" s="182">
        <v>378</v>
      </c>
      <c r="F22" s="186">
        <f>'202203 Bk Depr Form 2.3'!R22</f>
        <v>3348545.4100000006</v>
      </c>
      <c r="H22" s="187">
        <f>+'202201 Bk Depr Form 2.1'!H22</f>
        <v>2.0916666666666666E-3</v>
      </c>
      <c r="J22" s="188">
        <f t="shared" si="1"/>
        <v>7004.0408159166673</v>
      </c>
      <c r="L22" s="189">
        <f>'Cap Ex 2021 Form 2.13'!G20</f>
        <v>0</v>
      </c>
      <c r="N22" s="188">
        <f t="shared" si="2"/>
        <v>0</v>
      </c>
      <c r="P22" s="188">
        <f t="shared" si="3"/>
        <v>7004.0408159166673</v>
      </c>
      <c r="R22" s="188">
        <f t="shared" si="4"/>
        <v>3348545.4100000006</v>
      </c>
    </row>
    <row r="23" spans="1:18">
      <c r="A23" s="182">
        <f t="shared" si="0"/>
        <v>5</v>
      </c>
      <c r="B23" s="12"/>
      <c r="C23" s="12" t="s">
        <v>94</v>
      </c>
      <c r="D23" s="182">
        <v>380</v>
      </c>
      <c r="F23" s="186">
        <f>'202203 Bk Depr Form 2.3'!R23</f>
        <v>42787188.410055265</v>
      </c>
      <c r="H23" s="187">
        <f>+'202201 Bk Depr Form 2.1'!H23</f>
        <v>3.316666666666667E-3</v>
      </c>
      <c r="J23" s="188">
        <f t="shared" si="1"/>
        <v>141910.84156001665</v>
      </c>
      <c r="L23" s="189">
        <f>'Cap Ex 2021 Form 2.13'!G21</f>
        <v>426285.69664138119</v>
      </c>
      <c r="N23" s="188">
        <f t="shared" si="2"/>
        <v>706.92378026362383</v>
      </c>
      <c r="P23" s="188">
        <f t="shared" si="3"/>
        <v>142617.76534028028</v>
      </c>
      <c r="R23" s="188">
        <f t="shared" si="4"/>
        <v>43213474.106696643</v>
      </c>
    </row>
    <row r="24" spans="1:18">
      <c r="A24" s="182">
        <f t="shared" si="0"/>
        <v>6</v>
      </c>
      <c r="B24" s="12"/>
      <c r="C24" s="12" t="s">
        <v>95</v>
      </c>
      <c r="D24" s="182">
        <v>382</v>
      </c>
      <c r="F24" s="186">
        <f>'202203 Bk Depr Form 2.3'!R24</f>
        <v>277468.40566263557</v>
      </c>
      <c r="H24" s="187">
        <f>+'202201 Bk Depr Form 2.1'!H24</f>
        <v>1.475E-3</v>
      </c>
      <c r="J24" s="188">
        <f>F24*H24</f>
        <v>409.26589835238747</v>
      </c>
      <c r="L24" s="189">
        <f>'Cap Ex 2021 Form 2.13'!G22</f>
        <v>2878.1900420055977</v>
      </c>
      <c r="N24" s="188">
        <f t="shared" si="2"/>
        <v>2.1226651559791283</v>
      </c>
      <c r="P24" s="188">
        <f>J24+N24</f>
        <v>411.38856350836659</v>
      </c>
      <c r="R24" s="188">
        <f>L24+F24</f>
        <v>280346.59570464119</v>
      </c>
    </row>
    <row r="25" spans="1:18">
      <c r="A25" s="182">
        <f t="shared" si="0"/>
        <v>7</v>
      </c>
      <c r="B25" s="12"/>
      <c r="C25" s="190" t="s">
        <v>96</v>
      </c>
      <c r="D25" s="182">
        <v>383</v>
      </c>
      <c r="F25" s="186">
        <f>'202203 Bk Depr Form 2.3'!R25</f>
        <v>334627.76124382031</v>
      </c>
      <c r="H25" s="187">
        <f>+'202201 Bk Depr Form 2.1'!H25</f>
        <v>1.6333333333333332E-3</v>
      </c>
      <c r="J25" s="188">
        <f>F25*H25</f>
        <v>546.55867669823976</v>
      </c>
      <c r="L25" s="189">
        <f>'Cap Ex 2021 Form 2.13'!G23</f>
        <v>3769.5131073652719</v>
      </c>
      <c r="N25" s="188">
        <f>H25*L25*0.5</f>
        <v>3.0784357043483053</v>
      </c>
      <c r="P25" s="188">
        <f>J25+N25</f>
        <v>549.63711240258806</v>
      </c>
      <c r="R25" s="188">
        <f>L25+F25</f>
        <v>338397.2743511856</v>
      </c>
    </row>
    <row r="26" spans="1:18">
      <c r="A26" s="182">
        <f t="shared" si="0"/>
        <v>8</v>
      </c>
      <c r="B26" s="12"/>
      <c r="C26" s="12" t="s">
        <v>97</v>
      </c>
      <c r="D26" s="182">
        <v>387</v>
      </c>
      <c r="F26" s="191">
        <f>'202203 Bk Depr Form 2.3'!R26</f>
        <v>213381</v>
      </c>
      <c r="H26" s="187">
        <f>+'202201 Bk Depr Form 2.1'!H26</f>
        <v>2.6583333333333333E-3</v>
      </c>
      <c r="J26" s="188">
        <f>F26*H26</f>
        <v>567.23782500000004</v>
      </c>
      <c r="L26" s="189">
        <f>'Cap Ex 2021 Form 2.13'!G24</f>
        <v>0</v>
      </c>
      <c r="N26" s="188">
        <f>H26*L26*0.5</f>
        <v>0</v>
      </c>
      <c r="P26" s="188">
        <f>J26+N26</f>
        <v>567.23782500000004</v>
      </c>
      <c r="R26" s="188">
        <f>L26+F26</f>
        <v>213381</v>
      </c>
    </row>
    <row r="27" spans="1:18">
      <c r="A27" s="182">
        <f>A26+1</f>
        <v>9</v>
      </c>
      <c r="B27" s="12"/>
      <c r="C27" s="12" t="s">
        <v>21</v>
      </c>
      <c r="F27" s="192">
        <f>SUM(F19:F26)</f>
        <v>162424138.6507577</v>
      </c>
      <c r="J27" s="192">
        <f>SUM(J19:J26)</f>
        <v>322523.92387450952</v>
      </c>
      <c r="L27" s="192">
        <f>SUM(L19:L26)</f>
        <v>2160076.7934575849</v>
      </c>
      <c r="N27" s="192">
        <f>SUM(N19:N26)</f>
        <v>2007.8674831994301</v>
      </c>
      <c r="P27" s="192">
        <f>SUM(P19:P26)</f>
        <v>324531.79135770898</v>
      </c>
      <c r="R27" s="192">
        <f>SUM(R19:R26)</f>
        <v>164584215.44421527</v>
      </c>
    </row>
    <row r="28" spans="1:18">
      <c r="B28" s="12"/>
    </row>
    <row r="29" spans="1:18" ht="13.15">
      <c r="B29" s="185" t="s">
        <v>12</v>
      </c>
      <c r="C29" s="185"/>
    </row>
    <row r="30" spans="1:18">
      <c r="A30" s="182">
        <f>A27+1</f>
        <v>10</v>
      </c>
      <c r="B30" s="12"/>
      <c r="C30" s="12" t="str">
        <f>C19</f>
        <v>Mains</v>
      </c>
      <c r="D30" s="182">
        <f>D19</f>
        <v>376</v>
      </c>
      <c r="F30" s="186">
        <f>'202203 Bk Depr Form 2.3'!R30</f>
        <v>-9761734.5169230774</v>
      </c>
      <c r="H30" s="187">
        <f>+'202201 Bk Depr Form 2.1'!H30</f>
        <v>1.4833333333333332E-3</v>
      </c>
      <c r="J30" s="188">
        <f>F30*H30</f>
        <v>-14479.906200102563</v>
      </c>
      <c r="L30" s="189">
        <f>'Cap Ex 2021 Form 2.13'!G27</f>
        <v>-457200</v>
      </c>
      <c r="N30" s="188">
        <f>H30*L30*0.5</f>
        <v>-339.09</v>
      </c>
      <c r="P30" s="188">
        <f>J30+N30</f>
        <v>-14818.996200102563</v>
      </c>
      <c r="R30" s="188">
        <f>L30+F30</f>
        <v>-10218934.516923077</v>
      </c>
    </row>
    <row r="31" spans="1:18">
      <c r="A31" s="182">
        <f>A30+1</f>
        <v>11</v>
      </c>
      <c r="B31" s="12"/>
      <c r="C31" s="12" t="str">
        <f t="shared" ref="C31:D37" si="5">C20</f>
        <v>Mains - In-Line Inspections</v>
      </c>
      <c r="D31" s="182">
        <f t="shared" si="5"/>
        <v>376</v>
      </c>
      <c r="F31" s="186">
        <f>'202203 Bk Depr Form 2.3'!R31</f>
        <v>0</v>
      </c>
      <c r="H31" s="187">
        <f>+'202201 Bk Depr Form 2.1'!H31</f>
        <v>1.4833333333333332E-3</v>
      </c>
      <c r="J31" s="188">
        <f>F31*H31</f>
        <v>0</v>
      </c>
      <c r="L31" s="189">
        <f>'Cap Ex 2021 Form 2.13'!G28</f>
        <v>0</v>
      </c>
      <c r="N31" s="188">
        <f>H31*L31*0.5</f>
        <v>0</v>
      </c>
      <c r="P31" s="188">
        <f>J31+N31</f>
        <v>0</v>
      </c>
      <c r="R31" s="188">
        <f>L31+F31</f>
        <v>0</v>
      </c>
    </row>
    <row r="32" spans="1:18">
      <c r="A32" s="182">
        <f>A31+1</f>
        <v>12</v>
      </c>
      <c r="B32" s="12"/>
      <c r="C32" s="12" t="str">
        <f t="shared" si="5"/>
        <v>Plant Regulators</v>
      </c>
      <c r="D32" s="182">
        <f t="shared" si="5"/>
        <v>378</v>
      </c>
      <c r="F32" s="186">
        <f>'202203 Bk Depr Form 2.3'!R32</f>
        <v>-140616.29999999999</v>
      </c>
      <c r="H32" s="187">
        <f>+'202201 Bk Depr Form 2.1'!H32</f>
        <v>2.0916666666666666E-3</v>
      </c>
      <c r="J32" s="188">
        <f t="shared" ref="J32:J37" si="6">F32*H32</f>
        <v>-294.12242749999996</v>
      </c>
      <c r="L32" s="189">
        <f>'Cap Ex 2021 Form 2.13'!G29</f>
        <v>-8421</v>
      </c>
      <c r="N32" s="188">
        <f t="shared" ref="N32:N37" si="7">H32*L32*0.5</f>
        <v>-8.8069624999999991</v>
      </c>
      <c r="P32" s="188">
        <f t="shared" ref="P32:P37" si="8">J32+N32</f>
        <v>-302.92938999999996</v>
      </c>
      <c r="R32" s="188">
        <f t="shared" ref="R32:R37" si="9">L32+F32</f>
        <v>-149037.29999999999</v>
      </c>
    </row>
    <row r="33" spans="1:18">
      <c r="A33" s="182">
        <f t="shared" ref="A33:A36" si="10">A32+1</f>
        <v>13</v>
      </c>
      <c r="B33" s="12"/>
      <c r="C33" s="12" t="str">
        <f t="shared" si="5"/>
        <v>Plant Regulators - LP Program</v>
      </c>
      <c r="D33" s="182">
        <f t="shared" si="5"/>
        <v>378</v>
      </c>
      <c r="F33" s="186">
        <f>'202203 Bk Depr Form 2.3'!R33</f>
        <v>-194723.07</v>
      </c>
      <c r="H33" s="187">
        <f>+'202201 Bk Depr Form 2.1'!H33</f>
        <v>2.0916666666666666E-3</v>
      </c>
      <c r="J33" s="188">
        <f t="shared" si="6"/>
        <v>-407.29575475000001</v>
      </c>
      <c r="L33" s="189">
        <f>'Cap Ex 2021 Form 2.13'!G30</f>
        <v>0</v>
      </c>
      <c r="N33" s="188">
        <f t="shared" si="7"/>
        <v>0</v>
      </c>
      <c r="P33" s="188">
        <f t="shared" si="8"/>
        <v>-407.29575475000001</v>
      </c>
      <c r="R33" s="188">
        <f t="shared" si="9"/>
        <v>-194723.07</v>
      </c>
    </row>
    <row r="34" spans="1:18">
      <c r="A34" s="182">
        <f t="shared" si="10"/>
        <v>14</v>
      </c>
      <c r="B34" s="12"/>
      <c r="C34" s="12" t="str">
        <f t="shared" si="5"/>
        <v>Service Lines</v>
      </c>
      <c r="D34" s="182">
        <f t="shared" si="5"/>
        <v>380</v>
      </c>
      <c r="F34" s="186">
        <f>'202203 Bk Depr Form 2.3'!R34</f>
        <v>-8860359.7938461546</v>
      </c>
      <c r="H34" s="187">
        <f>+'202201 Bk Depr Form 2.1'!H34</f>
        <v>3.316666666666667E-3</v>
      </c>
      <c r="J34" s="188">
        <f t="shared" si="6"/>
        <v>-29386.859982923081</v>
      </c>
      <c r="L34" s="189">
        <f>'Cap Ex 2021 Form 2.13'!G31</f>
        <v>-94999</v>
      </c>
      <c r="N34" s="188">
        <f t="shared" si="7"/>
        <v>-157.54000833333336</v>
      </c>
      <c r="P34" s="188">
        <f t="shared" si="8"/>
        <v>-29544.399991256414</v>
      </c>
      <c r="R34" s="188">
        <f t="shared" si="9"/>
        <v>-8955358.7938461546</v>
      </c>
    </row>
    <row r="35" spans="1:18">
      <c r="A35" s="182">
        <f t="shared" si="10"/>
        <v>15</v>
      </c>
      <c r="B35" s="12"/>
      <c r="C35" s="12" t="str">
        <f t="shared" si="5"/>
        <v>Meter Installations</v>
      </c>
      <c r="D35" s="182">
        <f t="shared" si="5"/>
        <v>382</v>
      </c>
      <c r="F35" s="186">
        <f>'202203 Bk Depr Form 2.3'!R35</f>
        <v>-78749.182000000001</v>
      </c>
      <c r="H35" s="187">
        <f>+'202201 Bk Depr Form 2.1'!H35</f>
        <v>1.475E-3</v>
      </c>
      <c r="J35" s="188">
        <f t="shared" si="6"/>
        <v>-116.15504344999999</v>
      </c>
      <c r="L35" s="189">
        <f>'Cap Ex 2021 Form 2.13'!G32</f>
        <v>-499</v>
      </c>
      <c r="N35" s="188">
        <f t="shared" si="7"/>
        <v>-0.36801249999999996</v>
      </c>
      <c r="P35" s="188">
        <f t="shared" si="8"/>
        <v>-116.52305595</v>
      </c>
      <c r="R35" s="188">
        <f t="shared" si="9"/>
        <v>-79248.182000000001</v>
      </c>
    </row>
    <row r="36" spans="1:18" s="193" customFormat="1">
      <c r="A36" s="182">
        <f t="shared" si="10"/>
        <v>16</v>
      </c>
      <c r="C36" s="12" t="str">
        <f t="shared" si="5"/>
        <v>House Regulators</v>
      </c>
      <c r="D36" s="182">
        <f t="shared" si="5"/>
        <v>383</v>
      </c>
      <c r="E36" s="194"/>
      <c r="F36" s="186">
        <f>'202203 Bk Depr Form 2.3'!R36</f>
        <v>-17831.050000000003</v>
      </c>
      <c r="G36" s="194"/>
      <c r="H36" s="187">
        <f>+'202201 Bk Depr Form 2.1'!H36</f>
        <v>1.6333333333333332E-3</v>
      </c>
      <c r="I36" s="194"/>
      <c r="J36" s="186">
        <f t="shared" si="6"/>
        <v>-29.124048333333334</v>
      </c>
      <c r="K36" s="194"/>
      <c r="L36" s="189">
        <f>'Cap Ex 2021 Form 2.13'!G33</f>
        <v>-653</v>
      </c>
      <c r="M36" s="194"/>
      <c r="N36" s="186">
        <f t="shared" si="7"/>
        <v>-0.53328333333333333</v>
      </c>
      <c r="O36" s="194"/>
      <c r="P36" s="186">
        <f t="shared" si="8"/>
        <v>-29.657331666666668</v>
      </c>
      <c r="Q36" s="194"/>
      <c r="R36" s="186">
        <f t="shared" si="9"/>
        <v>-18484.050000000003</v>
      </c>
    </row>
    <row r="37" spans="1:18">
      <c r="A37" s="182">
        <f>A36+1</f>
        <v>17</v>
      </c>
      <c r="B37" s="12"/>
      <c r="C37" s="12" t="str">
        <f t="shared" si="5"/>
        <v>GPS Devices</v>
      </c>
      <c r="D37" s="182">
        <f t="shared" si="5"/>
        <v>387</v>
      </c>
      <c r="F37" s="191">
        <f>'202203 Bk Depr Form 2.3'!R37</f>
        <v>0</v>
      </c>
      <c r="H37" s="187">
        <f>+'202201 Bk Depr Form 2.1'!H37</f>
        <v>2.6583333333333333E-3</v>
      </c>
      <c r="J37" s="188">
        <f t="shared" si="6"/>
        <v>0</v>
      </c>
      <c r="L37" s="195">
        <f>'Cap Ex 2021 Form 2.13'!G34</f>
        <v>0</v>
      </c>
      <c r="N37" s="188">
        <f t="shared" si="7"/>
        <v>0</v>
      </c>
      <c r="P37" s="188">
        <f t="shared" si="8"/>
        <v>0</v>
      </c>
      <c r="R37" s="188">
        <f t="shared" si="9"/>
        <v>0</v>
      </c>
    </row>
    <row r="38" spans="1:18">
      <c r="A38" s="182">
        <f>A37+1</f>
        <v>18</v>
      </c>
      <c r="B38" s="12"/>
      <c r="C38" s="12" t="s">
        <v>22</v>
      </c>
      <c r="F38" s="192">
        <f>SUM(F30:F37)</f>
        <v>-19054013.912769236</v>
      </c>
      <c r="J38" s="192">
        <f>SUM(J30:J37)</f>
        <v>-44713.463457058977</v>
      </c>
      <c r="L38" s="192">
        <f>SUM(L30:L37)</f>
        <v>-561772</v>
      </c>
      <c r="N38" s="192">
        <f>SUM(N30:N37)</f>
        <v>-506.3382666666667</v>
      </c>
      <c r="P38" s="192">
        <f>SUM(P30:P37)</f>
        <v>-45219.801723725643</v>
      </c>
      <c r="R38" s="192">
        <f>SUM(R30:R37)</f>
        <v>-19615785.912769236</v>
      </c>
    </row>
    <row r="39" spans="1:18">
      <c r="B39" s="12"/>
    </row>
    <row r="40" spans="1:18" s="199" customFormat="1" ht="13.5" thickBot="1">
      <c r="A40" s="196">
        <f>A38+1</f>
        <v>19</v>
      </c>
      <c r="B40" s="197" t="s">
        <v>18</v>
      </c>
      <c r="C40" s="197"/>
      <c r="D40" s="196"/>
      <c r="E40" s="196"/>
      <c r="F40" s="198">
        <f>F27+F38</f>
        <v>143370124.73798847</v>
      </c>
      <c r="G40" s="196"/>
      <c r="I40" s="196"/>
      <c r="J40" s="198">
        <f>J27+J38</f>
        <v>277810.46041745052</v>
      </c>
      <c r="K40" s="196"/>
      <c r="L40" s="198">
        <f>L27+L38</f>
        <v>1598304.7934575849</v>
      </c>
      <c r="M40" s="196"/>
      <c r="N40" s="198">
        <f>N27+N38</f>
        <v>1501.5292165327635</v>
      </c>
      <c r="O40" s="196"/>
      <c r="P40" s="198">
        <f>P27+P38</f>
        <v>279311.98963398335</v>
      </c>
      <c r="Q40" s="196"/>
      <c r="R40" s="198">
        <f>R27+R38</f>
        <v>144968429.53144604</v>
      </c>
    </row>
    <row r="41" spans="1:18" ht="13.15" thickTop="1">
      <c r="B41" s="12"/>
    </row>
    <row r="42" spans="1:18" ht="13.15">
      <c r="B42" s="200" t="s">
        <v>19</v>
      </c>
      <c r="C42" s="200"/>
    </row>
    <row r="43" spans="1:18">
      <c r="A43" s="182">
        <f>A40+1</f>
        <v>20</v>
      </c>
      <c r="B43" s="12"/>
      <c r="C43" s="12" t="str">
        <f>C30</f>
        <v>Mains</v>
      </c>
      <c r="D43" s="182">
        <f>D30</f>
        <v>376</v>
      </c>
      <c r="F43" s="186">
        <f>'202203 Bk Depr Form 2.3'!R43</f>
        <v>1340442.0069701937</v>
      </c>
      <c r="J43" s="188"/>
      <c r="L43" s="189">
        <f>'Cap Ex 2021 Form 2.13'!G39</f>
        <v>35974.431530245136</v>
      </c>
      <c r="N43" s="188"/>
      <c r="P43" s="188"/>
      <c r="R43" s="188">
        <f>L43+F43</f>
        <v>1376416.4385004388</v>
      </c>
    </row>
    <row r="44" spans="1:18">
      <c r="A44" s="182">
        <f>A43+1</f>
        <v>21</v>
      </c>
      <c r="B44" s="12"/>
      <c r="C44" s="12" t="str">
        <f t="shared" ref="C44:D50" si="11">C31</f>
        <v>Mains - In-Line Inspections</v>
      </c>
      <c r="D44" s="182">
        <f t="shared" si="11"/>
        <v>376</v>
      </c>
      <c r="F44" s="186">
        <f>'202203 Bk Depr Form 2.3'!R44</f>
        <v>0</v>
      </c>
      <c r="J44" s="188"/>
      <c r="L44" s="189">
        <f>'Cap Ex 2021 Form 2.13'!G40</f>
        <v>0</v>
      </c>
      <c r="N44" s="188"/>
      <c r="P44" s="188"/>
      <c r="R44" s="188">
        <f>L44+F44</f>
        <v>0</v>
      </c>
    </row>
    <row r="45" spans="1:18">
      <c r="A45" s="182">
        <f>A44+1</f>
        <v>22</v>
      </c>
      <c r="B45" s="12"/>
      <c r="C45" s="12" t="str">
        <f t="shared" si="11"/>
        <v>Plant Regulators</v>
      </c>
      <c r="D45" s="182">
        <f t="shared" si="11"/>
        <v>378</v>
      </c>
      <c r="F45" s="186">
        <f>'202203 Bk Depr Form 2.3'!R45</f>
        <v>11568.028649236003</v>
      </c>
      <c r="J45" s="188"/>
      <c r="L45" s="189">
        <f>'Cap Ex 2021 Form 2.13'!G41</f>
        <v>400.08832340399999</v>
      </c>
      <c r="N45" s="188"/>
      <c r="P45" s="188"/>
      <c r="R45" s="188">
        <f>L45+F45</f>
        <v>11968.116972640002</v>
      </c>
    </row>
    <row r="46" spans="1:18">
      <c r="A46" s="182">
        <f t="shared" ref="A46:A50" si="12">A45+1</f>
        <v>23</v>
      </c>
      <c r="B46" s="12"/>
      <c r="C46" s="12" t="str">
        <f t="shared" si="11"/>
        <v>Plant Regulators - LP Program</v>
      </c>
      <c r="D46" s="182">
        <f t="shared" si="11"/>
        <v>378</v>
      </c>
      <c r="F46" s="186">
        <f>'202203 Bk Depr Form 2.3'!R46</f>
        <v>10279.780000000001</v>
      </c>
      <c r="J46" s="188"/>
      <c r="L46" s="189">
        <f>'Cap Ex 2021 Form 2.13'!G42</f>
        <v>0</v>
      </c>
      <c r="N46" s="188"/>
      <c r="P46" s="188"/>
      <c r="R46" s="188">
        <f t="shared" ref="R46:R49" si="13">L46+F46</f>
        <v>10279.780000000001</v>
      </c>
    </row>
    <row r="47" spans="1:18">
      <c r="A47" s="182">
        <f t="shared" si="12"/>
        <v>24</v>
      </c>
      <c r="B47" s="12"/>
      <c r="C47" s="12" t="str">
        <f t="shared" si="11"/>
        <v>Service Lines</v>
      </c>
      <c r="D47" s="182">
        <f t="shared" si="11"/>
        <v>380</v>
      </c>
      <c r="F47" s="186">
        <f>'202203 Bk Depr Form 2.3'!R47</f>
        <v>6245582.9321141755</v>
      </c>
      <c r="J47" s="188"/>
      <c r="L47" s="189">
        <f>'Cap Ex 2021 Form 2.13'!G43</f>
        <v>82571.231456449852</v>
      </c>
      <c r="N47" s="188"/>
      <c r="P47" s="188"/>
      <c r="R47" s="188">
        <f t="shared" si="13"/>
        <v>6328154.1635706257</v>
      </c>
    </row>
    <row r="48" spans="1:18">
      <c r="A48" s="182">
        <f t="shared" si="12"/>
        <v>25</v>
      </c>
      <c r="B48" s="12"/>
      <c r="C48" s="12" t="str">
        <f t="shared" si="11"/>
        <v>Meter Installations</v>
      </c>
      <c r="D48" s="182">
        <f t="shared" si="11"/>
        <v>382</v>
      </c>
      <c r="F48" s="186">
        <f>'202203 Bk Depr Form 2.3'!R48</f>
        <v>718.440010593539</v>
      </c>
      <c r="J48" s="188"/>
      <c r="L48" s="189">
        <f>'Cap Ex 2021 Form 2.13'!G44</f>
        <v>44.500194150000006</v>
      </c>
      <c r="N48" s="188"/>
      <c r="P48" s="188"/>
      <c r="R48" s="188">
        <f t="shared" si="13"/>
        <v>762.94020474353897</v>
      </c>
    </row>
    <row r="49" spans="1:18" s="193" customFormat="1">
      <c r="A49" s="182">
        <f t="shared" si="12"/>
        <v>26</v>
      </c>
      <c r="C49" s="12" t="str">
        <f t="shared" si="11"/>
        <v>House Regulators</v>
      </c>
      <c r="D49" s="182">
        <f t="shared" si="11"/>
        <v>383</v>
      </c>
      <c r="E49" s="194"/>
      <c r="F49" s="186">
        <f>'202203 Bk Depr Form 2.3'!R49</f>
        <v>74.113097300729422</v>
      </c>
      <c r="G49" s="194"/>
      <c r="I49" s="194"/>
      <c r="J49" s="186"/>
      <c r="K49" s="194"/>
      <c r="L49" s="189">
        <f>'Cap Ex 2021 Form 2.13'!G45</f>
        <v>4.5772089936738309</v>
      </c>
      <c r="M49" s="194"/>
      <c r="N49" s="186"/>
      <c r="O49" s="194"/>
      <c r="P49" s="186"/>
      <c r="Q49" s="194"/>
      <c r="R49" s="188">
        <f t="shared" si="13"/>
        <v>78.690306294403257</v>
      </c>
    </row>
    <row r="50" spans="1:18">
      <c r="A50" s="182">
        <f t="shared" si="12"/>
        <v>27</v>
      </c>
      <c r="B50" s="12"/>
      <c r="C50" s="12" t="str">
        <f t="shared" si="11"/>
        <v>GPS Devices</v>
      </c>
      <c r="D50" s="182">
        <f t="shared" si="11"/>
        <v>387</v>
      </c>
      <c r="F50" s="191">
        <f>'202203 Bk Depr Form 2.3'!R50</f>
        <v>0</v>
      </c>
      <c r="J50" s="188"/>
      <c r="L50" s="189">
        <f>'Cap Ex 2021 Form 2.13'!G46</f>
        <v>0</v>
      </c>
      <c r="N50" s="188"/>
      <c r="P50" s="188"/>
      <c r="R50" s="188">
        <f>L50+F50</f>
        <v>0</v>
      </c>
    </row>
    <row r="51" spans="1:18">
      <c r="A51" s="182">
        <f>A50+1</f>
        <v>28</v>
      </c>
      <c r="B51" s="12"/>
      <c r="C51" s="12" t="s">
        <v>23</v>
      </c>
      <c r="F51" s="192">
        <f>SUM(F43:F50)</f>
        <v>7608665.3008414991</v>
      </c>
      <c r="J51" s="192">
        <f>SUM(J43:J50)</f>
        <v>0</v>
      </c>
      <c r="L51" s="192">
        <f>SUM(L43:L50)</f>
        <v>118994.82871324266</v>
      </c>
      <c r="N51" s="192">
        <f>SUM(N43:N50)</f>
        <v>0</v>
      </c>
      <c r="P51" s="192">
        <f>SUM(P43:P50)</f>
        <v>0</v>
      </c>
      <c r="R51" s="192">
        <f>SUM(R43:R50)</f>
        <v>7727660.1295547429</v>
      </c>
    </row>
    <row r="53" spans="1:18">
      <c r="A53" s="182">
        <v>29</v>
      </c>
      <c r="C53" s="12" t="s">
        <v>276</v>
      </c>
      <c r="J53" s="219">
        <f>+J19+J20+J23+J31+J34+J30</f>
        <v>267324.45992248983</v>
      </c>
      <c r="N53" s="219">
        <f>+N19+N20+N23+N31+N34+N30</f>
        <v>1455.2246270434355</v>
      </c>
      <c r="P53" s="219">
        <f>+J53+N53</f>
        <v>268779.68454953324</v>
      </c>
    </row>
    <row r="54" spans="1:18">
      <c r="A54" s="182">
        <v>30</v>
      </c>
      <c r="C54" s="12" t="s">
        <v>277</v>
      </c>
      <c r="J54" s="219">
        <f>+J40-J53</f>
        <v>10486.000494960696</v>
      </c>
      <c r="N54" s="219">
        <f>+N40-N53</f>
        <v>46.304589489328009</v>
      </c>
      <c r="P54" s="219">
        <f>+P40-P53</f>
        <v>10532.305084450112</v>
      </c>
    </row>
  </sheetData>
  <pageMargins left="0.7" right="0.7" top="0.75" bottom="0.75" header="0.3" footer="0.3"/>
  <pageSetup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17</vt:i4>
      </vt:variant>
    </vt:vector>
  </HeadingPairs>
  <TitlesOfParts>
    <vt:vector size="38" baseType="lpstr">
      <vt:lpstr>SMRP Rider Calc Form 1.0</vt:lpstr>
      <vt:lpstr>Rev Req 2021 Form 1.1</vt:lpstr>
      <vt:lpstr>ROR Form 1.2</vt:lpstr>
      <vt:lpstr>Cap Ex 2021 Form 2.13</vt:lpstr>
      <vt:lpstr>Plant &amp; Book Depr Form 2.0</vt:lpstr>
      <vt:lpstr>202201 Bk Depr Form 2.1</vt:lpstr>
      <vt:lpstr>202202 Bk Depr Form 2.2</vt:lpstr>
      <vt:lpstr>202203 Bk Depr Form 2.3</vt:lpstr>
      <vt:lpstr>202204 Bk Depr Form 2.4</vt:lpstr>
      <vt:lpstr>202205 Bk Depr Form 2.5</vt:lpstr>
      <vt:lpstr>202206 Bk Depr Form 2.6</vt:lpstr>
      <vt:lpstr>202207 Bk Depr Form 2.7</vt:lpstr>
      <vt:lpstr>202208 Bk Depr Form 2.8</vt:lpstr>
      <vt:lpstr>202209 Bk Depr Form 2.9</vt:lpstr>
      <vt:lpstr>202210 Bk Depr Form 2.10</vt:lpstr>
      <vt:lpstr>202211 Bk Depr Form 2.11</vt:lpstr>
      <vt:lpstr>202212 Bk Depr Form 2.12</vt:lpstr>
      <vt:lpstr>Tax Depr Form 2.14 p.1</vt:lpstr>
      <vt:lpstr>Tax Depr Form 2.14 p.2</vt:lpstr>
      <vt:lpstr>Tax Depr Form 2.14 p.3</vt:lpstr>
      <vt:lpstr>Tax Depr Form 2.14 p.4</vt:lpstr>
      <vt:lpstr>'202201 Bk Depr Form 2.1'!Print_Area</vt:lpstr>
      <vt:lpstr>'202205 Bk Depr Form 2.5'!Print_Area</vt:lpstr>
      <vt:lpstr>'202206 Bk Depr Form 2.6'!Print_Area</vt:lpstr>
      <vt:lpstr>'202207 Bk Depr Form 2.7'!Print_Area</vt:lpstr>
      <vt:lpstr>'202208 Bk Depr Form 2.8'!Print_Area</vt:lpstr>
      <vt:lpstr>'202210 Bk Depr Form 2.10'!Print_Area</vt:lpstr>
      <vt:lpstr>'Cap Ex 2021 Form 2.13'!Print_Area</vt:lpstr>
      <vt:lpstr>'Plant &amp; Book Depr Form 2.0'!Print_Area</vt:lpstr>
      <vt:lpstr>'Rev Req 2021 Form 1.1'!Print_Area</vt:lpstr>
      <vt:lpstr>'ROR Form 1.2'!Print_Area</vt:lpstr>
      <vt:lpstr>'SMRP Rider Calc Form 1.0'!Print_Area</vt:lpstr>
      <vt:lpstr>'Tax Depr Form 2.14 p.1'!Print_Area</vt:lpstr>
      <vt:lpstr>'Tax Depr Form 2.14 p.2'!Print_Area</vt:lpstr>
      <vt:lpstr>'Tax Depr Form 2.14 p.3'!Print_Area</vt:lpstr>
      <vt:lpstr>'Tax Depr Form 2.14 p.1'!Print_Titles</vt:lpstr>
      <vt:lpstr>'Tax Depr Form 2.14 p.2'!Print_Titles</vt:lpstr>
      <vt:lpstr>'Tax Depr Form 2.14 p.3'!Print_Titles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2016-11-16T19:08:28Z</dcterms:created>
  <dcterms:modified xsi:type="dcterms:W3CDTF">2021-08-25T22:03:48Z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