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937117\AppData\Local\Temp\278\notes9E8BB0\"/>
    </mc:Choice>
  </mc:AlternateContent>
  <bookViews>
    <workbookView xWindow="-105" yWindow="-105" windowWidth="23250" windowHeight="14010" tabRatio="603"/>
  </bookViews>
  <sheets>
    <sheet name="WACC-FairRateReturn" sheetId="8" r:id="rId1"/>
    <sheet name="RateSettCapStruc" sheetId="4" r:id="rId2"/>
    <sheet name="Embed. Cost of Debt" sheetId="7" r:id="rId3"/>
  </sheets>
  <calcPr calcId="152511"/>
</workbook>
</file>

<file path=xl/calcChain.xml><?xml version="1.0" encoding="utf-8"?>
<calcChain xmlns="http://schemas.openxmlformats.org/spreadsheetml/2006/main">
  <c r="G66" i="7" l="1"/>
  <c r="G65" i="7"/>
  <c r="A54" i="7" l="1"/>
  <c r="I29" i="7"/>
  <c r="I14" i="7"/>
  <c r="I35" i="7" l="1"/>
  <c r="G21" i="4" l="1"/>
  <c r="C21" i="4"/>
  <c r="G62" i="7" l="1"/>
  <c r="G61" i="7"/>
  <c r="G60" i="7"/>
  <c r="G59" i="7"/>
  <c r="G58" i="7"/>
  <c r="G57" i="7"/>
  <c r="G56" i="7"/>
  <c r="G55" i="7"/>
  <c r="G54" i="7"/>
  <c r="E62" i="7"/>
  <c r="E61" i="7"/>
  <c r="E60" i="7"/>
  <c r="E59" i="7"/>
  <c r="E58" i="7"/>
  <c r="E57" i="7"/>
  <c r="E56" i="7"/>
  <c r="E55" i="7"/>
  <c r="E54" i="7"/>
  <c r="C62" i="7"/>
  <c r="C61" i="7"/>
  <c r="C60" i="7"/>
  <c r="C59" i="7"/>
  <c r="C58" i="7"/>
  <c r="C57" i="7"/>
  <c r="C56" i="7"/>
  <c r="C55" i="7"/>
  <c r="C54" i="7"/>
  <c r="A55" i="7"/>
  <c r="A56" i="7"/>
  <c r="A57" i="7"/>
  <c r="A58" i="7"/>
  <c r="A59" i="7"/>
  <c r="A60" i="7"/>
  <c r="A61" i="7"/>
  <c r="A62" i="7"/>
  <c r="G36" i="7"/>
  <c r="E36" i="7"/>
  <c r="C36" i="7"/>
  <c r="A36" i="7"/>
  <c r="G25" i="7"/>
  <c r="G31" i="7" s="1"/>
  <c r="E66" i="7"/>
  <c r="I66" i="7" s="1"/>
  <c r="C66" i="7"/>
  <c r="A66" i="7"/>
  <c r="E65" i="7"/>
  <c r="I65" i="7" s="1"/>
  <c r="C65" i="7"/>
  <c r="A65" i="7"/>
  <c r="G64" i="7"/>
  <c r="E64" i="7"/>
  <c r="C64" i="7"/>
  <c r="A64" i="7"/>
  <c r="G63" i="7"/>
  <c r="E63" i="7"/>
  <c r="C63" i="7"/>
  <c r="A63" i="7"/>
  <c r="I38" i="7"/>
  <c r="I37" i="7"/>
  <c r="I23" i="7"/>
  <c r="I55" i="7" l="1"/>
  <c r="I56" i="7"/>
  <c r="I57" i="7"/>
  <c r="I58" i="7"/>
  <c r="I64" i="7"/>
  <c r="I59" i="7"/>
  <c r="I63" i="7"/>
  <c r="I60" i="7"/>
  <c r="I61" i="7"/>
  <c r="I62" i="7"/>
  <c r="I54" i="7"/>
  <c r="G69" i="7"/>
  <c r="C20" i="4"/>
  <c r="C22" i="4" s="1"/>
  <c r="G20" i="4"/>
  <c r="G22" i="4" s="1"/>
  <c r="G40" i="7"/>
  <c r="K20" i="4" s="1"/>
  <c r="I36" i="7"/>
  <c r="O20" i="4"/>
  <c r="I69" i="7" l="1"/>
  <c r="I71" i="7" s="1"/>
  <c r="E19" i="8" l="1"/>
  <c r="C30" i="4" l="1"/>
  <c r="I15" i="7" l="1"/>
  <c r="I16" i="7"/>
  <c r="I17" i="7"/>
  <c r="I18" i="7"/>
  <c r="I19" i="7"/>
  <c r="I20" i="7"/>
  <c r="I21" i="7"/>
  <c r="I22" i="7"/>
  <c r="I25" i="7" l="1"/>
  <c r="O30" i="4"/>
  <c r="O22" i="4"/>
  <c r="K30" i="4"/>
  <c r="K22" i="4"/>
  <c r="G30" i="4"/>
  <c r="I31" i="7" l="1"/>
  <c r="I40" i="7" s="1"/>
  <c r="I42" i="7" s="1"/>
  <c r="I27" i="7"/>
  <c r="O32" i="4"/>
  <c r="O36" i="4" s="1"/>
  <c r="Q34" i="4" s="1"/>
  <c r="C20" i="8" s="1"/>
  <c r="G20" i="8" s="1"/>
  <c r="K32" i="4"/>
  <c r="K36" i="4" s="1"/>
  <c r="M34" i="4" s="1"/>
  <c r="G32" i="4"/>
  <c r="G36" i="4" s="1"/>
  <c r="I34" i="4" s="1"/>
  <c r="C32" i="4"/>
  <c r="C36" i="4" s="1"/>
  <c r="E34" i="4" s="1"/>
  <c r="I33" i="7" l="1"/>
  <c r="M30" i="4"/>
  <c r="I30" i="4"/>
  <c r="M21" i="4"/>
  <c r="Q30" i="4"/>
  <c r="C23" i="8" s="1"/>
  <c r="G23" i="8" s="1"/>
  <c r="M20" i="4"/>
  <c r="M22" i="4" s="1"/>
  <c r="I21" i="4"/>
  <c r="I20" i="4"/>
  <c r="Q21" i="4"/>
  <c r="E20" i="4"/>
  <c r="E21" i="4"/>
  <c r="E30" i="4"/>
  <c r="Q20" i="4"/>
  <c r="M32" i="4" l="1"/>
  <c r="M36" i="4" s="1"/>
  <c r="I22" i="4"/>
  <c r="I32" i="4" s="1"/>
  <c r="I36" i="4" s="1"/>
  <c r="Q22" i="4"/>
  <c r="C19" i="8" s="1"/>
  <c r="G19" i="8" s="1"/>
  <c r="G26" i="8" s="1"/>
  <c r="E22" i="4"/>
  <c r="E32" i="4" s="1"/>
  <c r="C26" i="8" l="1"/>
  <c r="Q32" i="4"/>
  <c r="Q36" i="4" s="1"/>
  <c r="E36" i="4" l="1"/>
</calcChain>
</file>

<file path=xl/sharedStrings.xml><?xml version="1.0" encoding="utf-8"?>
<sst xmlns="http://schemas.openxmlformats.org/spreadsheetml/2006/main" count="118" uniqueCount="70">
  <si>
    <t>Long-Term Debt</t>
  </si>
  <si>
    <t>Common Equity</t>
  </si>
  <si>
    <t xml:space="preserve">   Common Stock Issued</t>
  </si>
  <si>
    <t>Total Common Equity</t>
  </si>
  <si>
    <t>Ratesetting Capital Structure and Related Ratios</t>
  </si>
  <si>
    <t>Ratios</t>
  </si>
  <si>
    <t>Maturity</t>
  </si>
  <si>
    <t>Date</t>
  </si>
  <si>
    <t>Interest</t>
  </si>
  <si>
    <t>Rate</t>
  </si>
  <si>
    <t xml:space="preserve">Principal </t>
  </si>
  <si>
    <t>Value</t>
  </si>
  <si>
    <t>Expense</t>
  </si>
  <si>
    <t>Total Long-Term Debt</t>
  </si>
  <si>
    <t>Annual</t>
  </si>
  <si>
    <t>Cap. Struct.</t>
  </si>
  <si>
    <t>Weighted Average Cost of Capital and Fair Rate of Return</t>
  </si>
  <si>
    <t>Cost Rate</t>
  </si>
  <si>
    <t>Weighted</t>
  </si>
  <si>
    <t>Form of Capitalization</t>
  </si>
  <si>
    <t>Total Capitalization</t>
  </si>
  <si>
    <t xml:space="preserve"> Interest</t>
  </si>
  <si>
    <t>Embedded Cost of Long-Term Debt</t>
  </si>
  <si>
    <t>Debt Instrument</t>
  </si>
  <si>
    <t xml:space="preserve">   Long-Term Debt</t>
  </si>
  <si>
    <t xml:space="preserve">   Current Maturities - LT Debt</t>
  </si>
  <si>
    <t xml:space="preserve">   Additional Paid-In Capital</t>
  </si>
  <si>
    <t xml:space="preserve">   OCI</t>
  </si>
  <si>
    <t xml:space="preserve">   Retained Earnings</t>
  </si>
  <si>
    <t>Capital</t>
  </si>
  <si>
    <t>Structure</t>
  </si>
  <si>
    <t>Short-Term Debt</t>
  </si>
  <si>
    <t>Source:  Company provided information.</t>
  </si>
  <si>
    <t>Columbia Gas of Kentucky, Inc.</t>
  </si>
  <si>
    <t xml:space="preserve">(1)  13-month average short-term debt balance. </t>
  </si>
  <si>
    <t>Outstanding</t>
  </si>
  <si>
    <t>Amount</t>
  </si>
  <si>
    <t>Thirteen Month Average</t>
  </si>
  <si>
    <t>Total Permanent Capital</t>
  </si>
  <si>
    <t>Short-Term Debt (1)</t>
  </si>
  <si>
    <t>3.8425% Notes, due September 30, 2046</t>
  </si>
  <si>
    <t>4.6436% Notes, due December 31, 2048</t>
  </si>
  <si>
    <t>3.7485% Notes, due December 31, 2049</t>
  </si>
  <si>
    <t>Projected at August 31, 2021</t>
  </si>
  <si>
    <t>Projected at December 31, 2022</t>
  </si>
  <si>
    <t>December 31, 2022</t>
  </si>
  <si>
    <t>Thirteen Month Average through December 31, 2022</t>
  </si>
  <si>
    <t>Long-Term Debt at December 31, 2022</t>
  </si>
  <si>
    <t>13-Month Average through December 31, 2022</t>
  </si>
  <si>
    <t>Actual at February 28, 2021</t>
  </si>
  <si>
    <t>Actual at February 28, 2021 and Projected at August 31, 2021 and December 31, 2022</t>
  </si>
  <si>
    <t>Long-Term Debt at February 28, 2021</t>
  </si>
  <si>
    <t>Long-Term Debt at August 31, 2021</t>
  </si>
  <si>
    <t>4.4300% Notes, due December 16, 2044</t>
  </si>
  <si>
    <t>6.2000% Notes, due December 23, 2043</t>
  </si>
  <si>
    <t>5.7700% Notes, due January 7, 2043</t>
  </si>
  <si>
    <t>6.0200% Notes, due December 16, 2030</t>
  </si>
  <si>
    <t>5.9200% Notes, due January 5, 2026</t>
  </si>
  <si>
    <t>6.0150% Notes, due November 1, 2021</t>
  </si>
  <si>
    <t>3.9000% Notes, due June 30, 2051</t>
  </si>
  <si>
    <t>3.9000% Notes, due September 30, 2051</t>
  </si>
  <si>
    <t>4.0000% Notes, due March 31, 2052</t>
  </si>
  <si>
    <t>4.0000% Notes, due June 30, 2052</t>
  </si>
  <si>
    <t>3.1742% Notes, due June 30, 2050</t>
  </si>
  <si>
    <t>Attachment VVR-2</t>
  </si>
  <si>
    <t>Page 1 of 1</t>
  </si>
  <si>
    <t>Attachment VVR-5</t>
  </si>
  <si>
    <t>Attachment VVR-6</t>
  </si>
  <si>
    <t>Vincent V. Rea</t>
  </si>
  <si>
    <t>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</si>
</sst>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%"/>
    <numFmt numFmtId="168" formatCode="&quot;Estimated at &quot;[$-409]mmmm\ d\,\ yyyy;@"/>
    <numFmt numFmtId="169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sto MT"/>
      <family val="1"/>
    </font>
    <font>
      <sz val="11"/>
      <name val="Calisto MT"/>
      <family val="1"/>
    </font>
    <font>
      <b/>
      <sz val="11"/>
      <name val="Calisto MT"/>
      <family val="1"/>
    </font>
    <font>
      <sz val="9"/>
      <name val="Calisto MT"/>
      <family val="1"/>
    </font>
    <font>
      <b/>
      <sz val="12"/>
      <name val="Calisto MT"/>
      <family val="1"/>
    </font>
    <font>
      <b/>
      <sz val="8"/>
      <name val="Calisto MT"/>
      <family val="1"/>
    </font>
    <font>
      <u/>
      <sz val="11"/>
      <name val="Calisto MT"/>
      <family val="1"/>
    </font>
    <font>
      <sz val="12"/>
      <name val="Calisto MT"/>
      <family val="1"/>
    </font>
    <font>
      <sz val="13"/>
      <name val="Calisto MT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/>
    <xf numFmtId="0" fontId="6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1" applyNumberFormat="1" applyFont="1" applyBorder="1"/>
    <xf numFmtId="10" fontId="3" fillId="0" borderId="0" xfId="2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2" xfId="0" applyFont="1" applyFill="1" applyBorder="1"/>
    <xf numFmtId="164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64" fontId="5" fillId="0" borderId="2" xfId="0" quotePrefix="1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0" fontId="3" fillId="0" borderId="1" xfId="2" applyNumberFormat="1" applyFont="1" applyFill="1" applyBorder="1" applyAlignment="1">
      <alignment horizontal="right"/>
    </xf>
    <xf numFmtId="0" fontId="4" fillId="0" borderId="0" xfId="0" applyFont="1" applyBorder="1"/>
    <xf numFmtId="164" fontId="3" fillId="0" borderId="0" xfId="0" applyNumberFormat="1" applyFont="1" applyBorder="1"/>
    <xf numFmtId="0" fontId="5" fillId="0" borderId="0" xfId="0" quotePrefix="1" applyFont="1" applyBorder="1"/>
    <xf numFmtId="164" fontId="5" fillId="0" borderId="0" xfId="1" applyNumberFormat="1" applyFont="1" applyBorder="1"/>
    <xf numFmtId="0" fontId="5" fillId="0" borderId="0" xfId="0" applyFont="1" applyBorder="1"/>
    <xf numFmtId="0" fontId="5" fillId="0" borderId="0" xfId="0" applyFont="1"/>
    <xf numFmtId="0" fontId="3" fillId="0" borderId="0" xfId="0" quotePrefix="1" applyFont="1" applyBorder="1"/>
    <xf numFmtId="0" fontId="3" fillId="0" borderId="0" xfId="0" quotePrefix="1" applyFont="1"/>
    <xf numFmtId="0" fontId="10" fillId="0" borderId="0" xfId="0" applyFont="1"/>
    <xf numFmtId="164" fontId="3" fillId="0" borderId="0" xfId="1" applyNumberFormat="1" applyFont="1" applyFill="1" applyBorder="1"/>
    <xf numFmtId="166" fontId="3" fillId="0" borderId="0" xfId="3" applyNumberFormat="1" applyFont="1" applyFill="1" applyBorder="1"/>
    <xf numFmtId="165" fontId="3" fillId="0" borderId="0" xfId="1" applyNumberFormat="1" applyFont="1" applyFill="1"/>
    <xf numFmtId="0" fontId="3" fillId="0" borderId="0" xfId="0" quotePrefix="1" applyFont="1" applyFill="1"/>
    <xf numFmtId="164" fontId="3" fillId="0" borderId="0" xfId="1" applyNumberFormat="1" applyFont="1" applyFill="1"/>
    <xf numFmtId="43" fontId="3" fillId="0" borderId="0" xfId="1" applyFont="1" applyFill="1" applyBorder="1" applyAlignment="1">
      <alignment horizontal="right"/>
    </xf>
    <xf numFmtId="44" fontId="3" fillId="0" borderId="0" xfId="1" applyNumberFormat="1" applyFont="1" applyFill="1"/>
    <xf numFmtId="166" fontId="3" fillId="0" borderId="1" xfId="1" applyNumberFormat="1" applyFont="1" applyFill="1" applyBorder="1"/>
    <xf numFmtId="0" fontId="3" fillId="0" borderId="1" xfId="0" applyFont="1" applyFill="1" applyBorder="1"/>
    <xf numFmtId="164" fontId="3" fillId="0" borderId="1" xfId="1" applyNumberFormat="1" applyFont="1" applyFill="1" applyBorder="1"/>
    <xf numFmtId="10" fontId="3" fillId="0" borderId="0" xfId="2" applyNumberFormat="1" applyFont="1" applyFill="1" applyBorder="1"/>
    <xf numFmtId="0" fontId="2" fillId="0" borderId="0" xfId="0" applyFont="1"/>
    <xf numFmtId="5" fontId="2" fillId="0" borderId="0" xfId="0" applyNumberFormat="1" applyFont="1" applyAlignment="1">
      <alignment horizontal="center"/>
    </xf>
    <xf numFmtId="5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Border="1"/>
    <xf numFmtId="5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0" xfId="1" applyNumberFormat="1" applyFont="1" applyFill="1" applyAlignment="1">
      <alignment horizontal="center"/>
    </xf>
    <xf numFmtId="42" fontId="2" fillId="0" borderId="0" xfId="0" applyNumberFormat="1" applyFont="1" applyFill="1" applyBorder="1"/>
    <xf numFmtId="0" fontId="11" fillId="0" borderId="0" xfId="0" applyFont="1"/>
    <xf numFmtId="5" fontId="11" fillId="0" borderId="0" xfId="0" applyNumberFormat="1" applyFont="1" applyAlignment="1">
      <alignment horizontal="center"/>
    </xf>
    <xf numFmtId="5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2" fillId="0" borderId="0" xfId="0" applyFont="1"/>
    <xf numFmtId="5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64" fontId="2" fillId="0" borderId="0" xfId="0" applyNumberFormat="1" applyFont="1"/>
    <xf numFmtId="164" fontId="12" fillId="0" borderId="0" xfId="0" applyNumberFormat="1" applyFont="1"/>
    <xf numFmtId="43" fontId="3" fillId="0" borderId="0" xfId="0" applyNumberFormat="1" applyFont="1"/>
    <xf numFmtId="10" fontId="3" fillId="0" borderId="2" xfId="0" applyNumberFormat="1" applyFont="1" applyFill="1" applyBorder="1" applyAlignment="1">
      <alignment horizontal="right"/>
    </xf>
    <xf numFmtId="10" fontId="3" fillId="0" borderId="2" xfId="2" applyNumberFormat="1" applyFont="1" applyFill="1" applyBorder="1" applyAlignment="1">
      <alignment horizontal="right"/>
    </xf>
    <xf numFmtId="164" fontId="3" fillId="0" borderId="2" xfId="1" applyNumberFormat="1" applyFont="1" applyFill="1" applyBorder="1"/>
    <xf numFmtId="0" fontId="3" fillId="0" borderId="0" xfId="0" quotePrefix="1" applyFont="1" applyFill="1" applyBorder="1"/>
    <xf numFmtId="166" fontId="3" fillId="0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3" fillId="0" borderId="1" xfId="3" applyNumberFormat="1" applyFont="1" applyFill="1" applyBorder="1"/>
    <xf numFmtId="10" fontId="3" fillId="0" borderId="0" xfId="2" applyNumberFormat="1" applyFont="1" applyFill="1" applyAlignment="1">
      <alignment horizontal="right"/>
    </xf>
    <xf numFmtId="166" fontId="3" fillId="0" borderId="0" xfId="3" applyNumberFormat="1" applyFont="1" applyFill="1"/>
    <xf numFmtId="10" fontId="3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44" fontId="3" fillId="0" borderId="0" xfId="1" applyNumberFormat="1" applyFont="1" applyFill="1" applyBorder="1"/>
    <xf numFmtId="0" fontId="5" fillId="0" borderId="0" xfId="0" quotePrefix="1" applyFont="1" applyFill="1" applyBorder="1"/>
    <xf numFmtId="164" fontId="5" fillId="0" borderId="0" xfId="1" applyNumberFormat="1" applyFont="1" applyFill="1" applyBorder="1"/>
    <xf numFmtId="166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/>
    <xf numFmtId="0" fontId="4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0" xfId="0" applyFont="1" applyFill="1" applyBorder="1"/>
    <xf numFmtId="166" fontId="5" fillId="0" borderId="0" xfId="3" applyNumberFormat="1" applyFont="1" applyFill="1" applyBorder="1"/>
    <xf numFmtId="166" fontId="5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1" xfId="0" applyFont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7" fontId="3" fillId="0" borderId="0" xfId="2" applyNumberFormat="1" applyFont="1" applyFill="1" applyBorder="1" applyAlignment="1">
      <alignment horizontal="right"/>
    </xf>
    <xf numFmtId="0" fontId="3" fillId="0" borderId="1" xfId="0" quotePrefix="1" applyFont="1" applyFill="1" applyBorder="1"/>
    <xf numFmtId="166" fontId="3" fillId="0" borderId="1" xfId="3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164" fontId="3" fillId="0" borderId="0" xfId="0" quotePrefix="1" applyNumberFormat="1" applyFont="1" applyFill="1" applyBorder="1"/>
    <xf numFmtId="0" fontId="3" fillId="0" borderId="3" xfId="0" applyFont="1" applyFill="1" applyBorder="1"/>
    <xf numFmtId="10" fontId="3" fillId="0" borderId="4" xfId="2" applyNumberFormat="1" applyFont="1" applyFill="1" applyBorder="1"/>
    <xf numFmtId="169" fontId="3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4" fontId="3" fillId="0" borderId="0" xfId="0" quotePrefix="1" applyNumberFormat="1" applyFont="1" applyFill="1" applyBorder="1" applyAlignment="1">
      <alignment horizontal="right"/>
    </xf>
    <xf numFmtId="2" fontId="3" fillId="0" borderId="0" xfId="2" applyNumberFormat="1" applyFont="1" applyFill="1" applyBorder="1"/>
    <xf numFmtId="0" fontId="3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quotePrefix="1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</cellXfs>
  <cellStyles count="6">
    <cellStyle name="Comma" xfId="1" builtinId="3"/>
    <cellStyle name="Comma 6" xfId="5"/>
    <cellStyle name="Currency" xfId="3" builtinId="4"/>
    <cellStyle name="Normal" xfId="0" builtinId="0"/>
    <cellStyle name="Normal 8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6"/>
  <sheetViews>
    <sheetView tabSelected="1" workbookViewId="0">
      <selection activeCell="H5" sqref="H5"/>
    </sheetView>
  </sheetViews>
  <sheetFormatPr defaultColWidth="9.140625" defaultRowHeight="14.25" x14ac:dyDescent="0.2"/>
  <cols>
    <col min="1" max="1" width="23" style="3" customWidth="1"/>
    <col min="2" max="2" width="3.140625" style="3" customWidth="1"/>
    <col min="3" max="3" width="13.28515625" style="3" customWidth="1"/>
    <col min="4" max="4" width="2.7109375" style="3" customWidth="1"/>
    <col min="5" max="5" width="13.7109375" style="3" customWidth="1"/>
    <col min="6" max="6" width="2.7109375" style="3" customWidth="1"/>
    <col min="7" max="7" width="16.85546875" style="3" bestFit="1" customWidth="1"/>
    <col min="8" max="8" width="13.7109375" style="3" customWidth="1"/>
    <col min="9" max="9" width="12.28515625" style="3" customWidth="1"/>
    <col min="10" max="16384" width="9.140625" style="3"/>
  </cols>
  <sheetData>
    <row r="1" spans="1:10" x14ac:dyDescent="0.2">
      <c r="G1" s="56" t="s">
        <v>68</v>
      </c>
    </row>
    <row r="2" spans="1:10" x14ac:dyDescent="0.2">
      <c r="G2" s="56" t="s">
        <v>69</v>
      </c>
    </row>
    <row r="3" spans="1:10" x14ac:dyDescent="0.2">
      <c r="G3" s="90" t="s">
        <v>64</v>
      </c>
    </row>
    <row r="4" spans="1:10" x14ac:dyDescent="0.2">
      <c r="G4" s="90" t="s">
        <v>65</v>
      </c>
    </row>
    <row r="5" spans="1:10" x14ac:dyDescent="0.2">
      <c r="I5" s="90"/>
    </row>
    <row r="6" spans="1:10" x14ac:dyDescent="0.2">
      <c r="A6" s="115" t="s">
        <v>33</v>
      </c>
      <c r="B6" s="115"/>
      <c r="C6" s="115"/>
      <c r="D6" s="115"/>
      <c r="E6" s="115"/>
      <c r="F6" s="115"/>
      <c r="G6" s="115"/>
      <c r="H6" s="88"/>
    </row>
    <row r="7" spans="1:10" x14ac:dyDescent="0.2">
      <c r="H7" s="88"/>
    </row>
    <row r="8" spans="1:10" x14ac:dyDescent="0.2">
      <c r="A8" s="115" t="s">
        <v>16</v>
      </c>
      <c r="B8" s="115"/>
      <c r="C8" s="115"/>
      <c r="D8" s="115"/>
      <c r="E8" s="115"/>
      <c r="F8" s="115"/>
      <c r="G8" s="115"/>
      <c r="H8" s="88"/>
      <c r="I8" s="88"/>
    </row>
    <row r="9" spans="1:10" x14ac:dyDescent="0.2">
      <c r="A9" s="116" t="s">
        <v>48</v>
      </c>
      <c r="B9" s="116"/>
      <c r="C9" s="116"/>
      <c r="D9" s="116"/>
      <c r="E9" s="116"/>
      <c r="F9" s="116"/>
      <c r="G9" s="116"/>
      <c r="H9" s="88"/>
      <c r="I9" s="88"/>
    </row>
    <row r="10" spans="1:10" ht="15.75" x14ac:dyDescent="0.25">
      <c r="A10" s="10"/>
      <c r="B10" s="10"/>
      <c r="C10" s="10"/>
      <c r="D10" s="10"/>
      <c r="E10" s="10"/>
      <c r="F10" s="10"/>
      <c r="G10" s="10"/>
    </row>
    <row r="11" spans="1:10" ht="15.75" x14ac:dyDescent="0.25">
      <c r="B11" s="10"/>
      <c r="C11" s="10"/>
      <c r="D11" s="10"/>
      <c r="E11" s="10"/>
      <c r="F11" s="10"/>
      <c r="G11" s="10"/>
    </row>
    <row r="12" spans="1:10" ht="15.75" x14ac:dyDescent="0.25">
      <c r="B12" s="10"/>
      <c r="C12" s="10"/>
      <c r="D12" s="10"/>
      <c r="E12" s="10"/>
      <c r="F12" s="10"/>
      <c r="G12" s="10"/>
    </row>
    <row r="13" spans="1:10" ht="15.75" x14ac:dyDescent="0.25">
      <c r="A13" s="91"/>
      <c r="B13" s="10"/>
      <c r="C13" s="10"/>
      <c r="D13" s="10"/>
      <c r="E13" s="10"/>
      <c r="F13" s="10"/>
      <c r="G13" s="10"/>
    </row>
    <row r="14" spans="1:10" ht="15.75" x14ac:dyDescent="0.25">
      <c r="A14" s="10"/>
      <c r="B14" s="10"/>
      <c r="C14" s="88"/>
      <c r="D14" s="10"/>
      <c r="E14" s="10"/>
      <c r="F14" s="10"/>
      <c r="G14" s="10"/>
    </row>
    <row r="15" spans="1:10" ht="15.75" x14ac:dyDescent="0.25">
      <c r="A15" s="92"/>
      <c r="B15" s="10"/>
      <c r="C15" s="88" t="s">
        <v>15</v>
      </c>
      <c r="D15" s="10"/>
      <c r="E15" s="88"/>
      <c r="F15" s="10"/>
      <c r="G15" s="88" t="s">
        <v>18</v>
      </c>
      <c r="H15" s="19"/>
      <c r="I15" s="18"/>
      <c r="J15" s="19"/>
    </row>
    <row r="16" spans="1:10" x14ac:dyDescent="0.2">
      <c r="A16" s="23" t="s">
        <v>19</v>
      </c>
      <c r="B16" s="23"/>
      <c r="C16" s="16" t="s">
        <v>5</v>
      </c>
      <c r="D16" s="93"/>
      <c r="E16" s="16" t="s">
        <v>17</v>
      </c>
      <c r="F16" s="16"/>
      <c r="G16" s="16" t="s">
        <v>17</v>
      </c>
      <c r="H16" s="19"/>
      <c r="I16" s="18"/>
      <c r="J16" s="19"/>
    </row>
    <row r="17" spans="1:13" x14ac:dyDescent="0.2">
      <c r="A17" s="19"/>
      <c r="B17" s="19"/>
      <c r="C17" s="18"/>
      <c r="D17" s="77"/>
      <c r="E17" s="18"/>
      <c r="F17" s="18"/>
      <c r="G17" s="18"/>
      <c r="H17" s="19"/>
      <c r="I17" s="18"/>
      <c r="J17" s="19"/>
    </row>
    <row r="18" spans="1:13" x14ac:dyDescent="0.2">
      <c r="A18" s="19"/>
      <c r="B18" s="19"/>
      <c r="C18" s="18"/>
      <c r="D18" s="77"/>
      <c r="E18" s="18"/>
      <c r="F18" s="19"/>
      <c r="G18" s="18"/>
      <c r="H18" s="19"/>
      <c r="I18" s="18"/>
      <c r="J18" s="19"/>
    </row>
    <row r="19" spans="1:13" x14ac:dyDescent="0.2">
      <c r="A19" s="19" t="s">
        <v>0</v>
      </c>
      <c r="B19" s="19"/>
      <c r="C19" s="21">
        <f>RateSettCapStruc!Q22</f>
        <v>0.44248999999999999</v>
      </c>
      <c r="D19" s="40"/>
      <c r="E19" s="21">
        <f>'Embed. Cost of Debt'!I71</f>
        <v>4.5629999999999997E-2</v>
      </c>
      <c r="F19" s="22"/>
      <c r="G19" s="21">
        <f>ROUND(C19*E19,4)</f>
        <v>2.0199999999999999E-2</v>
      </c>
      <c r="H19" s="19"/>
      <c r="I19" s="18"/>
      <c r="J19" s="19"/>
    </row>
    <row r="20" spans="1:13" x14ac:dyDescent="0.2">
      <c r="A20" s="23" t="s">
        <v>31</v>
      </c>
      <c r="B20" s="23"/>
      <c r="C20" s="72">
        <f>RateSettCapStruc!Q34</f>
        <v>3.1099999999999999E-2</v>
      </c>
      <c r="D20" s="23"/>
      <c r="E20" s="72">
        <v>1.4E-2</v>
      </c>
      <c r="F20" s="23"/>
      <c r="G20" s="73">
        <f>ROUND(C20*E20,4)</f>
        <v>4.0000000000000002E-4</v>
      </c>
      <c r="H20" s="19"/>
      <c r="I20" s="114"/>
      <c r="J20" s="19"/>
    </row>
    <row r="21" spans="1:13" x14ac:dyDescent="0.2">
      <c r="A21" s="19"/>
      <c r="B21" s="19"/>
      <c r="C21" s="21"/>
      <c r="D21" s="40"/>
      <c r="E21" s="21"/>
      <c r="F21" s="22"/>
      <c r="G21" s="21"/>
      <c r="H21" s="19"/>
      <c r="I21" s="50"/>
      <c r="J21" s="19"/>
    </row>
    <row r="22" spans="1:13" x14ac:dyDescent="0.2">
      <c r="A22" s="19"/>
      <c r="B22" s="19"/>
      <c r="C22" s="21"/>
      <c r="D22" s="40"/>
      <c r="E22" s="24"/>
      <c r="F22" s="22"/>
      <c r="G22" s="25"/>
      <c r="H22" s="19"/>
      <c r="I22" s="50"/>
      <c r="J22" s="19"/>
    </row>
    <row r="23" spans="1:13" x14ac:dyDescent="0.2">
      <c r="A23" s="23" t="s">
        <v>3</v>
      </c>
      <c r="B23" s="23"/>
      <c r="C23" s="73">
        <f>RateSettCapStruc!Q30</f>
        <v>0.52641000000000004</v>
      </c>
      <c r="D23" s="74"/>
      <c r="E23" s="73">
        <v>0.10299999999999999</v>
      </c>
      <c r="F23" s="26"/>
      <c r="G23" s="73">
        <f>ROUND(C23*E23,4)</f>
        <v>5.4199999999999998E-2</v>
      </c>
      <c r="H23" s="19"/>
      <c r="I23" s="50"/>
      <c r="J23" s="19"/>
      <c r="K23" s="19"/>
      <c r="L23" s="19"/>
      <c r="M23" s="19"/>
    </row>
    <row r="24" spans="1:13" x14ac:dyDescent="0.2">
      <c r="A24" s="19"/>
      <c r="B24" s="19"/>
      <c r="C24" s="21"/>
      <c r="D24" s="40"/>
      <c r="E24" s="21"/>
      <c r="F24" s="27"/>
      <c r="G24" s="21"/>
      <c r="H24" s="19"/>
      <c r="I24" s="50"/>
      <c r="J24" s="19"/>
      <c r="K24" s="19"/>
      <c r="L24" s="19"/>
      <c r="M24" s="19"/>
    </row>
    <row r="25" spans="1:13" x14ac:dyDescent="0.2">
      <c r="A25" s="19"/>
      <c r="B25" s="19"/>
      <c r="C25" s="21"/>
      <c r="D25" s="40"/>
      <c r="E25" s="24"/>
      <c r="F25" s="27"/>
      <c r="G25" s="25"/>
      <c r="H25" s="19"/>
      <c r="I25" s="50"/>
      <c r="J25" s="19"/>
      <c r="K25" s="19"/>
      <c r="L25" s="19"/>
      <c r="M25" s="19"/>
    </row>
    <row r="26" spans="1:13" x14ac:dyDescent="0.2">
      <c r="A26" s="48" t="s">
        <v>20</v>
      </c>
      <c r="B26" s="48"/>
      <c r="C26" s="30">
        <f>C19+C20+C23</f>
        <v>1</v>
      </c>
      <c r="D26" s="49"/>
      <c r="E26" s="28"/>
      <c r="F26" s="29"/>
      <c r="G26" s="30">
        <f>ROUND(G19+G20+G23,4)</f>
        <v>7.4800000000000005E-2</v>
      </c>
      <c r="H26" s="19"/>
      <c r="I26" s="50"/>
      <c r="J26" s="19"/>
      <c r="K26" s="19"/>
      <c r="L26" s="19"/>
      <c r="M26" s="19"/>
    </row>
    <row r="27" spans="1:13" x14ac:dyDescent="0.2">
      <c r="A27" s="82"/>
      <c r="B27" s="19"/>
      <c r="C27" s="83"/>
      <c r="D27" s="40"/>
      <c r="E27" s="94"/>
      <c r="F27" s="87"/>
      <c r="H27" s="19"/>
      <c r="I27" s="19"/>
      <c r="J27" s="19"/>
      <c r="K27" s="19"/>
      <c r="L27" s="19"/>
      <c r="M27" s="19"/>
    </row>
    <row r="28" spans="1:13" x14ac:dyDescent="0.2">
      <c r="B28" s="19"/>
      <c r="C28" s="40"/>
      <c r="D28" s="40"/>
      <c r="E28" s="22"/>
      <c r="F28" s="87"/>
      <c r="H28" s="19"/>
      <c r="I28" s="19"/>
      <c r="J28" s="19"/>
    </row>
    <row r="29" spans="1:13" x14ac:dyDescent="0.2">
      <c r="A29" s="84"/>
      <c r="B29" s="19"/>
      <c r="C29" s="40"/>
      <c r="D29" s="40"/>
      <c r="E29" s="22"/>
      <c r="F29" s="87"/>
      <c r="H29" s="19"/>
      <c r="I29" s="19"/>
      <c r="J29" s="19"/>
    </row>
    <row r="30" spans="1:13" x14ac:dyDescent="0.2">
      <c r="B30" s="84"/>
      <c r="C30" s="19"/>
      <c r="D30" s="85"/>
      <c r="E30" s="95"/>
      <c r="F30" s="95"/>
      <c r="G30" s="96"/>
      <c r="H30" s="96"/>
      <c r="I30" s="19"/>
      <c r="J30" s="19"/>
    </row>
    <row r="31" spans="1:13" x14ac:dyDescent="0.2">
      <c r="A31" s="56"/>
      <c r="B31" s="84"/>
      <c r="C31" s="19"/>
      <c r="D31" s="85"/>
      <c r="E31" s="95"/>
      <c r="F31" s="95"/>
      <c r="G31" s="97"/>
      <c r="H31" s="96"/>
      <c r="I31" s="19"/>
      <c r="J31" s="19"/>
    </row>
    <row r="32" spans="1:13" x14ac:dyDescent="0.2">
      <c r="A32" s="82"/>
      <c r="B32" s="84"/>
      <c r="C32" s="19"/>
      <c r="D32" s="85"/>
      <c r="E32" s="95"/>
      <c r="F32" s="95"/>
      <c r="G32" s="85"/>
      <c r="H32" s="96"/>
      <c r="I32" s="19"/>
      <c r="J32" s="19"/>
    </row>
    <row r="33" spans="1:10" x14ac:dyDescent="0.2">
      <c r="A33" s="19"/>
      <c r="B33" s="84"/>
      <c r="C33" s="19"/>
      <c r="D33" s="85"/>
      <c r="E33" s="95"/>
      <c r="F33" s="95"/>
      <c r="G33" s="85"/>
      <c r="H33" s="96"/>
      <c r="I33" s="19"/>
      <c r="J33" s="19"/>
    </row>
    <row r="34" spans="1:10" x14ac:dyDescent="0.2">
      <c r="B34" s="84"/>
      <c r="C34" s="19"/>
      <c r="D34" s="85"/>
      <c r="E34" s="95"/>
      <c r="F34" s="95"/>
      <c r="G34" s="85"/>
      <c r="H34" s="96"/>
      <c r="I34" s="19"/>
      <c r="J34" s="19"/>
    </row>
    <row r="35" spans="1:10" x14ac:dyDescent="0.2">
      <c r="A35" s="82"/>
      <c r="B35" s="84"/>
      <c r="C35" s="96"/>
      <c r="D35" s="85"/>
      <c r="E35" s="95"/>
      <c r="F35" s="95"/>
      <c r="G35" s="98"/>
      <c r="H35" s="96"/>
      <c r="I35" s="19"/>
      <c r="J35" s="19"/>
    </row>
    <row r="36" spans="1:10" x14ac:dyDescent="0.2">
      <c r="A36" s="19"/>
      <c r="B36" s="19"/>
      <c r="C36" s="40"/>
      <c r="D36" s="40"/>
      <c r="E36" s="22"/>
      <c r="F36" s="22"/>
      <c r="G36" s="19"/>
      <c r="H36" s="19"/>
      <c r="I36" s="19"/>
      <c r="J36" s="19"/>
    </row>
    <row r="37" spans="1:10" x14ac:dyDescent="0.2">
      <c r="B37" s="19"/>
      <c r="C37" s="40"/>
      <c r="D37" s="40"/>
      <c r="E37" s="22"/>
      <c r="F37" s="87"/>
    </row>
    <row r="38" spans="1:10" x14ac:dyDescent="0.2">
      <c r="B38" s="19"/>
      <c r="C38" s="40"/>
      <c r="D38" s="40"/>
      <c r="E38" s="22"/>
      <c r="F38" s="87"/>
    </row>
    <row r="39" spans="1:10" x14ac:dyDescent="0.2">
      <c r="B39" s="19"/>
      <c r="C39" s="40"/>
      <c r="D39" s="40"/>
      <c r="E39" s="22"/>
      <c r="F39" s="87"/>
    </row>
    <row r="40" spans="1:10" x14ac:dyDescent="0.2">
      <c r="A40" s="19"/>
      <c r="B40" s="19"/>
      <c r="C40" s="40"/>
      <c r="D40" s="40"/>
      <c r="E40" s="22"/>
      <c r="F40" s="87"/>
    </row>
    <row r="41" spans="1:10" x14ac:dyDescent="0.2">
      <c r="A41" s="19"/>
      <c r="B41" s="19"/>
      <c r="C41" s="40"/>
      <c r="D41" s="40"/>
      <c r="E41" s="22"/>
      <c r="F41" s="87"/>
    </row>
    <row r="42" spans="1:10" x14ac:dyDescent="0.2">
      <c r="A42" s="82"/>
      <c r="B42" s="19"/>
      <c r="C42" s="40"/>
      <c r="D42" s="40"/>
      <c r="E42" s="22"/>
      <c r="F42" s="87"/>
    </row>
    <row r="43" spans="1:10" x14ac:dyDescent="0.2">
      <c r="A43" s="75"/>
      <c r="B43" s="19"/>
      <c r="C43" s="40"/>
      <c r="D43" s="40"/>
      <c r="E43" s="22"/>
      <c r="F43" s="87"/>
    </row>
    <row r="44" spans="1:10" x14ac:dyDescent="0.2">
      <c r="B44" s="19"/>
      <c r="C44" s="40"/>
      <c r="D44" s="40"/>
      <c r="E44" s="22"/>
      <c r="F44" s="87"/>
    </row>
    <row r="45" spans="1:10" x14ac:dyDescent="0.2">
      <c r="A45" s="75"/>
      <c r="B45" s="19"/>
      <c r="C45" s="22"/>
      <c r="D45" s="22"/>
      <c r="E45" s="22"/>
      <c r="F45" s="87"/>
    </row>
    <row r="46" spans="1:10" x14ac:dyDescent="0.2">
      <c r="A46" s="75"/>
      <c r="B46" s="19"/>
      <c r="C46" s="22"/>
      <c r="D46" s="22"/>
      <c r="E46" s="22"/>
      <c r="F46" s="87"/>
    </row>
    <row r="47" spans="1:10" x14ac:dyDescent="0.2">
      <c r="A47" s="75"/>
      <c r="B47" s="19"/>
      <c r="C47" s="22"/>
      <c r="D47" s="22"/>
      <c r="E47" s="22"/>
      <c r="F47" s="87"/>
    </row>
    <row r="48" spans="1:10" x14ac:dyDescent="0.2">
      <c r="A48" s="75"/>
      <c r="B48" s="19"/>
      <c r="C48" s="19"/>
      <c r="D48" s="19"/>
      <c r="E48" s="19"/>
    </row>
    <row r="49" spans="1:5" x14ac:dyDescent="0.2">
      <c r="A49" s="75"/>
      <c r="B49" s="19"/>
      <c r="C49" s="19"/>
      <c r="D49" s="19"/>
      <c r="E49" s="19"/>
    </row>
    <row r="50" spans="1:5" x14ac:dyDescent="0.2">
      <c r="A50" s="75"/>
      <c r="B50" s="19"/>
      <c r="C50" s="19"/>
      <c r="D50" s="19"/>
      <c r="E50" s="19"/>
    </row>
    <row r="51" spans="1:5" x14ac:dyDescent="0.2">
      <c r="A51" s="19"/>
      <c r="B51" s="19"/>
      <c r="C51" s="19"/>
      <c r="D51" s="19"/>
      <c r="E51" s="19"/>
    </row>
    <row r="55" spans="1:5" x14ac:dyDescent="0.2">
      <c r="A55" s="43"/>
    </row>
    <row r="56" spans="1:5" x14ac:dyDescent="0.2">
      <c r="A56" s="43"/>
    </row>
  </sheetData>
  <mergeCells count="3">
    <mergeCell ref="A6:G6"/>
    <mergeCell ref="A8:G8"/>
    <mergeCell ref="A9:G9"/>
  </mergeCells>
  <pageMargins left="1.2" right="0.45" top="1.25" bottom="0.5" header="0.3" footer="0.3"/>
  <pageSetup orientation="portrait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68"/>
  <sheetViews>
    <sheetView topLeftCell="A4" zoomScaleNormal="100" zoomScaleSheetLayoutView="50" workbookViewId="0">
      <selection activeCell="T19" sqref="T19"/>
    </sheetView>
  </sheetViews>
  <sheetFormatPr defaultColWidth="9.140625" defaultRowHeight="14.25" x14ac:dyDescent="0.2"/>
  <cols>
    <col min="1" max="1" width="30" style="4" customWidth="1"/>
    <col min="2" max="2" width="4.42578125" style="4" customWidth="1"/>
    <col min="3" max="3" width="14.7109375" style="4" customWidth="1"/>
    <col min="4" max="4" width="3" style="4" customWidth="1"/>
    <col min="5" max="5" width="10.42578125" style="4" customWidth="1"/>
    <col min="6" max="6" width="4" style="4" customWidth="1"/>
    <col min="7" max="7" width="14.7109375" style="4" customWidth="1"/>
    <col min="8" max="8" width="3.140625" style="4" customWidth="1"/>
    <col min="9" max="9" width="10.140625" style="4" customWidth="1"/>
    <col min="10" max="10" width="4" style="4" customWidth="1"/>
    <col min="11" max="11" width="15.42578125" style="4" customWidth="1"/>
    <col min="12" max="12" width="3" style="4" customWidth="1"/>
    <col min="13" max="13" width="11.5703125" style="4" customWidth="1"/>
    <col min="14" max="14" width="3.7109375" style="4" customWidth="1"/>
    <col min="15" max="15" width="14.85546875" style="4" customWidth="1"/>
    <col min="16" max="16" width="3.5703125" style="4" customWidth="1"/>
    <col min="17" max="17" width="16.85546875" style="4" bestFit="1" customWidth="1"/>
    <col min="18" max="16384" width="9.140625" style="4"/>
  </cols>
  <sheetData>
    <row r="1" spans="1:17" x14ac:dyDescent="0.2">
      <c r="Q1" s="5" t="s">
        <v>66</v>
      </c>
    </row>
    <row r="2" spans="1:17" x14ac:dyDescent="0.2">
      <c r="Q2" s="5" t="s">
        <v>65</v>
      </c>
    </row>
    <row r="4" spans="1:17" x14ac:dyDescent="0.2">
      <c r="Q4" s="56" t="s">
        <v>68</v>
      </c>
    </row>
    <row r="5" spans="1:17" x14ac:dyDescent="0.2">
      <c r="Q5" s="56" t="s">
        <v>69</v>
      </c>
    </row>
    <row r="6" spans="1:17" x14ac:dyDescent="0.2">
      <c r="Q6" s="90" t="s">
        <v>66</v>
      </c>
    </row>
    <row r="7" spans="1:17" x14ac:dyDescent="0.2">
      <c r="Q7" s="90" t="s">
        <v>65</v>
      </c>
    </row>
    <row r="8" spans="1:17" ht="15.75" x14ac:dyDescent="0.25">
      <c r="A8" s="117" t="s">
        <v>33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7" ht="16.5" x14ac:dyDescent="0.25">
      <c r="A9" s="39"/>
    </row>
    <row r="10" spans="1:17" ht="15.75" x14ac:dyDescent="0.25">
      <c r="A10" s="117" t="s">
        <v>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7" ht="15.75" x14ac:dyDescent="0.25">
      <c r="A11" s="121" t="s">
        <v>50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ht="15.75" x14ac:dyDescent="0.25">
      <c r="A12" s="7"/>
      <c r="B12" s="7"/>
      <c r="C12" s="7"/>
      <c r="D12" s="7"/>
    </row>
    <row r="13" spans="1:17" ht="15.75" x14ac:dyDescent="0.25">
      <c r="B13" s="7"/>
      <c r="C13" s="7"/>
      <c r="D13" s="7"/>
      <c r="O13" s="118" t="s">
        <v>37</v>
      </c>
      <c r="P13" s="118"/>
      <c r="Q13" s="118"/>
    </row>
    <row r="14" spans="1:17" ht="15.75" x14ac:dyDescent="0.25">
      <c r="A14" s="8"/>
      <c r="B14" s="7"/>
      <c r="C14" s="118" t="s">
        <v>49</v>
      </c>
      <c r="D14" s="118"/>
      <c r="E14" s="118"/>
      <c r="G14" s="118" t="s">
        <v>43</v>
      </c>
      <c r="H14" s="118"/>
      <c r="I14" s="118"/>
      <c r="K14" s="118" t="s">
        <v>44</v>
      </c>
      <c r="L14" s="118"/>
      <c r="M14" s="118"/>
      <c r="O14" s="119" t="s">
        <v>45</v>
      </c>
      <c r="P14" s="120"/>
      <c r="Q14" s="120"/>
    </row>
    <row r="15" spans="1:17" ht="15.75" x14ac:dyDescent="0.25">
      <c r="A15" s="7"/>
      <c r="B15" s="7"/>
      <c r="D15" s="7"/>
      <c r="E15" s="6" t="s">
        <v>29</v>
      </c>
      <c r="H15" s="7"/>
      <c r="I15" s="89" t="s">
        <v>29</v>
      </c>
      <c r="L15" s="7"/>
      <c r="M15" s="89" t="s">
        <v>29</v>
      </c>
      <c r="P15" s="7"/>
      <c r="Q15" s="89" t="s">
        <v>29</v>
      </c>
    </row>
    <row r="16" spans="1:17" ht="15.75" x14ac:dyDescent="0.25">
      <c r="A16" s="9"/>
      <c r="B16" s="7"/>
      <c r="C16" s="12" t="s">
        <v>36</v>
      </c>
      <c r="D16" s="7"/>
      <c r="E16" s="6" t="s">
        <v>30</v>
      </c>
      <c r="G16" s="12" t="s">
        <v>36</v>
      </c>
      <c r="H16" s="7"/>
      <c r="I16" s="89" t="s">
        <v>30</v>
      </c>
      <c r="K16" s="12" t="s">
        <v>36</v>
      </c>
      <c r="L16" s="7"/>
      <c r="M16" s="89" t="s">
        <v>30</v>
      </c>
      <c r="O16" s="12" t="s">
        <v>36</v>
      </c>
      <c r="P16" s="7"/>
      <c r="Q16" s="89" t="s">
        <v>30</v>
      </c>
    </row>
    <row r="17" spans="1:17" x14ac:dyDescent="0.2">
      <c r="A17" s="13" t="s">
        <v>19</v>
      </c>
      <c r="B17" s="13"/>
      <c r="C17" s="14" t="s">
        <v>35</v>
      </c>
      <c r="D17" s="15"/>
      <c r="E17" s="14" t="s">
        <v>5</v>
      </c>
      <c r="G17" s="14" t="s">
        <v>35</v>
      </c>
      <c r="H17" s="15"/>
      <c r="I17" s="14" t="s">
        <v>5</v>
      </c>
      <c r="K17" s="14" t="s">
        <v>35</v>
      </c>
      <c r="L17" s="15"/>
      <c r="M17" s="14" t="s">
        <v>5</v>
      </c>
      <c r="O17" s="14" t="s">
        <v>35</v>
      </c>
      <c r="P17" s="15"/>
      <c r="Q17" s="14" t="s">
        <v>5</v>
      </c>
    </row>
    <row r="18" spans="1:17" x14ac:dyDescent="0.2">
      <c r="A18" s="11"/>
      <c r="B18" s="11"/>
      <c r="C18" s="12"/>
      <c r="D18" s="17"/>
      <c r="E18" s="12"/>
      <c r="G18" s="12"/>
      <c r="H18" s="17"/>
      <c r="I18" s="12"/>
      <c r="K18" s="12"/>
      <c r="L18" s="17"/>
      <c r="M18" s="12"/>
      <c r="O18" s="12"/>
      <c r="P18" s="17"/>
      <c r="Q18" s="12"/>
    </row>
    <row r="19" spans="1:17" x14ac:dyDescent="0.2">
      <c r="A19" s="11"/>
      <c r="B19" s="11"/>
      <c r="C19" s="12"/>
      <c r="D19" s="17"/>
      <c r="E19" s="12"/>
      <c r="G19" s="12"/>
      <c r="H19" s="17"/>
      <c r="I19" s="12"/>
      <c r="K19" s="12"/>
      <c r="L19" s="17"/>
      <c r="M19" s="12"/>
      <c r="O19" s="12"/>
      <c r="P19" s="17"/>
      <c r="Q19" s="12"/>
    </row>
    <row r="20" spans="1:17" x14ac:dyDescent="0.2">
      <c r="A20" s="75" t="s">
        <v>24</v>
      </c>
      <c r="B20" s="19"/>
      <c r="C20" s="76">
        <f>'Embed. Cost of Debt'!G25-'Embed. Cost of Debt'!G14</f>
        <v>138375000</v>
      </c>
      <c r="D20" s="77"/>
      <c r="E20" s="21">
        <f>ROUND(C20/C$36,5)</f>
        <v>0.37381999999999999</v>
      </c>
      <c r="F20" s="3"/>
      <c r="G20" s="76">
        <f>'Embed. Cost of Debt'!G31-'Embed. Cost of Debt'!G14</f>
        <v>160375000</v>
      </c>
      <c r="H20" s="77"/>
      <c r="I20" s="21">
        <f>ROUND(G20/G$36,5)</f>
        <v>0.40083000000000002</v>
      </c>
      <c r="K20" s="76">
        <f>'Embed. Cost of Debt'!G40</f>
        <v>206375000</v>
      </c>
      <c r="L20" s="77"/>
      <c r="M20" s="21">
        <f>ROUND(K20/K$36,5)</f>
        <v>0.44588</v>
      </c>
      <c r="O20" s="76">
        <f>'Embed. Cost of Debt'!G69</f>
        <v>197144230.76923075</v>
      </c>
      <c r="P20" s="77"/>
      <c r="Q20" s="21">
        <f>ROUND(O20/O$36,5)</f>
        <v>0.44248999999999999</v>
      </c>
    </row>
    <row r="21" spans="1:17" x14ac:dyDescent="0.2">
      <c r="A21" s="75" t="s">
        <v>25</v>
      </c>
      <c r="B21" s="19"/>
      <c r="C21" s="1">
        <f>'Embed. Cost of Debt'!G14</f>
        <v>16000000</v>
      </c>
      <c r="D21" s="77"/>
      <c r="E21" s="21">
        <f>ROUND(C21/C$36,5)</f>
        <v>4.3220000000000001E-2</v>
      </c>
      <c r="F21" s="3"/>
      <c r="G21" s="1">
        <f>'Embed. Cost of Debt'!G14</f>
        <v>16000000</v>
      </c>
      <c r="H21" s="77"/>
      <c r="I21" s="21">
        <f>ROUND(G21/G$36,5)</f>
        <v>3.9989999999999998E-2</v>
      </c>
      <c r="K21" s="1">
        <v>0</v>
      </c>
      <c r="L21" s="77"/>
      <c r="M21" s="45">
        <f>ROUND(K21/K$36,5)</f>
        <v>0</v>
      </c>
      <c r="O21" s="1">
        <v>0</v>
      </c>
      <c r="P21" s="77"/>
      <c r="Q21" s="45">
        <f>ROUND(O21/O$36,5)</f>
        <v>0</v>
      </c>
    </row>
    <row r="22" spans="1:17" x14ac:dyDescent="0.2">
      <c r="A22" s="48" t="s">
        <v>13</v>
      </c>
      <c r="B22" s="48"/>
      <c r="C22" s="78">
        <f>SUM(C20:C21)</f>
        <v>154375000</v>
      </c>
      <c r="D22" s="49"/>
      <c r="E22" s="30">
        <f>SUM(E20:E21)</f>
        <v>0.41703999999999997</v>
      </c>
      <c r="F22" s="48"/>
      <c r="G22" s="78">
        <f>SUM(G20:G21)</f>
        <v>176375000</v>
      </c>
      <c r="H22" s="49"/>
      <c r="I22" s="30">
        <f>SUM(I20:I21)</f>
        <v>0.44081999999999999</v>
      </c>
      <c r="J22" s="100"/>
      <c r="K22" s="78">
        <f>SUM(K20:K21)</f>
        <v>206375000</v>
      </c>
      <c r="L22" s="49"/>
      <c r="M22" s="30">
        <f>SUM(M20:M21)</f>
        <v>0.44588</v>
      </c>
      <c r="N22" s="100"/>
      <c r="O22" s="78">
        <f>SUM(O20:O21)</f>
        <v>197144230.76923075</v>
      </c>
      <c r="P22" s="49"/>
      <c r="Q22" s="30">
        <f>SUM(Q20:Q21)</f>
        <v>0.44248999999999999</v>
      </c>
    </row>
    <row r="23" spans="1:17" x14ac:dyDescent="0.2">
      <c r="A23" s="3"/>
      <c r="B23" s="19"/>
      <c r="C23" s="41"/>
      <c r="D23" s="40"/>
      <c r="E23" s="21"/>
      <c r="F23" s="3"/>
      <c r="G23" s="41"/>
      <c r="H23" s="40"/>
      <c r="I23" s="21"/>
      <c r="K23" s="41"/>
      <c r="L23" s="40"/>
      <c r="M23" s="21"/>
      <c r="O23" s="41"/>
      <c r="P23" s="40"/>
      <c r="Q23" s="21"/>
    </row>
    <row r="24" spans="1:17" x14ac:dyDescent="0.2">
      <c r="A24" s="3"/>
      <c r="B24" s="3"/>
      <c r="C24" s="42"/>
      <c r="D24" s="44"/>
      <c r="E24" s="79"/>
      <c r="F24" s="3"/>
      <c r="G24" s="42"/>
      <c r="H24" s="44"/>
      <c r="I24" s="79"/>
      <c r="K24" s="42"/>
      <c r="L24" s="44"/>
      <c r="M24" s="79"/>
      <c r="O24" s="42"/>
      <c r="P24" s="44"/>
      <c r="Q24" s="79"/>
    </row>
    <row r="25" spans="1:17" x14ac:dyDescent="0.2">
      <c r="A25" s="3" t="s">
        <v>1</v>
      </c>
      <c r="B25" s="3"/>
      <c r="C25" s="42"/>
      <c r="D25" s="44"/>
      <c r="E25" s="79"/>
      <c r="F25" s="3"/>
      <c r="G25" s="42"/>
      <c r="H25" s="44"/>
      <c r="I25" s="79"/>
      <c r="K25" s="42"/>
      <c r="L25" s="44"/>
      <c r="M25" s="79"/>
      <c r="O25" s="42"/>
      <c r="P25" s="44"/>
      <c r="Q25" s="79"/>
    </row>
    <row r="26" spans="1:17" x14ac:dyDescent="0.2">
      <c r="A26" s="43" t="s">
        <v>2</v>
      </c>
      <c r="B26" s="3"/>
      <c r="C26" s="80">
        <v>23806200</v>
      </c>
      <c r="D26" s="44"/>
      <c r="E26" s="45"/>
      <c r="F26" s="3"/>
      <c r="G26" s="80">
        <v>23806200</v>
      </c>
      <c r="H26" s="44"/>
      <c r="I26" s="45"/>
      <c r="J26" s="3"/>
      <c r="K26" s="80">
        <v>23806200</v>
      </c>
      <c r="L26" s="44"/>
      <c r="M26" s="45"/>
      <c r="N26" s="3"/>
      <c r="O26" s="80">
        <v>23806200</v>
      </c>
      <c r="P26" s="44"/>
      <c r="Q26" s="45"/>
    </row>
    <row r="27" spans="1:17" x14ac:dyDescent="0.2">
      <c r="A27" s="43" t="s">
        <v>26</v>
      </c>
      <c r="B27" s="3"/>
      <c r="C27" s="44">
        <v>15018523.640000001</v>
      </c>
      <c r="D27" s="44"/>
      <c r="E27" s="45"/>
      <c r="F27" s="3"/>
      <c r="G27" s="44">
        <v>26018523.640000001</v>
      </c>
      <c r="H27" s="44"/>
      <c r="I27" s="45"/>
      <c r="J27" s="3"/>
      <c r="K27" s="44">
        <v>45018523.640000001</v>
      </c>
      <c r="L27" s="44"/>
      <c r="M27" s="45"/>
      <c r="N27" s="3"/>
      <c r="O27" s="44">
        <v>43633908.255384609</v>
      </c>
      <c r="P27" s="44"/>
      <c r="Q27" s="45"/>
    </row>
    <row r="28" spans="1:17" x14ac:dyDescent="0.2">
      <c r="A28" s="43" t="s">
        <v>27</v>
      </c>
      <c r="B28" s="3"/>
      <c r="C28" s="44">
        <v>0</v>
      </c>
      <c r="D28" s="44"/>
      <c r="E28" s="45"/>
      <c r="F28" s="3"/>
      <c r="G28" s="44">
        <v>0</v>
      </c>
      <c r="H28" s="44"/>
      <c r="I28" s="45"/>
      <c r="J28" s="3"/>
      <c r="K28" s="44">
        <v>0</v>
      </c>
      <c r="L28" s="44"/>
      <c r="M28" s="45"/>
      <c r="N28" s="3"/>
      <c r="O28" s="44">
        <v>0</v>
      </c>
      <c r="P28" s="44"/>
      <c r="Q28" s="45"/>
    </row>
    <row r="29" spans="1:17" x14ac:dyDescent="0.2">
      <c r="A29" s="43" t="s">
        <v>28</v>
      </c>
      <c r="B29" s="3"/>
      <c r="C29" s="44">
        <v>157175841.69999999</v>
      </c>
      <c r="D29" s="44"/>
      <c r="E29" s="45"/>
      <c r="F29" s="3"/>
      <c r="G29" s="44">
        <v>151943842.63957682</v>
      </c>
      <c r="H29" s="44"/>
      <c r="I29" s="45"/>
      <c r="J29" s="3"/>
      <c r="K29" s="44">
        <v>173793926.14435846</v>
      </c>
      <c r="L29" s="44"/>
      <c r="M29" s="45"/>
      <c r="N29" s="3"/>
      <c r="O29" s="44">
        <v>167095029.16664016</v>
      </c>
      <c r="P29" s="44"/>
      <c r="Q29" s="45"/>
    </row>
    <row r="30" spans="1:17" x14ac:dyDescent="0.2">
      <c r="A30" s="48" t="s">
        <v>3</v>
      </c>
      <c r="B30" s="48"/>
      <c r="C30" s="78">
        <f>SUM(C26:C29)</f>
        <v>196000565.33999997</v>
      </c>
      <c r="D30" s="49"/>
      <c r="E30" s="30">
        <f>ROUND(C30/C$36,5)</f>
        <v>0.52949000000000002</v>
      </c>
      <c r="F30" s="48"/>
      <c r="G30" s="78">
        <f>SUM(G26:G29)</f>
        <v>201768566.27957684</v>
      </c>
      <c r="H30" s="49"/>
      <c r="I30" s="30">
        <f>ROUND(G30/G$36,5)</f>
        <v>0.50429000000000002</v>
      </c>
      <c r="J30" s="100"/>
      <c r="K30" s="78">
        <f>SUM(K26:K29)</f>
        <v>242618649.78435844</v>
      </c>
      <c r="L30" s="49"/>
      <c r="M30" s="30">
        <f>ROUND(K30/K$36,5)</f>
        <v>0.52417999999999998</v>
      </c>
      <c r="N30" s="100"/>
      <c r="O30" s="78">
        <f>SUM(O26:O29)</f>
        <v>234535137.42202479</v>
      </c>
      <c r="P30" s="49"/>
      <c r="Q30" s="30">
        <f>ROUND(O30/O$36,5)</f>
        <v>0.52641000000000004</v>
      </c>
    </row>
    <row r="31" spans="1:17" x14ac:dyDescent="0.2">
      <c r="A31" s="19"/>
      <c r="B31" s="19"/>
      <c r="C31" s="41"/>
      <c r="D31" s="40"/>
      <c r="E31" s="21"/>
      <c r="F31" s="19"/>
      <c r="G31" s="41"/>
      <c r="H31" s="40"/>
      <c r="I31" s="21"/>
      <c r="K31" s="41"/>
      <c r="L31" s="40"/>
      <c r="M31" s="21"/>
      <c r="O31" s="41"/>
      <c r="P31" s="40"/>
      <c r="Q31" s="21"/>
    </row>
    <row r="32" spans="1:17" ht="13.9" customHeight="1" x14ac:dyDescent="0.2">
      <c r="A32" s="48" t="s">
        <v>38</v>
      </c>
      <c r="B32" s="48"/>
      <c r="C32" s="78">
        <f>C22+C30</f>
        <v>350375565.33999997</v>
      </c>
      <c r="D32" s="49"/>
      <c r="E32" s="30">
        <f>E22+E30</f>
        <v>0.94652999999999998</v>
      </c>
      <c r="F32" s="48"/>
      <c r="G32" s="78">
        <f>G22+G30</f>
        <v>378143566.27957684</v>
      </c>
      <c r="H32" s="49"/>
      <c r="I32" s="30">
        <f>I22+I30</f>
        <v>0.94511000000000001</v>
      </c>
      <c r="J32" s="100"/>
      <c r="K32" s="78">
        <f>K22+K30</f>
        <v>448993649.78435844</v>
      </c>
      <c r="L32" s="49"/>
      <c r="M32" s="30">
        <f>M22+M30</f>
        <v>0.97005999999999992</v>
      </c>
      <c r="N32" s="100"/>
      <c r="O32" s="78">
        <f>O22+O30</f>
        <v>431679368.19125557</v>
      </c>
      <c r="P32" s="49"/>
      <c r="Q32" s="30">
        <f>Q22+Q30</f>
        <v>0.96890000000000009</v>
      </c>
    </row>
    <row r="33" spans="1:17" x14ac:dyDescent="0.2">
      <c r="A33" s="19"/>
      <c r="B33" s="19"/>
      <c r="C33" s="41"/>
      <c r="D33" s="40"/>
      <c r="E33" s="21"/>
      <c r="F33" s="19"/>
      <c r="G33" s="41"/>
      <c r="H33" s="40"/>
      <c r="I33" s="21"/>
      <c r="K33" s="41"/>
      <c r="L33" s="40"/>
      <c r="M33" s="21"/>
      <c r="O33" s="41"/>
      <c r="P33" s="40"/>
      <c r="Q33" s="21"/>
    </row>
    <row r="34" spans="1:17" x14ac:dyDescent="0.2">
      <c r="A34" s="75" t="s">
        <v>39</v>
      </c>
      <c r="B34" s="19"/>
      <c r="C34" s="41">
        <v>19792984.219999999</v>
      </c>
      <c r="D34" s="40"/>
      <c r="E34" s="21">
        <f>ROUND(C34/C$36,5)</f>
        <v>5.3469999999999997E-2</v>
      </c>
      <c r="F34" s="19"/>
      <c r="G34" s="41">
        <v>21963370.476996422</v>
      </c>
      <c r="H34" s="40"/>
      <c r="I34" s="21">
        <f>ROUND(G34/G$36,5)</f>
        <v>5.4890000000000001E-2</v>
      </c>
      <c r="K34" s="41">
        <v>13857836.824076844</v>
      </c>
      <c r="L34" s="40"/>
      <c r="M34" s="21">
        <f>ROUND(K34/K$36,5)</f>
        <v>2.9940000000000001E-2</v>
      </c>
      <c r="O34" s="41">
        <v>13857836.824076844</v>
      </c>
      <c r="P34" s="40"/>
      <c r="Q34" s="21">
        <f>ROUND(O34/O$36,5)</f>
        <v>3.1099999999999999E-2</v>
      </c>
    </row>
    <row r="35" spans="1:17" x14ac:dyDescent="0.2">
      <c r="A35" s="3"/>
      <c r="B35" s="3"/>
      <c r="C35" s="46"/>
      <c r="D35" s="44"/>
      <c r="E35" s="81"/>
      <c r="F35" s="19"/>
      <c r="G35" s="46"/>
      <c r="H35" s="44"/>
      <c r="I35" s="81"/>
      <c r="K35" s="46"/>
      <c r="L35" s="44"/>
      <c r="M35" s="81"/>
      <c r="O35" s="46"/>
      <c r="P35" s="44"/>
      <c r="Q35" s="81"/>
    </row>
    <row r="36" spans="1:17" x14ac:dyDescent="0.2">
      <c r="A36" s="48" t="s">
        <v>20</v>
      </c>
      <c r="B36" s="48"/>
      <c r="C36" s="47">
        <f>C32+C34</f>
        <v>370168549.55999994</v>
      </c>
      <c r="D36" s="49"/>
      <c r="E36" s="30">
        <f>E32+E34</f>
        <v>1</v>
      </c>
      <c r="F36" s="48"/>
      <c r="G36" s="47">
        <f>G32+G34</f>
        <v>400106936.75657326</v>
      </c>
      <c r="H36" s="49"/>
      <c r="I36" s="30">
        <f>I32+I34</f>
        <v>1</v>
      </c>
      <c r="J36" s="100"/>
      <c r="K36" s="47">
        <f>K32+K34</f>
        <v>462851486.60843527</v>
      </c>
      <c r="L36" s="49"/>
      <c r="M36" s="30">
        <f>M32+M34</f>
        <v>0.99999999999999989</v>
      </c>
      <c r="N36" s="100"/>
      <c r="O36" s="47">
        <f>O32+O34</f>
        <v>445537205.0153324</v>
      </c>
      <c r="P36" s="49"/>
      <c r="Q36" s="30">
        <f>Q32+Q34</f>
        <v>1</v>
      </c>
    </row>
    <row r="37" spans="1:17" x14ac:dyDescent="0.2">
      <c r="A37" s="82"/>
      <c r="B37" s="19"/>
      <c r="C37" s="83"/>
      <c r="D37" s="40"/>
      <c r="E37" s="3"/>
      <c r="F37" s="19"/>
      <c r="G37" s="83"/>
      <c r="H37" s="40"/>
      <c r="I37" s="3"/>
    </row>
    <row r="38" spans="1:17" x14ac:dyDescent="0.2">
      <c r="A38" s="3"/>
      <c r="B38" s="19"/>
      <c r="C38" s="40"/>
      <c r="D38" s="40"/>
      <c r="E38" s="3"/>
      <c r="F38" s="3"/>
      <c r="G38" s="3"/>
    </row>
    <row r="39" spans="1:17" x14ac:dyDescent="0.2">
      <c r="A39" s="84" t="s">
        <v>34</v>
      </c>
      <c r="B39" s="19"/>
      <c r="C39" s="40"/>
      <c r="D39" s="40"/>
      <c r="E39" s="3"/>
      <c r="F39" s="3"/>
      <c r="G39" s="3"/>
    </row>
    <row r="40" spans="1:17" x14ac:dyDescent="0.2">
      <c r="A40" s="84"/>
      <c r="B40" s="19"/>
      <c r="C40" s="40"/>
      <c r="D40" s="40"/>
      <c r="E40" s="3"/>
      <c r="F40" s="3"/>
      <c r="G40" s="3"/>
    </row>
    <row r="41" spans="1:17" x14ac:dyDescent="0.2">
      <c r="A41" s="84"/>
      <c r="B41" s="19"/>
      <c r="C41" s="40"/>
      <c r="D41" s="40"/>
      <c r="E41" s="3"/>
      <c r="F41" s="3"/>
      <c r="G41" s="3"/>
    </row>
    <row r="42" spans="1:17" x14ac:dyDescent="0.2">
      <c r="A42" s="56" t="s">
        <v>32</v>
      </c>
      <c r="B42" s="84"/>
      <c r="C42" s="19"/>
      <c r="D42" s="85"/>
      <c r="E42" s="19"/>
      <c r="F42" s="3"/>
      <c r="G42" s="3"/>
    </row>
    <row r="43" spans="1:17" x14ac:dyDescent="0.2">
      <c r="A43" s="3"/>
      <c r="B43" s="84"/>
      <c r="C43" s="19"/>
      <c r="D43" s="85"/>
      <c r="E43" s="19"/>
      <c r="F43" s="3"/>
      <c r="G43" s="3"/>
    </row>
    <row r="44" spans="1:17" x14ac:dyDescent="0.2">
      <c r="A44" s="31"/>
      <c r="B44" s="33"/>
      <c r="C44" s="11"/>
      <c r="D44" s="34"/>
      <c r="E44" s="11"/>
    </row>
    <row r="45" spans="1:17" x14ac:dyDescent="0.2">
      <c r="A45" s="11"/>
      <c r="B45" s="33"/>
      <c r="C45" s="11"/>
      <c r="D45" s="34"/>
      <c r="E45" s="11"/>
    </row>
    <row r="46" spans="1:17" x14ac:dyDescent="0.2">
      <c r="A46" s="11"/>
      <c r="B46" s="33"/>
      <c r="C46" s="11"/>
      <c r="D46" s="34"/>
      <c r="E46" s="11"/>
    </row>
    <row r="47" spans="1:17" x14ac:dyDescent="0.2">
      <c r="A47" s="31"/>
      <c r="B47" s="33"/>
      <c r="C47" s="35"/>
      <c r="D47" s="34"/>
      <c r="E47" s="11"/>
    </row>
    <row r="48" spans="1:17" x14ac:dyDescent="0.2">
      <c r="A48" s="11"/>
      <c r="B48" s="11"/>
      <c r="C48" s="20"/>
      <c r="D48" s="20"/>
    </row>
    <row r="49" spans="1:4" x14ac:dyDescent="0.2">
      <c r="B49" s="11"/>
      <c r="C49" s="20"/>
      <c r="D49" s="20"/>
    </row>
    <row r="50" spans="1:4" x14ac:dyDescent="0.2">
      <c r="B50" s="11"/>
      <c r="C50" s="20"/>
      <c r="D50" s="20"/>
    </row>
    <row r="51" spans="1:4" x14ac:dyDescent="0.2">
      <c r="B51" s="11"/>
      <c r="C51" s="20"/>
      <c r="D51" s="20"/>
    </row>
    <row r="52" spans="1:4" x14ac:dyDescent="0.2">
      <c r="A52" s="11"/>
      <c r="B52" s="11"/>
      <c r="C52" s="20"/>
      <c r="D52" s="20"/>
    </row>
    <row r="53" spans="1:4" x14ac:dyDescent="0.2">
      <c r="A53" s="11"/>
      <c r="B53" s="11"/>
      <c r="C53" s="20"/>
      <c r="D53" s="20"/>
    </row>
    <row r="54" spans="1:4" x14ac:dyDescent="0.2">
      <c r="A54" s="31"/>
      <c r="B54" s="11"/>
      <c r="C54" s="20"/>
      <c r="D54" s="20"/>
    </row>
    <row r="55" spans="1:4" x14ac:dyDescent="0.2">
      <c r="A55" s="37"/>
      <c r="B55" s="11"/>
      <c r="C55" s="20"/>
      <c r="D55" s="20"/>
    </row>
    <row r="56" spans="1:4" x14ac:dyDescent="0.2">
      <c r="B56" s="11"/>
      <c r="C56" s="20"/>
      <c r="D56" s="20"/>
    </row>
    <row r="57" spans="1:4" x14ac:dyDescent="0.2">
      <c r="A57" s="37"/>
      <c r="B57" s="11"/>
      <c r="C57" s="32"/>
      <c r="D57" s="32"/>
    </row>
    <row r="58" spans="1:4" x14ac:dyDescent="0.2">
      <c r="A58" s="37"/>
      <c r="B58" s="11"/>
      <c r="C58" s="32"/>
      <c r="D58" s="32"/>
    </row>
    <row r="59" spans="1:4" x14ac:dyDescent="0.2">
      <c r="A59" s="37"/>
      <c r="B59" s="11"/>
      <c r="C59" s="32"/>
      <c r="D59" s="32"/>
    </row>
    <row r="60" spans="1:4" x14ac:dyDescent="0.2">
      <c r="A60" s="37"/>
      <c r="B60" s="11"/>
      <c r="C60" s="11"/>
      <c r="D60" s="11"/>
    </row>
    <row r="61" spans="1:4" x14ac:dyDescent="0.2">
      <c r="A61" s="37"/>
      <c r="B61" s="11"/>
      <c r="C61" s="11"/>
      <c r="D61" s="11"/>
    </row>
    <row r="62" spans="1:4" x14ac:dyDescent="0.2">
      <c r="A62" s="37"/>
      <c r="B62" s="11"/>
      <c r="C62" s="11"/>
      <c r="D62" s="11"/>
    </row>
    <row r="63" spans="1:4" x14ac:dyDescent="0.2">
      <c r="A63" s="11"/>
      <c r="B63" s="11"/>
      <c r="C63" s="11"/>
      <c r="D63" s="11"/>
    </row>
    <row r="67" spans="1:1" x14ac:dyDescent="0.2">
      <c r="A67" s="38"/>
    </row>
    <row r="68" spans="1:1" x14ac:dyDescent="0.2">
      <c r="A68" s="38"/>
    </row>
  </sheetData>
  <mergeCells count="8">
    <mergeCell ref="A8:Q8"/>
    <mergeCell ref="K14:M14"/>
    <mergeCell ref="O14:Q14"/>
    <mergeCell ref="O13:Q13"/>
    <mergeCell ref="A10:Q10"/>
    <mergeCell ref="A11:Q11"/>
    <mergeCell ref="C14:E14"/>
    <mergeCell ref="G14:I14"/>
  </mergeCells>
  <pageMargins left="0.95" right="0.7" top="1" bottom="0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79"/>
  <sheetViews>
    <sheetView zoomScaleNormal="100" workbookViewId="0">
      <selection activeCell="N16" sqref="N16"/>
    </sheetView>
  </sheetViews>
  <sheetFormatPr defaultColWidth="9.140625" defaultRowHeight="14.25" x14ac:dyDescent="0.2"/>
  <cols>
    <col min="1" max="1" width="37.85546875" style="4" customWidth="1"/>
    <col min="2" max="2" width="2.7109375" style="4" customWidth="1"/>
    <col min="3" max="3" width="12.7109375" style="4" customWidth="1"/>
    <col min="4" max="4" width="5.140625" style="4" customWidth="1"/>
    <col min="5" max="5" width="10.140625" style="4" customWidth="1"/>
    <col min="6" max="6" width="5.42578125" style="4" customWidth="1"/>
    <col min="7" max="7" width="16" style="4" customWidth="1"/>
    <col min="8" max="8" width="5.140625" style="4" customWidth="1"/>
    <col min="9" max="9" width="14.5703125" style="4" customWidth="1"/>
    <col min="10" max="10" width="1.42578125" style="4" customWidth="1"/>
    <col min="11" max="11" width="13.85546875" style="4" bestFit="1" customWidth="1"/>
    <col min="12" max="16384" width="9.140625" style="4"/>
  </cols>
  <sheetData>
    <row r="1" spans="1:11" x14ac:dyDescent="0.2">
      <c r="I1" s="56" t="s">
        <v>68</v>
      </c>
    </row>
    <row r="2" spans="1:11" x14ac:dyDescent="0.2">
      <c r="I2" s="56" t="s">
        <v>69</v>
      </c>
    </row>
    <row r="3" spans="1:11" x14ac:dyDescent="0.2">
      <c r="I3" s="90" t="s">
        <v>67</v>
      </c>
    </row>
    <row r="4" spans="1:11" x14ac:dyDescent="0.2">
      <c r="A4" s="3"/>
      <c r="I4" s="90" t="s">
        <v>65</v>
      </c>
    </row>
    <row r="5" spans="1:11" x14ac:dyDescent="0.2">
      <c r="A5" s="115" t="s">
        <v>33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1" x14ac:dyDescent="0.2">
      <c r="A6" s="3"/>
      <c r="B6" s="3"/>
      <c r="C6" s="3" t="s">
        <v>22</v>
      </c>
      <c r="D6" s="3"/>
      <c r="E6" s="3"/>
      <c r="F6" s="3"/>
      <c r="G6" s="3"/>
      <c r="H6" s="3"/>
      <c r="I6" s="3"/>
      <c r="J6" s="3"/>
    </row>
    <row r="7" spans="1:11" x14ac:dyDescent="0.2">
      <c r="A7" s="115" t="s">
        <v>50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1" x14ac:dyDescent="0.2">
      <c r="A10" s="101"/>
      <c r="B10" s="102"/>
      <c r="C10" s="102"/>
      <c r="D10" s="102"/>
      <c r="E10" s="102"/>
      <c r="F10" s="102"/>
      <c r="G10" s="102"/>
      <c r="H10" s="3"/>
      <c r="I10" s="99" t="s">
        <v>14</v>
      </c>
      <c r="J10" s="19"/>
      <c r="K10" s="11"/>
    </row>
    <row r="11" spans="1:11" x14ac:dyDescent="0.2">
      <c r="A11" s="103"/>
      <c r="B11" s="102"/>
      <c r="C11" s="99" t="s">
        <v>6</v>
      </c>
      <c r="D11" s="102"/>
      <c r="E11" s="99" t="s">
        <v>8</v>
      </c>
      <c r="F11" s="102"/>
      <c r="G11" s="99" t="s">
        <v>10</v>
      </c>
      <c r="H11" s="3"/>
      <c r="I11" s="99" t="s">
        <v>21</v>
      </c>
      <c r="J11" s="19"/>
      <c r="K11" s="12"/>
    </row>
    <row r="12" spans="1:11" x14ac:dyDescent="0.2">
      <c r="A12" s="16" t="s">
        <v>23</v>
      </c>
      <c r="B12" s="93"/>
      <c r="C12" s="16" t="s">
        <v>7</v>
      </c>
      <c r="D12" s="93"/>
      <c r="E12" s="16" t="s">
        <v>9</v>
      </c>
      <c r="F12" s="93"/>
      <c r="G12" s="16" t="s">
        <v>11</v>
      </c>
      <c r="H12" s="23"/>
      <c r="I12" s="16" t="s">
        <v>12</v>
      </c>
      <c r="J12" s="84"/>
      <c r="K12" s="12"/>
    </row>
    <row r="13" spans="1:11" x14ac:dyDescent="0.2">
      <c r="A13" s="92"/>
      <c r="B13" s="102"/>
      <c r="C13" s="99"/>
      <c r="D13" s="102"/>
      <c r="E13" s="99"/>
      <c r="F13" s="102"/>
      <c r="G13" s="99"/>
      <c r="H13" s="3"/>
      <c r="I13" s="99"/>
      <c r="J13" s="19"/>
      <c r="K13" s="11"/>
    </row>
    <row r="14" spans="1:11" x14ac:dyDescent="0.2">
      <c r="A14" s="112" t="s">
        <v>58</v>
      </c>
      <c r="B14" s="19"/>
      <c r="C14" s="113">
        <v>44501</v>
      </c>
      <c r="D14" s="40"/>
      <c r="E14" s="104">
        <v>6.0150000000000002E-2</v>
      </c>
      <c r="F14" s="22"/>
      <c r="G14" s="2">
        <v>16000000</v>
      </c>
      <c r="H14" s="19"/>
      <c r="I14" s="2">
        <f>ROUND(G14*E14,5)</f>
        <v>962400</v>
      </c>
      <c r="J14" s="19"/>
      <c r="K14" s="2"/>
    </row>
    <row r="15" spans="1:11" x14ac:dyDescent="0.2">
      <c r="A15" s="112" t="s">
        <v>57</v>
      </c>
      <c r="B15" s="19"/>
      <c r="C15" s="113">
        <v>46027</v>
      </c>
      <c r="D15" s="40"/>
      <c r="E15" s="104">
        <v>5.9200000000000003E-2</v>
      </c>
      <c r="F15" s="22"/>
      <c r="G15" s="2">
        <v>12375000</v>
      </c>
      <c r="H15" s="19"/>
      <c r="I15" s="2">
        <f t="shared" ref="I15:I21" si="0">ROUND(G15*E15,5)</f>
        <v>732600</v>
      </c>
      <c r="J15" s="19"/>
      <c r="K15" s="2"/>
    </row>
    <row r="16" spans="1:11" x14ac:dyDescent="0.2">
      <c r="A16" s="112" t="s">
        <v>56</v>
      </c>
      <c r="B16" s="19"/>
      <c r="C16" s="113">
        <v>47833</v>
      </c>
      <c r="D16" s="40"/>
      <c r="E16" s="104">
        <v>6.0199999999999997E-2</v>
      </c>
      <c r="F16" s="22"/>
      <c r="G16" s="2">
        <v>10000000</v>
      </c>
      <c r="H16" s="19"/>
      <c r="I16" s="2">
        <f t="shared" si="0"/>
        <v>602000</v>
      </c>
      <c r="J16" s="19"/>
      <c r="K16" s="2"/>
    </row>
    <row r="17" spans="1:11" x14ac:dyDescent="0.2">
      <c r="A17" s="112" t="s">
        <v>55</v>
      </c>
      <c r="B17" s="19"/>
      <c r="C17" s="113">
        <v>52238</v>
      </c>
      <c r="D17" s="40"/>
      <c r="E17" s="104">
        <v>5.7700000000000001E-2</v>
      </c>
      <c r="F17" s="22"/>
      <c r="G17" s="2">
        <v>20000000</v>
      </c>
      <c r="H17" s="19"/>
      <c r="I17" s="2">
        <f t="shared" si="0"/>
        <v>1154000</v>
      </c>
      <c r="J17" s="19"/>
      <c r="K17" s="2"/>
    </row>
    <row r="18" spans="1:11" x14ac:dyDescent="0.2">
      <c r="A18" s="112" t="s">
        <v>54</v>
      </c>
      <c r="B18" s="19"/>
      <c r="C18" s="113">
        <v>52588</v>
      </c>
      <c r="D18" s="40"/>
      <c r="E18" s="104">
        <v>6.2E-2</v>
      </c>
      <c r="F18" s="22"/>
      <c r="G18" s="2">
        <v>20000000</v>
      </c>
      <c r="H18" s="19"/>
      <c r="I18" s="2">
        <f t="shared" si="0"/>
        <v>1240000</v>
      </c>
      <c r="J18" s="19"/>
      <c r="K18" s="2"/>
    </row>
    <row r="19" spans="1:11" x14ac:dyDescent="0.2">
      <c r="A19" s="112" t="s">
        <v>53</v>
      </c>
      <c r="B19" s="19"/>
      <c r="C19" s="113">
        <v>52947</v>
      </c>
      <c r="D19" s="40"/>
      <c r="E19" s="104">
        <v>4.4299999999999999E-2</v>
      </c>
      <c r="F19" s="22"/>
      <c r="G19" s="2">
        <v>5000000</v>
      </c>
      <c r="H19" s="19"/>
      <c r="I19" s="2">
        <f t="shared" si="0"/>
        <v>221500</v>
      </c>
      <c r="J19" s="19"/>
      <c r="K19" s="2"/>
    </row>
    <row r="20" spans="1:11" x14ac:dyDescent="0.2">
      <c r="A20" s="112" t="s">
        <v>40</v>
      </c>
      <c r="B20" s="19"/>
      <c r="C20" s="113">
        <v>53600</v>
      </c>
      <c r="D20" s="40"/>
      <c r="E20" s="104">
        <v>3.8425000000000001E-2</v>
      </c>
      <c r="F20" s="22"/>
      <c r="G20" s="2">
        <v>31000000</v>
      </c>
      <c r="H20" s="19"/>
      <c r="I20" s="2">
        <f t="shared" si="0"/>
        <v>1191175</v>
      </c>
      <c r="J20" s="19"/>
      <c r="K20" s="2"/>
    </row>
    <row r="21" spans="1:11" x14ac:dyDescent="0.2">
      <c r="A21" s="112" t="s">
        <v>41</v>
      </c>
      <c r="B21" s="19"/>
      <c r="C21" s="113">
        <v>54423</v>
      </c>
      <c r="D21" s="40"/>
      <c r="E21" s="104">
        <v>4.6435999999999998E-2</v>
      </c>
      <c r="F21" s="22"/>
      <c r="G21" s="2">
        <v>13000000</v>
      </c>
      <c r="H21" s="19"/>
      <c r="I21" s="2">
        <f t="shared" si="0"/>
        <v>603668</v>
      </c>
      <c r="J21" s="19"/>
      <c r="K21" s="2"/>
    </row>
    <row r="22" spans="1:11" x14ac:dyDescent="0.2">
      <c r="A22" s="112" t="s">
        <v>42</v>
      </c>
      <c r="B22" s="19"/>
      <c r="C22" s="113">
        <v>54788</v>
      </c>
      <c r="D22" s="40"/>
      <c r="E22" s="104">
        <v>3.7484999999999997E-2</v>
      </c>
      <c r="F22" s="22"/>
      <c r="G22" s="2">
        <v>15000000</v>
      </c>
      <c r="H22" s="19"/>
      <c r="I22" s="2">
        <f>ROUND(G22*E22,5)</f>
        <v>562275</v>
      </c>
      <c r="J22" s="19"/>
      <c r="K22" s="2"/>
    </row>
    <row r="23" spans="1:11" x14ac:dyDescent="0.2">
      <c r="A23" s="112" t="s">
        <v>63</v>
      </c>
      <c r="B23" s="19"/>
      <c r="C23" s="113">
        <v>54969</v>
      </c>
      <c r="D23" s="40"/>
      <c r="E23" s="104">
        <v>3.1741999999999999E-2</v>
      </c>
      <c r="F23" s="22"/>
      <c r="G23" s="2">
        <v>12000000</v>
      </c>
      <c r="H23" s="19"/>
      <c r="I23" s="2">
        <f>ROUND(G23*E23,5)</f>
        <v>380904</v>
      </c>
      <c r="J23" s="19"/>
      <c r="K23" s="2"/>
    </row>
    <row r="24" spans="1:11" x14ac:dyDescent="0.2">
      <c r="A24" s="19"/>
      <c r="B24" s="19"/>
      <c r="C24" s="111"/>
      <c r="D24" s="40"/>
      <c r="E24" s="104"/>
      <c r="F24" s="22"/>
      <c r="G24" s="2"/>
      <c r="H24" s="19"/>
      <c r="I24" s="2"/>
      <c r="J24" s="19"/>
      <c r="K24" s="2"/>
    </row>
    <row r="25" spans="1:11" x14ac:dyDescent="0.2">
      <c r="A25" s="105" t="s">
        <v>51</v>
      </c>
      <c r="B25" s="48"/>
      <c r="C25" s="49"/>
      <c r="D25" s="49"/>
      <c r="E25" s="29"/>
      <c r="F25" s="29"/>
      <c r="G25" s="106">
        <f>SUM(G14:G24)</f>
        <v>154375000</v>
      </c>
      <c r="H25" s="48"/>
      <c r="I25" s="107">
        <f>SUM(I14:I24)</f>
        <v>7650522</v>
      </c>
      <c r="J25" s="86"/>
      <c r="K25" s="86"/>
    </row>
    <row r="26" spans="1:11" x14ac:dyDescent="0.2">
      <c r="A26" s="19"/>
      <c r="B26" s="19"/>
      <c r="C26" s="40"/>
      <c r="D26" s="40"/>
      <c r="E26" s="22"/>
      <c r="F26" s="108"/>
      <c r="G26" s="22"/>
      <c r="H26" s="19"/>
      <c r="I26" s="50"/>
      <c r="J26" s="19"/>
      <c r="K26" s="19"/>
    </row>
    <row r="27" spans="1:11" x14ac:dyDescent="0.2">
      <c r="A27" s="3"/>
      <c r="B27" s="19"/>
      <c r="C27" s="40"/>
      <c r="D27" s="40"/>
      <c r="E27" s="109" t="s">
        <v>22</v>
      </c>
      <c r="F27" s="48"/>
      <c r="G27" s="48"/>
      <c r="H27" s="48"/>
      <c r="I27" s="110">
        <f>ROUND(I25/G25,5)</f>
        <v>4.956E-2</v>
      </c>
      <c r="J27" s="3"/>
      <c r="K27" s="3"/>
    </row>
    <row r="28" spans="1:11" x14ac:dyDescent="0.2">
      <c r="A28" s="3"/>
      <c r="B28" s="19"/>
      <c r="C28" s="40"/>
      <c r="D28" s="40"/>
      <c r="E28" s="19"/>
      <c r="F28" s="19"/>
      <c r="G28" s="19"/>
      <c r="H28" s="19"/>
      <c r="I28" s="50"/>
      <c r="J28" s="3"/>
      <c r="K28" s="3"/>
    </row>
    <row r="29" spans="1:11" x14ac:dyDescent="0.2">
      <c r="A29" s="112" t="s">
        <v>59</v>
      </c>
      <c r="B29" s="19"/>
      <c r="C29" s="113">
        <v>55334</v>
      </c>
      <c r="D29" s="40"/>
      <c r="E29" s="104">
        <v>3.9E-2</v>
      </c>
      <c r="F29" s="22"/>
      <c r="G29" s="2">
        <v>22000000</v>
      </c>
      <c r="H29" s="19"/>
      <c r="I29" s="2">
        <f>ROUND(G29*E29,5)</f>
        <v>858000</v>
      </c>
      <c r="J29" s="19"/>
      <c r="K29" s="2"/>
    </row>
    <row r="30" spans="1:11" x14ac:dyDescent="0.2">
      <c r="A30" s="3"/>
      <c r="B30" s="19"/>
      <c r="C30" s="40"/>
      <c r="D30" s="40"/>
      <c r="E30" s="19"/>
      <c r="F30" s="19"/>
      <c r="G30" s="19"/>
      <c r="H30" s="19"/>
      <c r="I30" s="50"/>
      <c r="J30" s="3"/>
      <c r="K30" s="3"/>
    </row>
    <row r="31" spans="1:11" x14ac:dyDescent="0.2">
      <c r="A31" s="105" t="s">
        <v>52</v>
      </c>
      <c r="B31" s="48"/>
      <c r="C31" s="49"/>
      <c r="D31" s="49"/>
      <c r="E31" s="29"/>
      <c r="F31" s="29"/>
      <c r="G31" s="106">
        <f>G25+SUM(G29:G30)</f>
        <v>176375000</v>
      </c>
      <c r="H31" s="48"/>
      <c r="I31" s="106">
        <f>I25+SUM(I29:I30)</f>
        <v>8508522</v>
      </c>
      <c r="J31" s="86"/>
      <c r="K31" s="86"/>
    </row>
    <row r="32" spans="1:11" x14ac:dyDescent="0.2">
      <c r="A32" s="82"/>
      <c r="B32" s="19"/>
      <c r="C32" s="40"/>
      <c r="D32" s="40"/>
      <c r="E32" s="22"/>
      <c r="F32" s="87"/>
      <c r="G32" s="3"/>
      <c r="H32" s="3"/>
      <c r="I32" s="3"/>
      <c r="J32" s="3"/>
      <c r="K32" s="3"/>
    </row>
    <row r="33" spans="1:11" x14ac:dyDescent="0.2">
      <c r="A33" s="3"/>
      <c r="B33" s="19"/>
      <c r="C33" s="40"/>
      <c r="D33" s="40"/>
      <c r="E33" s="109" t="s">
        <v>22</v>
      </c>
      <c r="F33" s="48"/>
      <c r="G33" s="48"/>
      <c r="H33" s="48"/>
      <c r="I33" s="110">
        <f>ROUND(I31/G31,5)</f>
        <v>4.8239999999999998E-2</v>
      </c>
      <c r="J33" s="3"/>
      <c r="K33" s="3"/>
    </row>
    <row r="34" spans="1:11" x14ac:dyDescent="0.2">
      <c r="A34" s="82"/>
      <c r="B34" s="19"/>
      <c r="C34" s="40"/>
      <c r="D34" s="40"/>
      <c r="E34" s="22"/>
      <c r="F34" s="87"/>
      <c r="G34" s="3"/>
      <c r="H34" s="3"/>
      <c r="I34" s="3"/>
      <c r="J34" s="3"/>
      <c r="K34" s="3"/>
    </row>
    <row r="35" spans="1:11" x14ac:dyDescent="0.2">
      <c r="A35" s="112" t="s">
        <v>60</v>
      </c>
      <c r="B35" s="19"/>
      <c r="C35" s="113">
        <v>55426</v>
      </c>
      <c r="D35" s="40"/>
      <c r="E35" s="104">
        <v>3.9E-2</v>
      </c>
      <c r="F35" s="22"/>
      <c r="G35" s="2">
        <v>22000000</v>
      </c>
      <c r="H35" s="19"/>
      <c r="I35" s="2">
        <f>ROUND(G35*E35,5)</f>
        <v>858000</v>
      </c>
      <c r="J35" s="19"/>
      <c r="K35" s="2"/>
    </row>
    <row r="36" spans="1:11" x14ac:dyDescent="0.2">
      <c r="A36" s="112" t="str">
        <f>A14</f>
        <v>6.0150% Notes, due November 1, 2021</v>
      </c>
      <c r="B36" s="19"/>
      <c r="C36" s="113">
        <f>C14</f>
        <v>44501</v>
      </c>
      <c r="D36" s="40"/>
      <c r="E36" s="104">
        <f>E14</f>
        <v>6.0150000000000002E-2</v>
      </c>
      <c r="F36" s="22"/>
      <c r="G36" s="2">
        <f>-G14</f>
        <v>-16000000</v>
      </c>
      <c r="H36" s="19"/>
      <c r="I36" s="2">
        <f>ROUND(G36*E36,5)</f>
        <v>-962400</v>
      </c>
      <c r="J36" s="19"/>
      <c r="K36" s="2"/>
    </row>
    <row r="37" spans="1:11" x14ac:dyDescent="0.2">
      <c r="A37" s="112" t="s">
        <v>61</v>
      </c>
      <c r="B37" s="19"/>
      <c r="C37" s="113">
        <v>55609</v>
      </c>
      <c r="D37" s="40"/>
      <c r="E37" s="104">
        <v>0.04</v>
      </c>
      <c r="F37" s="22"/>
      <c r="G37" s="2">
        <v>16000000</v>
      </c>
      <c r="H37" s="19"/>
      <c r="I37" s="2">
        <f>ROUND(G37*E37,5)</f>
        <v>640000</v>
      </c>
      <c r="J37" s="19"/>
      <c r="K37" s="2"/>
    </row>
    <row r="38" spans="1:11" x14ac:dyDescent="0.2">
      <c r="A38" s="112" t="s">
        <v>62</v>
      </c>
      <c r="B38" s="19"/>
      <c r="C38" s="113">
        <v>55700</v>
      </c>
      <c r="D38" s="40"/>
      <c r="E38" s="104">
        <v>0.04</v>
      </c>
      <c r="F38" s="22"/>
      <c r="G38" s="2">
        <v>8000000</v>
      </c>
      <c r="H38" s="19"/>
      <c r="I38" s="2">
        <f>ROUND(G38*E38,5)</f>
        <v>320000</v>
      </c>
      <c r="J38" s="19"/>
      <c r="K38" s="2"/>
    </row>
    <row r="39" spans="1:11" x14ac:dyDescent="0.2">
      <c r="A39" s="82"/>
      <c r="B39" s="19"/>
      <c r="C39" s="40"/>
      <c r="D39" s="40"/>
      <c r="E39" s="22"/>
      <c r="F39" s="87"/>
      <c r="G39" s="3"/>
      <c r="H39" s="3"/>
      <c r="I39" s="3"/>
      <c r="J39" s="3"/>
      <c r="K39" s="3"/>
    </row>
    <row r="40" spans="1:11" x14ac:dyDescent="0.2">
      <c r="A40" s="105" t="s">
        <v>47</v>
      </c>
      <c r="B40" s="48"/>
      <c r="C40" s="49"/>
      <c r="D40" s="49"/>
      <c r="E40" s="29"/>
      <c r="F40" s="29"/>
      <c r="G40" s="106">
        <f>G31+SUM(G35:G39)</f>
        <v>206375000</v>
      </c>
      <c r="H40" s="48"/>
      <c r="I40" s="106">
        <f>I31+SUM(I35:I39)</f>
        <v>9364122</v>
      </c>
      <c r="J40" s="3"/>
      <c r="K40" s="3"/>
    </row>
    <row r="41" spans="1:11" x14ac:dyDescent="0.2">
      <c r="A41" s="82"/>
      <c r="B41" s="19"/>
      <c r="C41" s="40"/>
      <c r="D41" s="40"/>
      <c r="E41" s="22"/>
      <c r="F41" s="87"/>
      <c r="G41" s="3"/>
      <c r="H41" s="3"/>
      <c r="I41" s="3"/>
      <c r="J41" s="3"/>
      <c r="K41" s="3"/>
    </row>
    <row r="42" spans="1:11" x14ac:dyDescent="0.2">
      <c r="A42" s="82"/>
      <c r="B42" s="19"/>
      <c r="C42" s="40"/>
      <c r="D42" s="40"/>
      <c r="E42" s="109" t="s">
        <v>22</v>
      </c>
      <c r="F42" s="48"/>
      <c r="G42" s="48"/>
      <c r="H42" s="48"/>
      <c r="I42" s="110">
        <f>ROUND(I40/G40,5)</f>
        <v>4.5370000000000001E-2</v>
      </c>
      <c r="J42" s="3"/>
      <c r="K42" s="3"/>
    </row>
    <row r="43" spans="1:11" x14ac:dyDescent="0.2">
      <c r="A43" s="82"/>
      <c r="B43" s="19"/>
      <c r="C43" s="40"/>
      <c r="D43" s="40"/>
      <c r="E43" s="22"/>
      <c r="F43" s="87"/>
      <c r="G43" s="3"/>
      <c r="H43" s="3"/>
      <c r="I43" s="3"/>
      <c r="J43" s="3"/>
      <c r="K43" s="3"/>
    </row>
    <row r="44" spans="1:11" x14ac:dyDescent="0.2">
      <c r="A44" s="82"/>
      <c r="B44" s="19"/>
      <c r="C44" s="40"/>
      <c r="D44" s="40"/>
      <c r="E44" s="22"/>
      <c r="F44" s="87"/>
      <c r="G44" s="3"/>
      <c r="H44" s="3"/>
      <c r="I44" s="3"/>
      <c r="J44" s="3"/>
      <c r="K44" s="3"/>
    </row>
    <row r="45" spans="1:11" x14ac:dyDescent="0.2">
      <c r="A45" s="115" t="s">
        <v>33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5"/>
    </row>
    <row r="46" spans="1:11" x14ac:dyDescent="0.2">
      <c r="A46" s="3"/>
      <c r="B46" s="3"/>
      <c r="C46" s="3" t="s">
        <v>22</v>
      </c>
      <c r="D46" s="3"/>
      <c r="E46" s="3"/>
      <c r="F46" s="3"/>
      <c r="G46" s="3"/>
      <c r="H46" s="3"/>
      <c r="I46" s="3"/>
      <c r="J46" s="3"/>
      <c r="K46" s="5"/>
    </row>
    <row r="47" spans="1:11" x14ac:dyDescent="0.2">
      <c r="A47" s="115" t="s">
        <v>46</v>
      </c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11" x14ac:dyDescent="0.2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1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</row>
    <row r="50" spans="1:11" x14ac:dyDescent="0.2">
      <c r="A50" s="101"/>
      <c r="B50" s="102"/>
      <c r="C50" s="102"/>
      <c r="D50" s="102"/>
      <c r="E50" s="102"/>
      <c r="F50" s="102"/>
      <c r="G50" s="102"/>
      <c r="H50" s="3"/>
      <c r="I50" s="99" t="s">
        <v>14</v>
      </c>
      <c r="J50" s="19"/>
      <c r="K50" s="11"/>
    </row>
    <row r="51" spans="1:11" x14ac:dyDescent="0.2">
      <c r="A51" s="103"/>
      <c r="B51" s="102"/>
      <c r="C51" s="99" t="s">
        <v>6</v>
      </c>
      <c r="D51" s="102"/>
      <c r="E51" s="99" t="s">
        <v>8</v>
      </c>
      <c r="F51" s="102"/>
      <c r="G51" s="99" t="s">
        <v>10</v>
      </c>
      <c r="H51" s="3"/>
      <c r="I51" s="99" t="s">
        <v>21</v>
      </c>
      <c r="J51" s="19"/>
      <c r="K51" s="12"/>
    </row>
    <row r="52" spans="1:11" x14ac:dyDescent="0.2">
      <c r="A52" s="16" t="s">
        <v>23</v>
      </c>
      <c r="B52" s="93"/>
      <c r="C52" s="16" t="s">
        <v>7</v>
      </c>
      <c r="D52" s="93"/>
      <c r="E52" s="16" t="s">
        <v>9</v>
      </c>
      <c r="F52" s="93"/>
      <c r="G52" s="16" t="s">
        <v>11</v>
      </c>
      <c r="H52" s="23"/>
      <c r="I52" s="16" t="s">
        <v>12</v>
      </c>
      <c r="J52" s="84"/>
      <c r="K52" s="12"/>
    </row>
    <row r="53" spans="1:11" x14ac:dyDescent="0.2">
      <c r="A53" s="92"/>
      <c r="B53" s="102"/>
      <c r="C53" s="99"/>
      <c r="D53" s="102"/>
      <c r="E53" s="99"/>
      <c r="F53" s="102"/>
      <c r="G53" s="99"/>
      <c r="H53" s="3"/>
      <c r="I53" s="99"/>
      <c r="J53" s="19"/>
      <c r="K53" s="11"/>
    </row>
    <row r="54" spans="1:11" x14ac:dyDescent="0.2">
      <c r="A54" s="112" t="str">
        <f>A15</f>
        <v>5.9200% Notes, due January 5, 2026</v>
      </c>
      <c r="B54" s="19"/>
      <c r="C54" s="113">
        <f t="shared" ref="C54:C62" si="1">C15</f>
        <v>46027</v>
      </c>
      <c r="D54" s="40"/>
      <c r="E54" s="104">
        <f t="shared" ref="E54:E62" si="2">E15</f>
        <v>5.9200000000000003E-2</v>
      </c>
      <c r="F54" s="22"/>
      <c r="G54" s="2">
        <f t="shared" ref="G54:G62" si="3">G15</f>
        <v>12375000</v>
      </c>
      <c r="H54" s="19"/>
      <c r="I54" s="2">
        <f>ROUND(G54*E54,5)</f>
        <v>732600</v>
      </c>
      <c r="J54" s="19"/>
      <c r="K54" s="2"/>
    </row>
    <row r="55" spans="1:11" x14ac:dyDescent="0.2">
      <c r="A55" s="112" t="str">
        <f t="shared" ref="A55:A62" si="4">A16</f>
        <v>6.0200% Notes, due December 16, 2030</v>
      </c>
      <c r="B55" s="19"/>
      <c r="C55" s="113">
        <f t="shared" si="1"/>
        <v>47833</v>
      </c>
      <c r="D55" s="40"/>
      <c r="E55" s="104">
        <f t="shared" si="2"/>
        <v>6.0199999999999997E-2</v>
      </c>
      <c r="F55" s="22"/>
      <c r="G55" s="2">
        <f t="shared" si="3"/>
        <v>10000000</v>
      </c>
      <c r="H55" s="19"/>
      <c r="I55" s="2">
        <f t="shared" ref="I55:I66" si="5">ROUND(G55*E55,5)</f>
        <v>602000</v>
      </c>
      <c r="J55" s="19"/>
      <c r="K55" s="2"/>
    </row>
    <row r="56" spans="1:11" x14ac:dyDescent="0.2">
      <c r="A56" s="112" t="str">
        <f t="shared" si="4"/>
        <v>5.7700% Notes, due January 7, 2043</v>
      </c>
      <c r="B56" s="19"/>
      <c r="C56" s="113">
        <f t="shared" si="1"/>
        <v>52238</v>
      </c>
      <c r="D56" s="40"/>
      <c r="E56" s="104">
        <f t="shared" si="2"/>
        <v>5.7700000000000001E-2</v>
      </c>
      <c r="F56" s="22"/>
      <c r="G56" s="2">
        <f t="shared" si="3"/>
        <v>20000000</v>
      </c>
      <c r="H56" s="19"/>
      <c r="I56" s="2">
        <f t="shared" si="5"/>
        <v>1154000</v>
      </c>
      <c r="J56" s="19"/>
      <c r="K56" s="2"/>
    </row>
    <row r="57" spans="1:11" x14ac:dyDescent="0.2">
      <c r="A57" s="112" t="str">
        <f t="shared" si="4"/>
        <v>6.2000% Notes, due December 23, 2043</v>
      </c>
      <c r="B57" s="19"/>
      <c r="C57" s="113">
        <f t="shared" si="1"/>
        <v>52588</v>
      </c>
      <c r="D57" s="40"/>
      <c r="E57" s="104">
        <f t="shared" si="2"/>
        <v>6.2E-2</v>
      </c>
      <c r="F57" s="22"/>
      <c r="G57" s="2">
        <f t="shared" si="3"/>
        <v>20000000</v>
      </c>
      <c r="H57" s="19"/>
      <c r="I57" s="2">
        <f t="shared" si="5"/>
        <v>1240000</v>
      </c>
      <c r="J57" s="19"/>
      <c r="K57" s="2"/>
    </row>
    <row r="58" spans="1:11" x14ac:dyDescent="0.2">
      <c r="A58" s="112" t="str">
        <f t="shared" si="4"/>
        <v>4.4300% Notes, due December 16, 2044</v>
      </c>
      <c r="B58" s="19"/>
      <c r="C58" s="113">
        <f t="shared" si="1"/>
        <v>52947</v>
      </c>
      <c r="D58" s="40"/>
      <c r="E58" s="104">
        <f t="shared" si="2"/>
        <v>4.4299999999999999E-2</v>
      </c>
      <c r="F58" s="22"/>
      <c r="G58" s="2">
        <f t="shared" si="3"/>
        <v>5000000</v>
      </c>
      <c r="H58" s="19"/>
      <c r="I58" s="2">
        <f t="shared" si="5"/>
        <v>221500</v>
      </c>
      <c r="J58" s="19"/>
      <c r="K58" s="2"/>
    </row>
    <row r="59" spans="1:11" x14ac:dyDescent="0.2">
      <c r="A59" s="112" t="str">
        <f t="shared" si="4"/>
        <v>3.8425% Notes, due September 30, 2046</v>
      </c>
      <c r="B59" s="19"/>
      <c r="C59" s="113">
        <f t="shared" si="1"/>
        <v>53600</v>
      </c>
      <c r="D59" s="40"/>
      <c r="E59" s="104">
        <f t="shared" si="2"/>
        <v>3.8425000000000001E-2</v>
      </c>
      <c r="F59" s="22"/>
      <c r="G59" s="2">
        <f t="shared" si="3"/>
        <v>31000000</v>
      </c>
      <c r="H59" s="19"/>
      <c r="I59" s="2">
        <f t="shared" si="5"/>
        <v>1191175</v>
      </c>
      <c r="J59" s="19"/>
      <c r="K59" s="2"/>
    </row>
    <row r="60" spans="1:11" x14ac:dyDescent="0.2">
      <c r="A60" s="112" t="str">
        <f t="shared" si="4"/>
        <v>4.6436% Notes, due December 31, 2048</v>
      </c>
      <c r="B60" s="19"/>
      <c r="C60" s="113">
        <f t="shared" si="1"/>
        <v>54423</v>
      </c>
      <c r="D60" s="40"/>
      <c r="E60" s="104">
        <f t="shared" si="2"/>
        <v>4.6435999999999998E-2</v>
      </c>
      <c r="F60" s="22"/>
      <c r="G60" s="2">
        <f t="shared" si="3"/>
        <v>13000000</v>
      </c>
      <c r="H60" s="19"/>
      <c r="I60" s="2">
        <f t="shared" si="5"/>
        <v>603668</v>
      </c>
      <c r="J60" s="19"/>
      <c r="K60" s="2"/>
    </row>
    <row r="61" spans="1:11" x14ac:dyDescent="0.2">
      <c r="A61" s="112" t="str">
        <f t="shared" si="4"/>
        <v>3.7485% Notes, due December 31, 2049</v>
      </c>
      <c r="B61" s="19"/>
      <c r="C61" s="113">
        <f t="shared" si="1"/>
        <v>54788</v>
      </c>
      <c r="D61" s="40"/>
      <c r="E61" s="104">
        <f t="shared" si="2"/>
        <v>3.7484999999999997E-2</v>
      </c>
      <c r="F61" s="22"/>
      <c r="G61" s="2">
        <f t="shared" si="3"/>
        <v>15000000</v>
      </c>
      <c r="H61" s="19"/>
      <c r="I61" s="2">
        <f t="shared" si="5"/>
        <v>562275</v>
      </c>
      <c r="J61" s="19"/>
      <c r="K61" s="2"/>
    </row>
    <row r="62" spans="1:11" x14ac:dyDescent="0.2">
      <c r="A62" s="112" t="str">
        <f t="shared" si="4"/>
        <v>3.1742% Notes, due June 30, 2050</v>
      </c>
      <c r="B62" s="19"/>
      <c r="C62" s="113">
        <f t="shared" si="1"/>
        <v>54969</v>
      </c>
      <c r="D62" s="40"/>
      <c r="E62" s="104">
        <f t="shared" si="2"/>
        <v>3.1741999999999999E-2</v>
      </c>
      <c r="F62" s="22"/>
      <c r="G62" s="2">
        <f t="shared" si="3"/>
        <v>12000000</v>
      </c>
      <c r="H62" s="19"/>
      <c r="I62" s="2">
        <f t="shared" si="5"/>
        <v>380904</v>
      </c>
      <c r="J62" s="19"/>
      <c r="K62" s="2"/>
    </row>
    <row r="63" spans="1:11" x14ac:dyDescent="0.2">
      <c r="A63" s="112" t="str">
        <f>A29</f>
        <v>3.9000% Notes, due June 30, 2051</v>
      </c>
      <c r="B63" s="19"/>
      <c r="C63" s="113">
        <f>C29</f>
        <v>55334</v>
      </c>
      <c r="D63" s="40"/>
      <c r="E63" s="104">
        <f>E29</f>
        <v>3.9E-2</v>
      </c>
      <c r="F63" s="22"/>
      <c r="G63" s="2">
        <f>G29</f>
        <v>22000000</v>
      </c>
      <c r="H63" s="19"/>
      <c r="I63" s="2">
        <f t="shared" si="5"/>
        <v>858000</v>
      </c>
      <c r="J63" s="19"/>
      <c r="K63" s="2"/>
    </row>
    <row r="64" spans="1:11" x14ac:dyDescent="0.2">
      <c r="A64" s="112" t="str">
        <f>A35</f>
        <v>3.9000% Notes, due September 30, 2051</v>
      </c>
      <c r="B64" s="19"/>
      <c r="C64" s="113">
        <f>C35</f>
        <v>55426</v>
      </c>
      <c r="D64" s="40"/>
      <c r="E64" s="104">
        <f>E35</f>
        <v>3.9E-2</v>
      </c>
      <c r="F64" s="22"/>
      <c r="G64" s="2">
        <f>G35</f>
        <v>22000000</v>
      </c>
      <c r="H64" s="19"/>
      <c r="I64" s="2">
        <f t="shared" si="5"/>
        <v>858000</v>
      </c>
      <c r="J64" s="19"/>
      <c r="K64" s="2"/>
    </row>
    <row r="65" spans="1:17" x14ac:dyDescent="0.2">
      <c r="A65" s="112" t="str">
        <f>A37</f>
        <v>4.0000% Notes, due March 31, 2052</v>
      </c>
      <c r="B65" s="19"/>
      <c r="C65" s="113">
        <f>C37</f>
        <v>55609</v>
      </c>
      <c r="D65" s="40"/>
      <c r="E65" s="104">
        <f>E37</f>
        <v>0.04</v>
      </c>
      <c r="F65" s="22"/>
      <c r="G65" s="2">
        <f>G37*9/13</f>
        <v>11076923.076923076</v>
      </c>
      <c r="H65" s="19"/>
      <c r="I65" s="2">
        <f t="shared" si="5"/>
        <v>443076.92307999998</v>
      </c>
      <c r="J65" s="19"/>
      <c r="K65" s="2"/>
    </row>
    <row r="66" spans="1:17" x14ac:dyDescent="0.2">
      <c r="A66" s="112" t="str">
        <f>A38</f>
        <v>4.0000% Notes, due June 30, 2052</v>
      </c>
      <c r="B66" s="19"/>
      <c r="C66" s="113">
        <f>C38</f>
        <v>55700</v>
      </c>
      <c r="D66" s="40"/>
      <c r="E66" s="104">
        <f>E38</f>
        <v>0.04</v>
      </c>
      <c r="F66" s="22"/>
      <c r="G66" s="2">
        <f>G38*6/13</f>
        <v>3692307.6923076925</v>
      </c>
      <c r="H66" s="19"/>
      <c r="I66" s="2">
        <f t="shared" si="5"/>
        <v>147692.30768999999</v>
      </c>
      <c r="J66" s="19"/>
      <c r="K66" s="2"/>
    </row>
    <row r="67" spans="1:17" x14ac:dyDescent="0.2">
      <c r="A67" s="112"/>
      <c r="B67" s="19"/>
      <c r="C67" s="113"/>
      <c r="D67" s="40"/>
      <c r="E67" s="104"/>
      <c r="F67" s="22"/>
      <c r="G67" s="2"/>
      <c r="H67" s="19"/>
      <c r="I67" s="2"/>
      <c r="J67" s="19"/>
      <c r="K67" s="2"/>
    </row>
    <row r="68" spans="1:17" x14ac:dyDescent="0.2">
      <c r="A68" s="19"/>
      <c r="B68" s="19"/>
      <c r="C68" s="111"/>
      <c r="D68" s="40"/>
      <c r="E68" s="104"/>
      <c r="F68" s="22"/>
      <c r="G68" s="2"/>
      <c r="H68" s="19"/>
      <c r="I68" s="2"/>
      <c r="J68" s="19"/>
      <c r="K68" s="2"/>
    </row>
    <row r="69" spans="1:17" x14ac:dyDescent="0.2">
      <c r="A69" s="105" t="s">
        <v>46</v>
      </c>
      <c r="B69" s="48"/>
      <c r="C69" s="49"/>
      <c r="D69" s="49"/>
      <c r="E69" s="29"/>
      <c r="F69" s="29"/>
      <c r="G69" s="106">
        <f>SUM(G54:G68)</f>
        <v>197144230.76923075</v>
      </c>
      <c r="H69" s="48"/>
      <c r="I69" s="107">
        <f>SUM(I54:I68)</f>
        <v>8994891.2307699993</v>
      </c>
      <c r="J69" s="86"/>
      <c r="K69" s="86"/>
    </row>
    <row r="70" spans="1:17" x14ac:dyDescent="0.2">
      <c r="A70" s="19"/>
      <c r="B70" s="19"/>
      <c r="C70" s="40"/>
      <c r="D70" s="40"/>
      <c r="E70" s="22"/>
      <c r="F70" s="108"/>
      <c r="G70" s="22"/>
      <c r="H70" s="19"/>
      <c r="I70" s="50"/>
      <c r="J70" s="19"/>
      <c r="K70" s="19"/>
    </row>
    <row r="71" spans="1:17" x14ac:dyDescent="0.2">
      <c r="A71" s="3"/>
      <c r="B71" s="19"/>
      <c r="C71" s="40"/>
      <c r="D71" s="40"/>
      <c r="E71" s="109" t="s">
        <v>22</v>
      </c>
      <c r="F71" s="48"/>
      <c r="G71" s="48"/>
      <c r="H71" s="48"/>
      <c r="I71" s="110">
        <f>ROUND(I69/G69,5)</f>
        <v>4.5629999999999997E-2</v>
      </c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82"/>
      <c r="B72" s="19"/>
      <c r="C72" s="40"/>
      <c r="D72" s="40"/>
      <c r="E72" s="22"/>
      <c r="F72" s="87"/>
      <c r="G72" s="3"/>
      <c r="H72" s="3"/>
      <c r="I72" s="3"/>
      <c r="J72" s="3"/>
      <c r="K72" s="3"/>
    </row>
    <row r="73" spans="1:17" x14ac:dyDescent="0.2">
      <c r="A73" s="3"/>
      <c r="B73" s="55"/>
      <c r="C73" s="59"/>
      <c r="D73" s="59"/>
      <c r="E73" s="3"/>
      <c r="F73" s="3"/>
      <c r="G73" s="60"/>
      <c r="H73" s="58"/>
      <c r="I73" s="61"/>
      <c r="J73" s="57"/>
      <c r="K73" s="3"/>
      <c r="L73" s="36"/>
    </row>
    <row r="74" spans="1:17" x14ac:dyDescent="0.2">
      <c r="A74" s="51"/>
      <c r="B74" s="51"/>
      <c r="C74" s="69"/>
      <c r="D74" s="51"/>
      <c r="G74" s="52"/>
      <c r="H74" s="53"/>
      <c r="I74" s="51"/>
      <c r="J74" s="54"/>
      <c r="L74" s="36"/>
    </row>
    <row r="75" spans="1:17" x14ac:dyDescent="0.2">
      <c r="A75" s="62"/>
      <c r="B75" s="62"/>
      <c r="C75" s="62"/>
      <c r="D75" s="62"/>
      <c r="G75" s="63"/>
      <c r="H75" s="64"/>
      <c r="I75" s="62"/>
      <c r="J75" s="65"/>
    </row>
    <row r="76" spans="1:17" ht="15" x14ac:dyDescent="0.25">
      <c r="C76" s="66"/>
      <c r="D76" s="66"/>
      <c r="E76" s="66"/>
      <c r="G76" s="66"/>
      <c r="K76" s="51"/>
    </row>
    <row r="77" spans="1:17" ht="15" x14ac:dyDescent="0.25">
      <c r="C77" s="70"/>
      <c r="D77" s="66"/>
      <c r="E77" s="66"/>
      <c r="F77" s="66"/>
      <c r="G77" s="70"/>
      <c r="H77" s="67"/>
      <c r="I77" s="66"/>
      <c r="J77" s="68"/>
    </row>
    <row r="79" spans="1:17" x14ac:dyDescent="0.2">
      <c r="C79" s="71"/>
      <c r="G79" s="71"/>
    </row>
  </sheetData>
  <mergeCells count="6">
    <mergeCell ref="A48:J48"/>
    <mergeCell ref="A7:J7"/>
    <mergeCell ref="A8:J8"/>
    <mergeCell ref="A5:J5"/>
    <mergeCell ref="A45:J45"/>
    <mergeCell ref="A47:J47"/>
  </mergeCells>
  <pageMargins left="1.2" right="0.45" top="0.75" bottom="0.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WACC-FairRateReturn</vt:lpstr>
      <vt:lpstr>RateSettCapStruc</vt:lpstr>
      <vt:lpstr>Embed. Cost of Debt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\ Vincent \ V</dc:creator>
  <cp:lastModifiedBy>Rea \ Vincent</cp:lastModifiedBy>
  <cp:lastPrinted>2021-04-10T17:43:26Z</cp:lastPrinted>
  <dcterms:created xsi:type="dcterms:W3CDTF">2011-09-08T18:10:45Z</dcterms:created>
  <dcterms:modified xsi:type="dcterms:W3CDTF">2021-07-08T17:39:13Z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