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VWNHAMFPCTXP34\CTXProfiles\CTX7NiAppsPD\Prod\Windows2012\FolderRedirection\u937117\Desktop\"/>
    </mc:Choice>
  </mc:AlternateContent>
  <bookViews>
    <workbookView xWindow="-105" yWindow="-105" windowWidth="23250" windowHeight="14010" tabRatio="603" activeTab="4"/>
  </bookViews>
  <sheets>
    <sheet name="Attach. 3, p1" sheetId="5" r:id="rId1"/>
    <sheet name="Attach. 3, p2" sheetId="4" r:id="rId2"/>
    <sheet name="Attach. 3, p3" sheetId="2" r:id="rId3"/>
    <sheet name="Attach. 3, p4" sheetId="3" r:id="rId4"/>
    <sheet name="Attach. 10" sheetId="6" r:id="rId5"/>
    <sheet name="Not an Attach.-Proxy Co. Detail" sheetId="1" r:id="rId6"/>
  </sheets>
  <definedNames>
    <definedName name="_xlnm.Print_Area" localSheetId="4">'Attach. 10'!$A$1:$K$70</definedName>
    <definedName name="_xlnm.Print_Area" localSheetId="0">'Attach. 3, p1'!$A$1:$I$59</definedName>
    <definedName name="_xlnm.Print_Area" localSheetId="1">'Attach. 3, p2'!$A$1:$H$55</definedName>
    <definedName name="_xlnm.Print_Area" localSheetId="2">'Attach. 3, p3'!$A$1:$I$59</definedName>
    <definedName name="_xlnm.Print_Area" localSheetId="3">'Attach. 3, p4'!$A$1:$I$59</definedName>
    <definedName name="_xlnm.Print_Area" localSheetId="5">'Not an Attach.-Proxy Co. Detail'!$A$1:$L$96,'Not an Attach.-Proxy Co. Detail'!$EO$1:$EZ$99,'Not an Attach.-Proxy Co. Detail'!$AZ$1:$BL$93,'Not an Attach.-Proxy Co. Detail'!$N$1:$Z$93,'Not an Attach.-Proxy Co. Detail'!$AG$1:$AS$93,'Not an Attach.-Proxy Co. Detail'!$BS$1:$CD$93,'Not an Attach.-Proxy Co. Detail'!$DV$1:$EH$93,'Not an Attach.-Proxy Co. Detail'!$CJ$1:$CV$93,'Not an Attach.-Proxy Co. Detail'!$DC$1:$DO$93</definedName>
  </definedNames>
  <calcPr calcId="152511"/>
</workbook>
</file>

<file path=xl/calcChain.xml><?xml version="1.0" encoding="utf-8"?>
<calcChain xmlns="http://schemas.openxmlformats.org/spreadsheetml/2006/main">
  <c r="ET99" i="1" l="1"/>
  <c r="ES99" i="1"/>
  <c r="ER99" i="1"/>
  <c r="EU93" i="1"/>
  <c r="ET93" i="1"/>
  <c r="ES93" i="1"/>
  <c r="ER93" i="1"/>
  <c r="EQ93" i="1"/>
  <c r="EP93" i="1"/>
  <c r="ET92" i="1"/>
  <c r="ET94" i="1" s="1"/>
  <c r="EU80" i="1"/>
  <c r="ET80" i="1"/>
  <c r="ES80" i="1"/>
  <c r="ER80" i="1"/>
  <c r="EQ80" i="1"/>
  <c r="EP80" i="1"/>
  <c r="ET75" i="1"/>
  <c r="ET77" i="1" s="1"/>
  <c r="ES73" i="1"/>
  <c r="ET72" i="1"/>
  <c r="ES72" i="1"/>
  <c r="ER72" i="1"/>
  <c r="EU71" i="1"/>
  <c r="EU91" i="1" s="1"/>
  <c r="ET71" i="1"/>
  <c r="ET91" i="1" s="1"/>
  <c r="ES71" i="1"/>
  <c r="ES91" i="1" s="1"/>
  <c r="ER71" i="1"/>
  <c r="ER75" i="1" s="1"/>
  <c r="EQ71" i="1"/>
  <c r="EQ91" i="1" s="1"/>
  <c r="EP71" i="1"/>
  <c r="EP91" i="1" s="1"/>
  <c r="EU58" i="1"/>
  <c r="ET58" i="1"/>
  <c r="ES58" i="1"/>
  <c r="ER58" i="1"/>
  <c r="EQ58" i="1"/>
  <c r="EP58" i="1"/>
  <c r="EU57" i="1"/>
  <c r="EU72" i="1" s="1"/>
  <c r="EU75" i="1" s="1"/>
  <c r="ET57" i="1"/>
  <c r="ET60" i="1" s="1"/>
  <c r="ET63" i="1" s="1"/>
  <c r="ES57" i="1"/>
  <c r="ER57" i="1"/>
  <c r="EQ57" i="1"/>
  <c r="EQ72" i="1" s="1"/>
  <c r="EP57" i="1"/>
  <c r="EP72" i="1" s="1"/>
  <c r="ET52" i="1"/>
  <c r="ER52" i="1"/>
  <c r="EQ52" i="1"/>
  <c r="EP52" i="1"/>
  <c r="ES51" i="1"/>
  <c r="EU33" i="1"/>
  <c r="ET33" i="1"/>
  <c r="ES33" i="1"/>
  <c r="ER33" i="1"/>
  <c r="EQ33" i="1"/>
  <c r="EP33" i="1"/>
  <c r="C11" i="5" s="1"/>
  <c r="ET30" i="1"/>
  <c r="EU26" i="1"/>
  <c r="ET26" i="1"/>
  <c r="ES26" i="1"/>
  <c r="ER26" i="1"/>
  <c r="EQ26" i="1"/>
  <c r="EP26" i="1"/>
  <c r="EU20" i="1"/>
  <c r="ET20" i="1"/>
  <c r="EU17" i="1"/>
  <c r="EU92" i="1" s="1"/>
  <c r="EU94" i="1" s="1"/>
  <c r="ET17" i="1"/>
  <c r="ES17" i="1"/>
  <c r="ES20" i="1" s="1"/>
  <c r="ER17" i="1"/>
  <c r="ER92" i="1" s="1"/>
  <c r="ER94" i="1" s="1"/>
  <c r="EQ17" i="1"/>
  <c r="EQ92" i="1" s="1"/>
  <c r="EQ94" i="1" s="1"/>
  <c r="EP17" i="1"/>
  <c r="EP92" i="1" s="1"/>
  <c r="EP94" i="1" s="1"/>
  <c r="EU15" i="1"/>
  <c r="EU21" i="1" s="1"/>
  <c r="ET15" i="1"/>
  <c r="ET84" i="1" s="1"/>
  <c r="ET86" i="1" s="1"/>
  <c r="ES15" i="1"/>
  <c r="ES84" i="1" s="1"/>
  <c r="ES86" i="1" s="1"/>
  <c r="ER15" i="1"/>
  <c r="ER84" i="1" s="1"/>
  <c r="ER86" i="1" s="1"/>
  <c r="EQ15" i="1"/>
  <c r="EQ84" i="1" s="1"/>
  <c r="EQ86" i="1" s="1"/>
  <c r="EP15" i="1"/>
  <c r="EP84" i="1" s="1"/>
  <c r="EP86" i="1" s="1"/>
  <c r="F56" i="6"/>
  <c r="C55" i="6"/>
  <c r="C54" i="6"/>
  <c r="F54" i="6" s="1"/>
  <c r="C48" i="6"/>
  <c r="C47" i="6"/>
  <c r="F47" i="6" s="1"/>
  <c r="C41" i="6"/>
  <c r="C40" i="6"/>
  <c r="F40" i="6" s="1"/>
  <c r="F35" i="6"/>
  <c r="C34" i="6"/>
  <c r="C33" i="6"/>
  <c r="F33" i="6" s="1"/>
  <c r="F28" i="6"/>
  <c r="C28" i="6"/>
  <c r="C27" i="6"/>
  <c r="C26" i="6"/>
  <c r="F26" i="6" s="1"/>
  <c r="F21" i="6"/>
  <c r="F14" i="6"/>
  <c r="B69" i="1"/>
  <c r="B67" i="1"/>
  <c r="B61" i="1"/>
  <c r="B58" i="1"/>
  <c r="B57" i="1"/>
  <c r="B56" i="1"/>
  <c r="B59" i="1" s="1"/>
  <c r="B18" i="1"/>
  <c r="B87" i="1" s="1"/>
  <c r="B19" i="1"/>
  <c r="B26" i="1" s="1"/>
  <c r="B16" i="1"/>
  <c r="B14" i="1"/>
  <c r="B13" i="1"/>
  <c r="B12" i="1"/>
  <c r="ES92" i="1" l="1"/>
  <c r="ES94" i="1" s="1"/>
  <c r="EU60" i="1"/>
  <c r="EU63" i="1" s="1"/>
  <c r="B85" i="1"/>
  <c r="ES75" i="1"/>
  <c r="ES77" i="1" s="1"/>
  <c r="ER60" i="1"/>
  <c r="ER63" i="1" s="1"/>
  <c r="ES60" i="1"/>
  <c r="ES63" i="1" s="1"/>
  <c r="ER91" i="1"/>
  <c r="EU48" i="1"/>
  <c r="EP95" i="1"/>
  <c r="C18" i="5" s="1"/>
  <c r="EU47" i="1"/>
  <c r="EU22" i="1"/>
  <c r="EU46" i="1"/>
  <c r="EU77" i="1"/>
  <c r="EU83" i="1"/>
  <c r="EQ75" i="1"/>
  <c r="ER83" i="1"/>
  <c r="ER87" i="1" s="1"/>
  <c r="ER77" i="1"/>
  <c r="ES23" i="1"/>
  <c r="ES41" i="1" s="1"/>
  <c r="ES95" i="1"/>
  <c r="ET95" i="1"/>
  <c r="EQ95" i="1"/>
  <c r="EU95" i="1"/>
  <c r="ER95" i="1"/>
  <c r="ET23" i="1"/>
  <c r="ES83" i="1"/>
  <c r="ES87" i="1" s="1"/>
  <c r="EU84" i="1"/>
  <c r="EU86" i="1" s="1"/>
  <c r="EU23" i="1"/>
  <c r="ET83" i="1"/>
  <c r="ET87" i="1" s="1"/>
  <c r="EP20" i="1"/>
  <c r="EP60" i="1"/>
  <c r="EP63" i="1" s="1"/>
  <c r="C44" i="5" s="1"/>
  <c r="EQ20" i="1"/>
  <c r="EQ21" i="1" s="1"/>
  <c r="ES21" i="1"/>
  <c r="EQ60" i="1"/>
  <c r="EQ63" i="1" s="1"/>
  <c r="EP75" i="1"/>
  <c r="ER20" i="1"/>
  <c r="ER21" i="1" s="1"/>
  <c r="ET21" i="1"/>
  <c r="ET48" i="1" s="1"/>
  <c r="B15" i="1"/>
  <c r="EU49" i="1" l="1"/>
  <c r="B78" i="1"/>
  <c r="EU87" i="1"/>
  <c r="EQ47" i="1"/>
  <c r="EQ22" i="1"/>
  <c r="EQ46" i="1"/>
  <c r="ES47" i="1"/>
  <c r="ES22" i="1"/>
  <c r="ES48" i="1"/>
  <c r="ES24" i="1"/>
  <c r="ES32" i="1" s="1"/>
  <c r="ES34" i="1" s="1"/>
  <c r="ES39" i="1"/>
  <c r="ES42" i="1" s="1"/>
  <c r="ES40" i="1"/>
  <c r="EP83" i="1"/>
  <c r="EP87" i="1" s="1"/>
  <c r="C49" i="5" s="1"/>
  <c r="EP77" i="1"/>
  <c r="ER47" i="1"/>
  <c r="ER22" i="1"/>
  <c r="ER46" i="1"/>
  <c r="EU40" i="1"/>
  <c r="EU39" i="1"/>
  <c r="EU24" i="1"/>
  <c r="EU32" i="1" s="1"/>
  <c r="EU34" i="1" s="1"/>
  <c r="ES46" i="1"/>
  <c r="ET47" i="1"/>
  <c r="ET22" i="1"/>
  <c r="ET46" i="1"/>
  <c r="EP48" i="1"/>
  <c r="C38" i="5" s="1"/>
  <c r="EP23" i="1"/>
  <c r="ET39" i="1"/>
  <c r="ET40" i="1"/>
  <c r="ET24" i="1"/>
  <c r="ET32" i="1" s="1"/>
  <c r="ET34" i="1" s="1"/>
  <c r="EP21" i="1"/>
  <c r="EQ23" i="1"/>
  <c r="EQ48" i="1"/>
  <c r="ET41" i="1"/>
  <c r="ER41" i="1"/>
  <c r="ER48" i="1"/>
  <c r="ER23" i="1"/>
  <c r="EU41" i="1"/>
  <c r="EQ83" i="1"/>
  <c r="EQ87" i="1" s="1"/>
  <c r="EQ77" i="1"/>
  <c r="CL79" i="1"/>
  <c r="B79" i="1" s="1"/>
  <c r="CL17" i="1"/>
  <c r="CL87" i="1"/>
  <c r="CL85" i="1"/>
  <c r="CL74" i="1"/>
  <c r="CL68" i="1"/>
  <c r="CL70" i="1" s="1"/>
  <c r="CL59" i="1"/>
  <c r="CL62" i="1" s="1"/>
  <c r="CL52" i="1"/>
  <c r="CL33" i="1"/>
  <c r="CL30" i="1"/>
  <c r="CL26" i="1"/>
  <c r="CL15" i="1"/>
  <c r="CL78" i="1" s="1"/>
  <c r="BU17" i="1"/>
  <c r="C35" i="6" s="1"/>
  <c r="BU87" i="1"/>
  <c r="BU85" i="1"/>
  <c r="BU68" i="1"/>
  <c r="BU70" i="1" s="1"/>
  <c r="BU59" i="1"/>
  <c r="BU62" i="1" s="1"/>
  <c r="BU33" i="1"/>
  <c r="BU26" i="1"/>
  <c r="BU15" i="1"/>
  <c r="BU78" i="1" s="1"/>
  <c r="BU80" i="1" s="1"/>
  <c r="AI87" i="1"/>
  <c r="AI86" i="1"/>
  <c r="AI85" i="1"/>
  <c r="AI68" i="1"/>
  <c r="AI70" i="1" s="1"/>
  <c r="AI59" i="1"/>
  <c r="AI62" i="1" s="1"/>
  <c r="AI33" i="1"/>
  <c r="AI26" i="1"/>
  <c r="AI20" i="1"/>
  <c r="AI23" i="1" s="1"/>
  <c r="AI15" i="1"/>
  <c r="AI78" i="1" s="1"/>
  <c r="AI80" i="1" s="1"/>
  <c r="CL20" i="1" l="1"/>
  <c r="CL23" i="1" s="1"/>
  <c r="C49" i="6"/>
  <c r="EU42" i="1"/>
  <c r="B80" i="1"/>
  <c r="ER49" i="1"/>
  <c r="ER24" i="1"/>
  <c r="ER32" i="1" s="1"/>
  <c r="ER34" i="1" s="1"/>
  <c r="ER39" i="1"/>
  <c r="ER40" i="1"/>
  <c r="ET49" i="1"/>
  <c r="EQ24" i="1"/>
  <c r="EQ32" i="1" s="1"/>
  <c r="EQ34" i="1" s="1"/>
  <c r="EQ39" i="1"/>
  <c r="EQ40" i="1"/>
  <c r="EP47" i="1"/>
  <c r="C37" i="5" s="1"/>
  <c r="EP22" i="1"/>
  <c r="EP46" i="1"/>
  <c r="ET42" i="1"/>
  <c r="EQ49" i="1"/>
  <c r="EP24" i="1"/>
  <c r="EP32" i="1" s="1"/>
  <c r="EP39" i="1"/>
  <c r="C28" i="5" s="1"/>
  <c r="EP40" i="1"/>
  <c r="C29" i="5" s="1"/>
  <c r="ES49" i="1"/>
  <c r="EQ41" i="1"/>
  <c r="EP41" i="1"/>
  <c r="C30" i="5" s="1"/>
  <c r="CL24" i="1"/>
  <c r="CL41" i="1" s="1"/>
  <c r="C42" i="2" s="1"/>
  <c r="AI24" i="1"/>
  <c r="AI40" i="1" s="1"/>
  <c r="C23" i="2" s="1"/>
  <c r="CL80" i="1"/>
  <c r="CL77" i="1"/>
  <c r="CL71" i="1"/>
  <c r="CL86" i="1"/>
  <c r="CL88" i="1" s="1"/>
  <c r="CL21" i="1"/>
  <c r="CL22" i="1" s="1"/>
  <c r="CL47" i="1" s="1"/>
  <c r="C41" i="3" s="1"/>
  <c r="BU77" i="1"/>
  <c r="BU81" i="1" s="1"/>
  <c r="BU71" i="1"/>
  <c r="BU20" i="1"/>
  <c r="BU86" i="1"/>
  <c r="BU88" i="1" s="1"/>
  <c r="AI88" i="1"/>
  <c r="AI21" i="1"/>
  <c r="AI22" i="1" s="1"/>
  <c r="AI46" i="1" s="1"/>
  <c r="C22" i="3" s="1"/>
  <c r="AI32" i="1"/>
  <c r="AI34" i="1" s="1"/>
  <c r="AI77" i="1"/>
  <c r="AI81" i="1" s="1"/>
  <c r="AI71" i="1"/>
  <c r="C20" i="6"/>
  <c r="C19" i="6"/>
  <c r="F19" i="6" s="1"/>
  <c r="C13" i="6"/>
  <c r="C12" i="6"/>
  <c r="F12" i="6" s="1"/>
  <c r="F62" i="6" s="1"/>
  <c r="DE17" i="1"/>
  <c r="C56" i="6" s="1"/>
  <c r="DE87" i="1"/>
  <c r="DE85" i="1"/>
  <c r="DE74" i="1"/>
  <c r="DE68" i="1"/>
  <c r="DE70" i="1" s="1"/>
  <c r="DE59" i="1"/>
  <c r="DE62" i="1" s="1"/>
  <c r="DE52" i="1"/>
  <c r="DE33" i="1"/>
  <c r="DE30" i="1"/>
  <c r="DE26" i="1"/>
  <c r="DE15" i="1"/>
  <c r="DE78" i="1" s="1"/>
  <c r="DE80" i="1" s="1"/>
  <c r="DX33" i="1"/>
  <c r="DX17" i="1"/>
  <c r="DX87" i="1"/>
  <c r="DX85" i="1"/>
  <c r="DX68" i="1"/>
  <c r="DX70" i="1" s="1"/>
  <c r="DX59" i="1"/>
  <c r="DX62" i="1" s="1"/>
  <c r="DX26" i="1"/>
  <c r="DX15" i="1"/>
  <c r="BB17" i="1"/>
  <c r="BB20" i="1" s="1"/>
  <c r="BB23" i="1" s="1"/>
  <c r="BB87" i="1"/>
  <c r="BB85" i="1"/>
  <c r="BB74" i="1"/>
  <c r="BB68" i="1"/>
  <c r="BB70" i="1" s="1"/>
  <c r="BB59" i="1"/>
  <c r="BB62" i="1" s="1"/>
  <c r="BB52" i="1"/>
  <c r="BB33" i="1"/>
  <c r="BB26" i="1"/>
  <c r="BB15" i="1"/>
  <c r="P87" i="1"/>
  <c r="P85" i="1"/>
  <c r="P68" i="1"/>
  <c r="P59" i="1"/>
  <c r="P62" i="1" s="1"/>
  <c r="B62" i="1" s="1"/>
  <c r="C41" i="4" s="1"/>
  <c r="P15" i="1"/>
  <c r="P78" i="1" s="1"/>
  <c r="P80" i="1" s="1"/>
  <c r="P33" i="1"/>
  <c r="P26" i="1"/>
  <c r="P17" i="1"/>
  <c r="D44" i="5"/>
  <c r="D11" i="5"/>
  <c r="C63" i="6" l="1"/>
  <c r="EP34" i="1"/>
  <c r="C10" i="5"/>
  <c r="DX86" i="1"/>
  <c r="C42" i="6"/>
  <c r="P86" i="1"/>
  <c r="P88" i="1" s="1"/>
  <c r="B17" i="1"/>
  <c r="C31" i="5"/>
  <c r="EP49" i="1"/>
  <c r="C36" i="5"/>
  <c r="P70" i="1"/>
  <c r="B68" i="1"/>
  <c r="B70" i="1" s="1"/>
  <c r="B77" i="1" s="1"/>
  <c r="B33" i="1"/>
  <c r="C12" i="4" s="1"/>
  <c r="EP42" i="1"/>
  <c r="ER42" i="1"/>
  <c r="EQ42" i="1"/>
  <c r="AI39" i="1"/>
  <c r="C22" i="2" s="1"/>
  <c r="AI41" i="1"/>
  <c r="BB86" i="1"/>
  <c r="BB88" i="1" s="1"/>
  <c r="CL32" i="1"/>
  <c r="CL34" i="1" s="1"/>
  <c r="CL81" i="1"/>
  <c r="CL40" i="1"/>
  <c r="C41" i="2" s="1"/>
  <c r="CL39" i="1"/>
  <c r="C40" i="2" s="1"/>
  <c r="CL46" i="1"/>
  <c r="C40" i="3" s="1"/>
  <c r="CL48" i="1"/>
  <c r="C42" i="3" s="1"/>
  <c r="BU21" i="1"/>
  <c r="BU22" i="1" s="1"/>
  <c r="BU23" i="1"/>
  <c r="BU24" i="1" s="1"/>
  <c r="AI48" i="1"/>
  <c r="C24" i="3" s="1"/>
  <c r="AI47" i="1"/>
  <c r="C23" i="3" s="1"/>
  <c r="C25" i="3" s="1"/>
  <c r="C14" i="6"/>
  <c r="C21" i="6"/>
  <c r="DE77" i="1"/>
  <c r="DE81" i="1" s="1"/>
  <c r="DE71" i="1"/>
  <c r="DE86" i="1"/>
  <c r="DE88" i="1" s="1"/>
  <c r="DE20" i="1"/>
  <c r="DE23" i="1" s="1"/>
  <c r="DE24" i="1" s="1"/>
  <c r="DX88" i="1"/>
  <c r="DX77" i="1"/>
  <c r="DX71" i="1"/>
  <c r="DX78" i="1"/>
  <c r="DX80" i="1" s="1"/>
  <c r="DX20" i="1"/>
  <c r="DX23" i="1" s="1"/>
  <c r="DX24" i="1" s="1"/>
  <c r="DX41" i="1" s="1"/>
  <c r="C36" i="2" s="1"/>
  <c r="BB24" i="1"/>
  <c r="BB32" i="1" s="1"/>
  <c r="BB34" i="1" s="1"/>
  <c r="BB21" i="1"/>
  <c r="BB22" i="1" s="1"/>
  <c r="BB48" i="1" s="1"/>
  <c r="C12" i="3" s="1"/>
  <c r="BB78" i="1"/>
  <c r="BB80" i="1" s="1"/>
  <c r="BB77" i="1"/>
  <c r="BB71" i="1"/>
  <c r="P71" i="1"/>
  <c r="B71" i="1" s="1"/>
  <c r="P77" i="1"/>
  <c r="P81" i="1" s="1"/>
  <c r="P20" i="1"/>
  <c r="P23" i="1" s="1"/>
  <c r="P24" i="1" s="1"/>
  <c r="AI42" i="1" l="1"/>
  <c r="C25" i="2" s="1"/>
  <c r="C24" i="2"/>
  <c r="C39" i="5"/>
  <c r="C43" i="3"/>
  <c r="C64" i="6"/>
  <c r="C43" i="2"/>
  <c r="B86" i="1"/>
  <c r="B88" i="1" s="1"/>
  <c r="B20" i="1"/>
  <c r="C12" i="5"/>
  <c r="CL42" i="1"/>
  <c r="BB41" i="1"/>
  <c r="C12" i="2" s="1"/>
  <c r="CL49" i="1"/>
  <c r="BU32" i="1"/>
  <c r="BU34" i="1" s="1"/>
  <c r="BU39" i="1"/>
  <c r="C28" i="2" s="1"/>
  <c r="BU40" i="1"/>
  <c r="C29" i="2" s="1"/>
  <c r="BU41" i="1"/>
  <c r="C30" i="2" s="1"/>
  <c r="BU47" i="1"/>
  <c r="C29" i="3" s="1"/>
  <c r="BU48" i="1"/>
  <c r="C30" i="3" s="1"/>
  <c r="BU46" i="1"/>
  <c r="C28" i="3" s="1"/>
  <c r="AI49" i="1"/>
  <c r="BB39" i="1"/>
  <c r="C10" i="2" s="1"/>
  <c r="BB40" i="1"/>
  <c r="C11" i="2" s="1"/>
  <c r="DE32" i="1"/>
  <c r="DE34" i="1" s="1"/>
  <c r="DE39" i="1"/>
  <c r="C46" i="2" s="1"/>
  <c r="DE41" i="1"/>
  <c r="C48" i="2" s="1"/>
  <c r="DE40" i="1"/>
  <c r="C47" i="2" s="1"/>
  <c r="DE21" i="1"/>
  <c r="DE22" i="1" s="1"/>
  <c r="DX32" i="1"/>
  <c r="DX34" i="1" s="1"/>
  <c r="DX40" i="1"/>
  <c r="C35" i="2" s="1"/>
  <c r="DX39" i="1"/>
  <c r="C34" i="2" s="1"/>
  <c r="DX21" i="1"/>
  <c r="DX22" i="1" s="1"/>
  <c r="DX81" i="1"/>
  <c r="BB46" i="1"/>
  <c r="C10" i="3" s="1"/>
  <c r="BB47" i="1"/>
  <c r="C11" i="3" s="1"/>
  <c r="BB81" i="1"/>
  <c r="B81" i="1" s="1"/>
  <c r="C45" i="4" s="1"/>
  <c r="P21" i="1"/>
  <c r="P22" i="1" s="1"/>
  <c r="P47" i="1" s="1"/>
  <c r="P39" i="1"/>
  <c r="P32" i="1"/>
  <c r="P40" i="1"/>
  <c r="P41" i="1"/>
  <c r="D49" i="5"/>
  <c r="C49" i="2" l="1"/>
  <c r="B23" i="1"/>
  <c r="B24" i="1" s="1"/>
  <c r="B21" i="1"/>
  <c r="B22" i="1" s="1"/>
  <c r="C37" i="2"/>
  <c r="C31" i="2"/>
  <c r="B39" i="1"/>
  <c r="C16" i="2"/>
  <c r="C53" i="2" s="1"/>
  <c r="C13" i="2"/>
  <c r="C18" i="2"/>
  <c r="B41" i="1"/>
  <c r="C17" i="3"/>
  <c r="C13" i="3"/>
  <c r="C17" i="2"/>
  <c r="C54" i="2" s="1"/>
  <c r="C28" i="4" s="1"/>
  <c r="B40" i="1"/>
  <c r="P34" i="1"/>
  <c r="B32" i="1"/>
  <c r="C31" i="3"/>
  <c r="C55" i="2"/>
  <c r="C29" i="4" s="1"/>
  <c r="DX42" i="1"/>
  <c r="BB42" i="1"/>
  <c r="BU49" i="1"/>
  <c r="BU42" i="1"/>
  <c r="DE47" i="1"/>
  <c r="C47" i="3" s="1"/>
  <c r="DE48" i="1"/>
  <c r="C48" i="3" s="1"/>
  <c r="DE46" i="1"/>
  <c r="C46" i="3" s="1"/>
  <c r="DE42" i="1"/>
  <c r="DX47" i="1"/>
  <c r="C35" i="3" s="1"/>
  <c r="DX46" i="1"/>
  <c r="C34" i="3" s="1"/>
  <c r="DX48" i="1"/>
  <c r="C36" i="3" s="1"/>
  <c r="P46" i="1"/>
  <c r="P48" i="1"/>
  <c r="BB49" i="1"/>
  <c r="P42" i="1"/>
  <c r="D37" i="5"/>
  <c r="D38" i="5"/>
  <c r="F49" i="6"/>
  <c r="F42" i="6"/>
  <c r="F64" i="6" s="1"/>
  <c r="C56" i="2" l="1"/>
  <c r="C27" i="4"/>
  <c r="C30" i="4" s="1"/>
  <c r="C18" i="3"/>
  <c r="B48" i="1"/>
  <c r="C16" i="3"/>
  <c r="B46" i="1"/>
  <c r="B49" i="1" s="1"/>
  <c r="C11" i="4"/>
  <c r="C13" i="4" s="1"/>
  <c r="B34" i="1"/>
  <c r="B47" i="1"/>
  <c r="C54" i="3"/>
  <c r="C37" i="3"/>
  <c r="C19" i="2"/>
  <c r="B42" i="1"/>
  <c r="C49" i="3"/>
  <c r="D29" i="5"/>
  <c r="D30" i="5"/>
  <c r="DE49" i="1"/>
  <c r="DX49" i="1"/>
  <c r="P49" i="1"/>
  <c r="D28" i="5"/>
  <c r="D36" i="5"/>
  <c r="E67" i="1"/>
  <c r="F67" i="1"/>
  <c r="F85" i="1" s="1"/>
  <c r="G67" i="1"/>
  <c r="H67" i="1"/>
  <c r="H85" i="1" s="1"/>
  <c r="I67" i="1"/>
  <c r="I85" i="1" s="1"/>
  <c r="J67" i="1"/>
  <c r="J85" i="1" s="1"/>
  <c r="K67" i="1"/>
  <c r="L67" i="1"/>
  <c r="L85" i="1" s="1"/>
  <c r="D69" i="1"/>
  <c r="F69" i="1"/>
  <c r="G69" i="1"/>
  <c r="H69" i="1"/>
  <c r="I69" i="1"/>
  <c r="J69" i="1"/>
  <c r="K69" i="1"/>
  <c r="L69" i="1"/>
  <c r="C69" i="1"/>
  <c r="C67" i="1"/>
  <c r="D61" i="1"/>
  <c r="E61" i="1"/>
  <c r="F61" i="1"/>
  <c r="G61" i="1"/>
  <c r="H61" i="1"/>
  <c r="I61" i="1"/>
  <c r="J61" i="1"/>
  <c r="K61" i="1"/>
  <c r="C61" i="1"/>
  <c r="F56" i="1"/>
  <c r="G56" i="1"/>
  <c r="H56" i="1"/>
  <c r="I56" i="1"/>
  <c r="J56" i="1"/>
  <c r="K56" i="1"/>
  <c r="L56" i="1"/>
  <c r="D57" i="1"/>
  <c r="E57" i="1"/>
  <c r="F57" i="1"/>
  <c r="G57" i="1"/>
  <c r="H57" i="1"/>
  <c r="I57" i="1"/>
  <c r="J57" i="1"/>
  <c r="K57" i="1"/>
  <c r="L57" i="1"/>
  <c r="D58" i="1"/>
  <c r="E58" i="1"/>
  <c r="F58" i="1"/>
  <c r="G58" i="1"/>
  <c r="H58" i="1"/>
  <c r="I58" i="1"/>
  <c r="J58" i="1"/>
  <c r="K58" i="1"/>
  <c r="L58" i="1"/>
  <c r="C57" i="1"/>
  <c r="C58" i="1"/>
  <c r="D12" i="1"/>
  <c r="E12" i="1"/>
  <c r="F12" i="1"/>
  <c r="G12" i="1"/>
  <c r="H12" i="1"/>
  <c r="I12" i="1"/>
  <c r="J12" i="1"/>
  <c r="K12" i="1"/>
  <c r="L12" i="1"/>
  <c r="D13" i="1"/>
  <c r="E13" i="1"/>
  <c r="F13" i="1"/>
  <c r="G13" i="1"/>
  <c r="H13" i="1"/>
  <c r="I13" i="1"/>
  <c r="J13" i="1"/>
  <c r="K13" i="1"/>
  <c r="L13" i="1"/>
  <c r="D14" i="1"/>
  <c r="E14" i="1"/>
  <c r="F14" i="1"/>
  <c r="G14" i="1"/>
  <c r="H14" i="1"/>
  <c r="I14" i="1"/>
  <c r="J14" i="1"/>
  <c r="K14" i="1"/>
  <c r="L14" i="1"/>
  <c r="D16" i="1"/>
  <c r="E16" i="1"/>
  <c r="F16" i="1"/>
  <c r="G16" i="1"/>
  <c r="H16" i="1"/>
  <c r="I16" i="1"/>
  <c r="J16" i="1"/>
  <c r="K16" i="1"/>
  <c r="L16" i="1"/>
  <c r="J17" i="1"/>
  <c r="D18" i="1"/>
  <c r="D87" i="1" s="1"/>
  <c r="E18" i="1"/>
  <c r="E87" i="1" s="1"/>
  <c r="F18" i="1"/>
  <c r="F87" i="1" s="1"/>
  <c r="G18" i="1"/>
  <c r="G87" i="1" s="1"/>
  <c r="H18" i="1"/>
  <c r="H87" i="1" s="1"/>
  <c r="I18" i="1"/>
  <c r="I87" i="1" s="1"/>
  <c r="J18" i="1"/>
  <c r="J87" i="1" s="1"/>
  <c r="K18" i="1"/>
  <c r="K87" i="1" s="1"/>
  <c r="L18" i="1"/>
  <c r="L87" i="1" s="1"/>
  <c r="D19" i="1"/>
  <c r="D26" i="1" s="1"/>
  <c r="E19" i="1"/>
  <c r="E26" i="1" s="1"/>
  <c r="F19" i="1"/>
  <c r="F26" i="1" s="1"/>
  <c r="G19" i="1"/>
  <c r="G26" i="1" s="1"/>
  <c r="H19" i="1"/>
  <c r="H26" i="1" s="1"/>
  <c r="I19" i="1"/>
  <c r="I26" i="1" s="1"/>
  <c r="J19" i="1"/>
  <c r="J26" i="1" s="1"/>
  <c r="C18" i="1"/>
  <c r="C19" i="1"/>
  <c r="C26" i="1" s="1"/>
  <c r="C16" i="1"/>
  <c r="C13" i="1"/>
  <c r="C14" i="1"/>
  <c r="CM79" i="1"/>
  <c r="C79" i="1" s="1"/>
  <c r="CM87" i="1"/>
  <c r="CM85" i="1"/>
  <c r="CM74" i="1"/>
  <c r="CM68" i="1"/>
  <c r="CM70" i="1" s="1"/>
  <c r="CM71" i="1" s="1"/>
  <c r="CM59" i="1"/>
  <c r="CM62" i="1" s="1"/>
  <c r="CM52" i="1"/>
  <c r="CM33" i="1"/>
  <c r="CM30" i="1"/>
  <c r="CM15" i="1"/>
  <c r="CM26" i="1"/>
  <c r="CM17" i="1"/>
  <c r="CM86" i="1" s="1"/>
  <c r="AJ87" i="1"/>
  <c r="AJ86" i="1"/>
  <c r="AJ85" i="1"/>
  <c r="AJ68" i="1"/>
  <c r="AJ70" i="1" s="1"/>
  <c r="AJ71" i="1" s="1"/>
  <c r="AJ59" i="1"/>
  <c r="AJ62" i="1" s="1"/>
  <c r="AJ33" i="1"/>
  <c r="AJ26" i="1"/>
  <c r="AJ20" i="1"/>
  <c r="AJ15" i="1"/>
  <c r="AJ78" i="1" s="1"/>
  <c r="AJ80" i="1" s="1"/>
  <c r="C19" i="3" l="1"/>
  <c r="C53" i="3"/>
  <c r="C35" i="4"/>
  <c r="D39" i="5"/>
  <c r="C55" i="3"/>
  <c r="D31" i="5"/>
  <c r="D10" i="5"/>
  <c r="AJ88" i="1"/>
  <c r="AI89" i="1" s="1"/>
  <c r="F15" i="1"/>
  <c r="F78" i="1" s="1"/>
  <c r="CM88" i="1"/>
  <c r="CL89" i="1" s="1"/>
  <c r="CM77" i="1"/>
  <c r="H15" i="1"/>
  <c r="H78" i="1" s="1"/>
  <c r="I59" i="1"/>
  <c r="L59" i="1"/>
  <c r="J15" i="1"/>
  <c r="J78" i="1" s="1"/>
  <c r="H59" i="1"/>
  <c r="AJ77" i="1"/>
  <c r="AJ81" i="1" s="1"/>
  <c r="CM78" i="1"/>
  <c r="CM80" i="1" s="1"/>
  <c r="AJ21" i="1"/>
  <c r="AJ22" i="1" s="1"/>
  <c r="AJ23" i="1"/>
  <c r="AJ24" i="1" s="1"/>
  <c r="AJ41" i="1" s="1"/>
  <c r="D15" i="1"/>
  <c r="D78" i="1" s="1"/>
  <c r="K59" i="1"/>
  <c r="G59" i="1"/>
  <c r="K85" i="1"/>
  <c r="G85" i="1"/>
  <c r="CM20" i="1"/>
  <c r="CM23" i="1" s="1"/>
  <c r="CM24" i="1" s="1"/>
  <c r="CM41" i="1" s="1"/>
  <c r="D42" i="2" s="1"/>
  <c r="L15" i="1"/>
  <c r="L78" i="1" s="1"/>
  <c r="K15" i="1"/>
  <c r="G15" i="1"/>
  <c r="E85" i="1"/>
  <c r="J20" i="1"/>
  <c r="I15" i="1"/>
  <c r="E15" i="1"/>
  <c r="J59" i="1"/>
  <c r="F59" i="1"/>
  <c r="J86" i="1"/>
  <c r="J88" i="1" s="1"/>
  <c r="F34" i="6"/>
  <c r="F27" i="6"/>
  <c r="DZ85" i="1"/>
  <c r="EA85" i="1"/>
  <c r="EB85" i="1"/>
  <c r="EC85" i="1"/>
  <c r="ED85" i="1"/>
  <c r="EE85" i="1"/>
  <c r="EF85" i="1"/>
  <c r="EG85" i="1"/>
  <c r="EH85" i="1"/>
  <c r="EI85" i="1"/>
  <c r="EJ85" i="1"/>
  <c r="EK85" i="1"/>
  <c r="EL85" i="1"/>
  <c r="EF86" i="1"/>
  <c r="DZ87" i="1"/>
  <c r="EA87" i="1"/>
  <c r="EB87" i="1"/>
  <c r="EC87" i="1"/>
  <c r="ED87" i="1"/>
  <c r="EE87" i="1"/>
  <c r="EF87" i="1"/>
  <c r="EG87" i="1"/>
  <c r="EH87" i="1"/>
  <c r="EI87" i="1"/>
  <c r="EJ87" i="1"/>
  <c r="EK87" i="1"/>
  <c r="EL87" i="1"/>
  <c r="DY87" i="1"/>
  <c r="DY85" i="1"/>
  <c r="DY56" i="1"/>
  <c r="C56" i="1" s="1"/>
  <c r="C59" i="1" s="1"/>
  <c r="D12" i="5" l="1"/>
  <c r="C36" i="4"/>
  <c r="C34" i="4"/>
  <c r="C37" i="4" s="1"/>
  <c r="C56" i="3"/>
  <c r="CM81" i="1"/>
  <c r="AJ39" i="1"/>
  <c r="AJ40" i="1"/>
  <c r="J21" i="1"/>
  <c r="J22" i="1" s="1"/>
  <c r="CM21" i="1"/>
  <c r="CM22" i="1" s="1"/>
  <c r="CM47" i="1" s="1"/>
  <c r="D41" i="3" s="1"/>
  <c r="G78" i="1"/>
  <c r="K78" i="1"/>
  <c r="E78" i="1"/>
  <c r="EF88" i="1"/>
  <c r="AJ32" i="1"/>
  <c r="AJ34" i="1" s="1"/>
  <c r="J23" i="1"/>
  <c r="J24" i="1" s="1"/>
  <c r="I78" i="1"/>
  <c r="CM32" i="1"/>
  <c r="CM34" i="1" s="1"/>
  <c r="CM39" i="1"/>
  <c r="CM40" i="1"/>
  <c r="D41" i="2" s="1"/>
  <c r="AJ46" i="1"/>
  <c r="AJ48" i="1"/>
  <c r="D24" i="3" s="1"/>
  <c r="AJ47" i="1"/>
  <c r="D23" i="3" s="1"/>
  <c r="F29" i="6"/>
  <c r="G28" i="6" s="1"/>
  <c r="F36" i="6"/>
  <c r="G35" i="6" s="1"/>
  <c r="C62" i="6"/>
  <c r="C65" i="6" s="1"/>
  <c r="DY68" i="1"/>
  <c r="DY70" i="1" s="1"/>
  <c r="DY71" i="1" s="1"/>
  <c r="DY59" i="1"/>
  <c r="DY62" i="1" s="1"/>
  <c r="DY33" i="1"/>
  <c r="DY26" i="1"/>
  <c r="DY17" i="1"/>
  <c r="DY20" i="1" s="1"/>
  <c r="DY23" i="1" s="1"/>
  <c r="DY24" i="1" s="1"/>
  <c r="DY15" i="1"/>
  <c r="CM48" i="1" l="1"/>
  <c r="D42" i="3" s="1"/>
  <c r="AJ42" i="1"/>
  <c r="D25" i="2" s="1"/>
  <c r="CM46" i="1"/>
  <c r="D40" i="3" s="1"/>
  <c r="G33" i="6"/>
  <c r="DY39" i="1"/>
  <c r="D34" i="2" s="1"/>
  <c r="DY40" i="1"/>
  <c r="D35" i="2" s="1"/>
  <c r="DY32" i="1"/>
  <c r="DY34" i="1" s="1"/>
  <c r="DY21" i="1"/>
  <c r="DY22" i="1" s="1"/>
  <c r="DY47" i="1" s="1"/>
  <c r="D35" i="3" s="1"/>
  <c r="DY77" i="1"/>
  <c r="AJ49" i="1"/>
  <c r="D22" i="3"/>
  <c r="DY78" i="1"/>
  <c r="DY80" i="1" s="1"/>
  <c r="DY86" i="1"/>
  <c r="DY88" i="1" s="1"/>
  <c r="DX89" i="1" s="1"/>
  <c r="C43" i="6"/>
  <c r="D41" i="6" s="1"/>
  <c r="DY41" i="1"/>
  <c r="CM42" i="1"/>
  <c r="D40" i="2"/>
  <c r="G26" i="6"/>
  <c r="G27" i="6"/>
  <c r="G34" i="6"/>
  <c r="D24" i="2"/>
  <c r="D23" i="2"/>
  <c r="D22" i="2"/>
  <c r="C85" i="1"/>
  <c r="C12" i="1"/>
  <c r="D43" i="2" l="1"/>
  <c r="CM49" i="1"/>
  <c r="DY81" i="1"/>
  <c r="G36" i="6"/>
  <c r="DY42" i="1"/>
  <c r="D36" i="2"/>
  <c r="C15" i="1"/>
  <c r="D42" i="6"/>
  <c r="D40" i="6"/>
  <c r="DY48" i="1"/>
  <c r="D36" i="3" s="1"/>
  <c r="DY46" i="1"/>
  <c r="BV87" i="1"/>
  <c r="BV85" i="1"/>
  <c r="BV68" i="1"/>
  <c r="BV70" i="1" s="1"/>
  <c r="BV59" i="1"/>
  <c r="BV62" i="1" s="1"/>
  <c r="BV33" i="1"/>
  <c r="BV26" i="1"/>
  <c r="BV17" i="1"/>
  <c r="BV15" i="1"/>
  <c r="D37" i="2" l="1"/>
  <c r="D43" i="6"/>
  <c r="BV77" i="1"/>
  <c r="BV71" i="1"/>
  <c r="DY49" i="1"/>
  <c r="D34" i="3"/>
  <c r="C36" i="6"/>
  <c r="D35" i="6" s="1"/>
  <c r="BV78" i="1"/>
  <c r="BV80" i="1" s="1"/>
  <c r="BV86" i="1"/>
  <c r="BV88" i="1" s="1"/>
  <c r="BU89" i="1" s="1"/>
  <c r="BV20" i="1"/>
  <c r="C78" i="1"/>
  <c r="C80" i="1" s="1"/>
  <c r="C87" i="1"/>
  <c r="BV23" i="1" l="1"/>
  <c r="BV24" i="1" s="1"/>
  <c r="BV21" i="1"/>
  <c r="BV22" i="1" s="1"/>
  <c r="D34" i="6"/>
  <c r="D33" i="6"/>
  <c r="BV81" i="1"/>
  <c r="DF17" i="1"/>
  <c r="DF87" i="1"/>
  <c r="DF85" i="1"/>
  <c r="DF74" i="1"/>
  <c r="DF68" i="1"/>
  <c r="DF70" i="1" s="1"/>
  <c r="DF59" i="1"/>
  <c r="DF62" i="1" s="1"/>
  <c r="DF52" i="1"/>
  <c r="DF33" i="1"/>
  <c r="DF30" i="1"/>
  <c r="DF26" i="1"/>
  <c r="DF15" i="1"/>
  <c r="Q68" i="1"/>
  <c r="Q26" i="1"/>
  <c r="Q17" i="1"/>
  <c r="Q86" i="1" s="1"/>
  <c r="Q87" i="1"/>
  <c r="Q59" i="1"/>
  <c r="Q62" i="1" s="1"/>
  <c r="Q33" i="1"/>
  <c r="Q15" i="1"/>
  <c r="Q78" i="1" s="1"/>
  <c r="Q80" i="1" s="1"/>
  <c r="BX85" i="1"/>
  <c r="BY85" i="1"/>
  <c r="BZ85" i="1"/>
  <c r="BX87" i="1"/>
  <c r="BY87" i="1"/>
  <c r="BZ87" i="1"/>
  <c r="BX59" i="1"/>
  <c r="BX62" i="1" s="1"/>
  <c r="BY59" i="1"/>
  <c r="BY62" i="1" s="1"/>
  <c r="BZ59" i="1"/>
  <c r="BZ62" i="1" s="1"/>
  <c r="BX33" i="1"/>
  <c r="BY33" i="1"/>
  <c r="BZ33" i="1"/>
  <c r="CA33" i="1"/>
  <c r="BX26" i="1"/>
  <c r="BY26" i="1"/>
  <c r="BZ26" i="1"/>
  <c r="CA26" i="1"/>
  <c r="CA17" i="1"/>
  <c r="CA20" i="1" s="1"/>
  <c r="CA23" i="1" s="1"/>
  <c r="BZ17" i="1"/>
  <c r="BZ86" i="1" s="1"/>
  <c r="BY17" i="1"/>
  <c r="BY20" i="1" s="1"/>
  <c r="BY23" i="1" s="1"/>
  <c r="BZ88" i="1" l="1"/>
  <c r="Q20" i="1"/>
  <c r="Q23" i="1" s="1"/>
  <c r="Q24" i="1" s="1"/>
  <c r="Q41" i="1" s="1"/>
  <c r="BY86" i="1"/>
  <c r="BZ20" i="1"/>
  <c r="BZ23" i="1" s="1"/>
  <c r="BZ24" i="1" s="1"/>
  <c r="Q70" i="1"/>
  <c r="Q71" i="1" s="1"/>
  <c r="DF78" i="1"/>
  <c r="DF80" i="1" s="1"/>
  <c r="BV48" i="1"/>
  <c r="D30" i="3" s="1"/>
  <c r="BV47" i="1"/>
  <c r="D29" i="3" s="1"/>
  <c r="BV46" i="1"/>
  <c r="BV39" i="1"/>
  <c r="BV41" i="1"/>
  <c r="D30" i="2" s="1"/>
  <c r="BV40" i="1"/>
  <c r="D29" i="2" s="1"/>
  <c r="BV32" i="1"/>
  <c r="BV34" i="1" s="1"/>
  <c r="Q21" i="1"/>
  <c r="Q22" i="1" s="1"/>
  <c r="DF86" i="1"/>
  <c r="DF88" i="1" s="1"/>
  <c r="DE89" i="1" s="1"/>
  <c r="D36" i="6"/>
  <c r="DF71" i="1"/>
  <c r="DF77" i="1"/>
  <c r="DF20" i="1"/>
  <c r="BY88" i="1"/>
  <c r="Q88" i="1"/>
  <c r="P89" i="1" s="1"/>
  <c r="Q85" i="1"/>
  <c r="CA24" i="1"/>
  <c r="CA32" i="1" s="1"/>
  <c r="CA34" i="1" s="1"/>
  <c r="BY24" i="1"/>
  <c r="BW87" i="1"/>
  <c r="BW85" i="1"/>
  <c r="BX68" i="1"/>
  <c r="BY68" i="1"/>
  <c r="BY70" i="1" s="1"/>
  <c r="BW68" i="1"/>
  <c r="BW59" i="1"/>
  <c r="BW62" i="1" s="1"/>
  <c r="BW33" i="1"/>
  <c r="BX17" i="1"/>
  <c r="BX15" i="1"/>
  <c r="BX78" i="1" s="1"/>
  <c r="BX80" i="1" s="1"/>
  <c r="BW17" i="1"/>
  <c r="BW20" i="1" s="1"/>
  <c r="BW23" i="1" s="1"/>
  <c r="BW26" i="1"/>
  <c r="BW15" i="1"/>
  <c r="BW78" i="1" s="1"/>
  <c r="BW80" i="1" s="1"/>
  <c r="BY89" i="1" l="1"/>
  <c r="Q39" i="1"/>
  <c r="Q40" i="1"/>
  <c r="Q77" i="1"/>
  <c r="Q81" i="1" s="1"/>
  <c r="BW86" i="1"/>
  <c r="BW88" i="1" s="1"/>
  <c r="BV89" i="1" s="1"/>
  <c r="BX20" i="1"/>
  <c r="BX23" i="1" s="1"/>
  <c r="BX24" i="1" s="1"/>
  <c r="BX32" i="1" s="1"/>
  <c r="BX34" i="1" s="1"/>
  <c r="BX86" i="1"/>
  <c r="BX88" i="1" s="1"/>
  <c r="BX89" i="1" s="1"/>
  <c r="D28" i="2"/>
  <c r="BV42" i="1"/>
  <c r="Q48" i="1"/>
  <c r="Q46" i="1"/>
  <c r="D28" i="3"/>
  <c r="BV49" i="1"/>
  <c r="D16" i="2"/>
  <c r="DF81" i="1"/>
  <c r="D17" i="2"/>
  <c r="D18" i="2"/>
  <c r="BX70" i="1"/>
  <c r="BX77" i="1" s="1"/>
  <c r="BX81" i="1" s="1"/>
  <c r="BW70" i="1"/>
  <c r="BW71" i="1" s="1"/>
  <c r="DF23" i="1"/>
  <c r="DF24" i="1" s="1"/>
  <c r="DF21" i="1"/>
  <c r="DF22" i="1" s="1"/>
  <c r="BY77" i="1"/>
  <c r="BY71" i="1"/>
  <c r="BY39" i="1"/>
  <c r="G28" i="2" s="1"/>
  <c r="BY32" i="1"/>
  <c r="BY34" i="1" s="1"/>
  <c r="BY41" i="1"/>
  <c r="G30" i="2" s="1"/>
  <c r="BY40" i="1"/>
  <c r="G29" i="2" s="1"/>
  <c r="BZ40" i="1"/>
  <c r="BZ39" i="1"/>
  <c r="BZ32" i="1"/>
  <c r="BZ34" i="1" s="1"/>
  <c r="BZ41" i="1"/>
  <c r="BW24" i="1"/>
  <c r="BW21" i="1"/>
  <c r="BW22" i="1" s="1"/>
  <c r="BC87" i="1"/>
  <c r="BC85" i="1"/>
  <c r="BC74" i="1"/>
  <c r="BC59" i="1"/>
  <c r="BC62" i="1" s="1"/>
  <c r="C62" i="1" s="1"/>
  <c r="D41" i="4" s="1"/>
  <c r="BC68" i="1"/>
  <c r="C68" i="1" s="1"/>
  <c r="C70" i="1" s="1"/>
  <c r="C77" i="1" s="1"/>
  <c r="BC52" i="1"/>
  <c r="BC33" i="1"/>
  <c r="C33" i="1" s="1"/>
  <c r="D12" i="4" s="1"/>
  <c r="BC30" i="1"/>
  <c r="BC26" i="1"/>
  <c r="BC17" i="1"/>
  <c r="BC86" i="1" s="1"/>
  <c r="BC15" i="1"/>
  <c r="BC78" i="1" s="1"/>
  <c r="BC80" i="1" s="1"/>
  <c r="Q42" i="1" l="1"/>
  <c r="BW89" i="1"/>
  <c r="BZ93" i="1" s="1"/>
  <c r="BX39" i="1"/>
  <c r="F28" i="2" s="1"/>
  <c r="BX40" i="1"/>
  <c r="F29" i="2" s="1"/>
  <c r="BX41" i="1"/>
  <c r="F30" i="2" s="1"/>
  <c r="BX21" i="1"/>
  <c r="BX22" i="1" s="1"/>
  <c r="BX71" i="1"/>
  <c r="BC88" i="1"/>
  <c r="BB89" i="1" s="1"/>
  <c r="B89" i="1" s="1"/>
  <c r="C18" i="4" s="1"/>
  <c r="BC70" i="1"/>
  <c r="BC71" i="1" s="1"/>
  <c r="C71" i="1" s="1"/>
  <c r="D19" i="2"/>
  <c r="D16" i="3"/>
  <c r="D31" i="2"/>
  <c r="DF47" i="1"/>
  <c r="D47" i="3" s="1"/>
  <c r="DF48" i="1"/>
  <c r="D48" i="3" s="1"/>
  <c r="DF46" i="1"/>
  <c r="D18" i="3"/>
  <c r="C17" i="1"/>
  <c r="BW77" i="1"/>
  <c r="BW81" i="1" s="1"/>
  <c r="BC20" i="1"/>
  <c r="G31" i="2"/>
  <c r="D31" i="3"/>
  <c r="DF40" i="1"/>
  <c r="D47" i="2" s="1"/>
  <c r="DF32" i="1"/>
  <c r="DF34" i="1" s="1"/>
  <c r="DF39" i="1"/>
  <c r="D46" i="2" s="1"/>
  <c r="DF41" i="1"/>
  <c r="D48" i="2" s="1"/>
  <c r="BX47" i="1"/>
  <c r="F29" i="3" s="1"/>
  <c r="BX48" i="1"/>
  <c r="F30" i="3" s="1"/>
  <c r="BY42" i="1"/>
  <c r="BZ42" i="1"/>
  <c r="BX46" i="1"/>
  <c r="F28" i="3" s="1"/>
  <c r="Q47" i="1"/>
  <c r="Q32" i="1"/>
  <c r="BW46" i="1"/>
  <c r="E28" i="3" s="1"/>
  <c r="BW48" i="1"/>
  <c r="E30" i="3" s="1"/>
  <c r="BW47" i="1"/>
  <c r="E29" i="3" s="1"/>
  <c r="BW40" i="1"/>
  <c r="E29" i="2" s="1"/>
  <c r="H29" i="2" s="1"/>
  <c r="BW32" i="1"/>
  <c r="BW34" i="1" s="1"/>
  <c r="BW39" i="1"/>
  <c r="E28" i="2" s="1"/>
  <c r="H28" i="2" s="1"/>
  <c r="H31" i="2" s="1"/>
  <c r="BW41" i="1"/>
  <c r="E30" i="2" s="1"/>
  <c r="H30" i="2" s="1"/>
  <c r="R67" i="1"/>
  <c r="BD67" i="1"/>
  <c r="BY93" i="1" l="1"/>
  <c r="BX42" i="1"/>
  <c r="F31" i="2"/>
  <c r="BC77" i="1"/>
  <c r="BC81" i="1" s="1"/>
  <c r="C81" i="1" s="1"/>
  <c r="D45" i="4" s="1"/>
  <c r="D17" i="3"/>
  <c r="E31" i="2"/>
  <c r="F31" i="3"/>
  <c r="E31" i="3"/>
  <c r="D67" i="1"/>
  <c r="Q34" i="1"/>
  <c r="D49" i="2"/>
  <c r="BC23" i="1"/>
  <c r="BC24" i="1" s="1"/>
  <c r="BC21" i="1"/>
  <c r="BC22" i="1" s="1"/>
  <c r="C20" i="1"/>
  <c r="C86" i="1"/>
  <c r="C88" i="1" s="1"/>
  <c r="DF49" i="1"/>
  <c r="D46" i="3"/>
  <c r="DF42" i="1"/>
  <c r="BX49" i="1"/>
  <c r="BW49" i="1"/>
  <c r="Q49" i="1"/>
  <c r="BW42" i="1"/>
  <c r="BC40" i="1" l="1"/>
  <c r="BC39" i="1"/>
  <c r="BC41" i="1"/>
  <c r="BC32" i="1"/>
  <c r="D85" i="1"/>
  <c r="C21" i="1"/>
  <c r="C22" i="1" s="1"/>
  <c r="C23" i="1"/>
  <c r="C24" i="1" s="1"/>
  <c r="D49" i="3"/>
  <c r="BC47" i="1"/>
  <c r="BC46" i="1"/>
  <c r="BC48" i="1"/>
  <c r="D10" i="2" l="1"/>
  <c r="C39" i="1"/>
  <c r="BC42" i="1"/>
  <c r="D12" i="3"/>
  <c r="C48" i="1"/>
  <c r="D11" i="2"/>
  <c r="C40" i="1"/>
  <c r="BC49" i="1"/>
  <c r="D10" i="3"/>
  <c r="C46" i="1"/>
  <c r="BC34" i="1"/>
  <c r="C32" i="1"/>
  <c r="D11" i="3"/>
  <c r="C47" i="1"/>
  <c r="D12" i="2"/>
  <c r="C41" i="1"/>
  <c r="D54" i="2" l="1"/>
  <c r="D28" i="4" s="1"/>
  <c r="D54" i="3"/>
  <c r="D55" i="3"/>
  <c r="D53" i="3"/>
  <c r="D53" i="2"/>
  <c r="D55" i="2"/>
  <c r="D29" i="4" s="1"/>
  <c r="C42" i="1"/>
  <c r="C49" i="1"/>
  <c r="D13" i="2"/>
  <c r="C34" i="1"/>
  <c r="D11" i="4"/>
  <c r="E44" i="5"/>
  <c r="F30" i="5"/>
  <c r="F29" i="5"/>
  <c r="F28" i="5"/>
  <c r="F11" i="5"/>
  <c r="E11" i="5"/>
  <c r="F10" i="5"/>
  <c r="F38" i="5"/>
  <c r="E30" i="1"/>
  <c r="E52" i="1" s="1"/>
  <c r="E74" i="1" s="1"/>
  <c r="D30" i="1"/>
  <c r="D52" i="1" s="1"/>
  <c r="D74" i="1" s="1"/>
  <c r="EA33" i="1"/>
  <c r="DZ33" i="1"/>
  <c r="EA26" i="1"/>
  <c r="DZ26" i="1"/>
  <c r="EA17" i="1"/>
  <c r="DZ17" i="1"/>
  <c r="EA15" i="1"/>
  <c r="DZ15" i="1"/>
  <c r="EA68" i="1"/>
  <c r="EA70" i="1" s="1"/>
  <c r="EA71" i="1" s="1"/>
  <c r="DZ68" i="1"/>
  <c r="DZ70" i="1" s="1"/>
  <c r="DZ71" i="1" s="1"/>
  <c r="EA56" i="1"/>
  <c r="DZ56" i="1"/>
  <c r="DH87" i="1"/>
  <c r="DG87" i="1"/>
  <c r="DH85" i="1"/>
  <c r="DG85" i="1"/>
  <c r="DG74" i="1"/>
  <c r="DH68" i="1"/>
  <c r="DH70" i="1" s="1"/>
  <c r="DG68" i="1"/>
  <c r="DG70" i="1" s="1"/>
  <c r="DG71" i="1" s="1"/>
  <c r="DH59" i="1"/>
  <c r="DH62" i="1" s="1"/>
  <c r="DG59" i="1"/>
  <c r="DG62" i="1" s="1"/>
  <c r="DG52" i="1"/>
  <c r="DH33" i="1"/>
  <c r="DG33" i="1"/>
  <c r="DG30" i="1"/>
  <c r="DH26" i="1"/>
  <c r="DG26" i="1"/>
  <c r="DH17" i="1"/>
  <c r="DH20" i="1" s="1"/>
  <c r="DH23" i="1" s="1"/>
  <c r="DG17" i="1"/>
  <c r="DG86" i="1" s="1"/>
  <c r="DH15" i="1"/>
  <c r="DH78" i="1" s="1"/>
  <c r="DH80" i="1" s="1"/>
  <c r="DG15" i="1"/>
  <c r="DG78" i="1" s="1"/>
  <c r="DG80" i="1" s="1"/>
  <c r="D56" i="3" l="1"/>
  <c r="D56" i="2"/>
  <c r="D13" i="4"/>
  <c r="F12" i="5"/>
  <c r="F31" i="5"/>
  <c r="DZ86" i="1"/>
  <c r="DZ88" i="1" s="1"/>
  <c r="EA86" i="1"/>
  <c r="EA88" i="1" s="1"/>
  <c r="DZ59" i="1"/>
  <c r="DZ62" i="1" s="1"/>
  <c r="D56" i="1"/>
  <c r="D59" i="1" s="1"/>
  <c r="DZ78" i="1"/>
  <c r="DZ80" i="1" s="1"/>
  <c r="EA20" i="1"/>
  <c r="EA23" i="1" s="1"/>
  <c r="EA24" i="1" s="1"/>
  <c r="EA32" i="1" s="1"/>
  <c r="EA34" i="1" s="1"/>
  <c r="D34" i="4"/>
  <c r="DG88" i="1"/>
  <c r="DF89" i="1" s="1"/>
  <c r="DH86" i="1"/>
  <c r="DH88" i="1" s="1"/>
  <c r="DG89" i="1" s="1"/>
  <c r="EA59" i="1"/>
  <c r="EA62" i="1" s="1"/>
  <c r="E56" i="1"/>
  <c r="E59" i="1" s="1"/>
  <c r="EA78" i="1"/>
  <c r="EA80" i="1" s="1"/>
  <c r="D36" i="4"/>
  <c r="D35" i="4"/>
  <c r="D27" i="4"/>
  <c r="F44" i="5"/>
  <c r="DZ20" i="1"/>
  <c r="DZ23" i="1" s="1"/>
  <c r="DZ24" i="1" s="1"/>
  <c r="F37" i="5"/>
  <c r="E29" i="5"/>
  <c r="E28" i="5"/>
  <c r="E30" i="5"/>
  <c r="DH71" i="1"/>
  <c r="DH77" i="1"/>
  <c r="DH81" i="1" s="1"/>
  <c r="DZ77" i="1"/>
  <c r="DG20" i="1"/>
  <c r="DG23" i="1" s="1"/>
  <c r="DG24" i="1" s="1"/>
  <c r="DG41" i="1" s="1"/>
  <c r="E48" i="2" s="1"/>
  <c r="EA77" i="1"/>
  <c r="DH21" i="1"/>
  <c r="DH22" i="1" s="1"/>
  <c r="DH46" i="1" s="1"/>
  <c r="F46" i="3" s="1"/>
  <c r="DH24" i="1"/>
  <c r="DG77" i="1"/>
  <c r="DG81" i="1" s="1"/>
  <c r="CO87" i="1"/>
  <c r="CN87" i="1"/>
  <c r="CO85" i="1"/>
  <c r="CN85" i="1"/>
  <c r="CO79" i="1"/>
  <c r="E79" i="1" s="1"/>
  <c r="E80" i="1" s="1"/>
  <c r="CN79" i="1"/>
  <c r="D79" i="1" s="1"/>
  <c r="D80" i="1" s="1"/>
  <c r="CN74" i="1"/>
  <c r="CO68" i="1"/>
  <c r="CO70" i="1" s="1"/>
  <c r="CO71" i="1" s="1"/>
  <c r="CN68" i="1"/>
  <c r="CN70" i="1" s="1"/>
  <c r="CN71" i="1" s="1"/>
  <c r="CO59" i="1"/>
  <c r="CO62" i="1" s="1"/>
  <c r="CN59" i="1"/>
  <c r="CN62" i="1" s="1"/>
  <c r="CN52" i="1"/>
  <c r="CO33" i="1"/>
  <c r="CN33" i="1"/>
  <c r="CN30" i="1"/>
  <c r="CO26" i="1"/>
  <c r="CN26" i="1"/>
  <c r="CO17" i="1"/>
  <c r="CO86" i="1" s="1"/>
  <c r="CN17" i="1"/>
  <c r="CO15" i="1"/>
  <c r="CN15" i="1"/>
  <c r="D30" i="4" l="1"/>
  <c r="F49" i="5"/>
  <c r="EA81" i="1"/>
  <c r="DZ81" i="1"/>
  <c r="EA21" i="1"/>
  <c r="EA22" i="1" s="1"/>
  <c r="EA47" i="1" s="1"/>
  <c r="F35" i="3" s="1"/>
  <c r="E31" i="5"/>
  <c r="D18" i="5"/>
  <c r="E18" i="5"/>
  <c r="DY89" i="1"/>
  <c r="DZ89" i="1"/>
  <c r="F36" i="5"/>
  <c r="F39" i="5" s="1"/>
  <c r="D37" i="4"/>
  <c r="DZ39" i="1"/>
  <c r="E34" i="2" s="1"/>
  <c r="DZ40" i="1"/>
  <c r="E35" i="2" s="1"/>
  <c r="EA39" i="1"/>
  <c r="F34" i="2" s="1"/>
  <c r="EA40" i="1"/>
  <c r="F35" i="2" s="1"/>
  <c r="EA41" i="1"/>
  <c r="F36" i="2" s="1"/>
  <c r="DZ41" i="1"/>
  <c r="E36" i="2" s="1"/>
  <c r="DZ32" i="1"/>
  <c r="DZ34" i="1" s="1"/>
  <c r="DZ21" i="1"/>
  <c r="DZ22" i="1" s="1"/>
  <c r="CN86" i="1"/>
  <c r="CN88" i="1" s="1"/>
  <c r="CM89" i="1" s="1"/>
  <c r="E49" i="5"/>
  <c r="E10" i="5"/>
  <c r="E36" i="5"/>
  <c r="E37" i="5"/>
  <c r="E38" i="5"/>
  <c r="DG39" i="1"/>
  <c r="DG40" i="1"/>
  <c r="E47" i="2" s="1"/>
  <c r="DG32" i="1"/>
  <c r="DG34" i="1" s="1"/>
  <c r="CN20" i="1"/>
  <c r="CN23" i="1" s="1"/>
  <c r="CN24" i="1" s="1"/>
  <c r="CN40" i="1" s="1"/>
  <c r="E41" i="2" s="1"/>
  <c r="DG21" i="1"/>
  <c r="DG22" i="1" s="1"/>
  <c r="DG47" i="1" s="1"/>
  <c r="E47" i="3" s="1"/>
  <c r="CO20" i="1"/>
  <c r="CO23" i="1" s="1"/>
  <c r="CO24" i="1" s="1"/>
  <c r="CO39" i="1" s="1"/>
  <c r="F40" i="2" s="1"/>
  <c r="DH41" i="1"/>
  <c r="F48" i="2" s="1"/>
  <c r="DH39" i="1"/>
  <c r="F46" i="2" s="1"/>
  <c r="DH32" i="1"/>
  <c r="DH34" i="1" s="1"/>
  <c r="DH40" i="1"/>
  <c r="DH47" i="1"/>
  <c r="F47" i="3" s="1"/>
  <c r="DH48" i="1"/>
  <c r="F48" i="3" s="1"/>
  <c r="CO77" i="1"/>
  <c r="CN78" i="1"/>
  <c r="CN80" i="1" s="1"/>
  <c r="CO78" i="1"/>
  <c r="CO80" i="1" s="1"/>
  <c r="CN77" i="1"/>
  <c r="CO88" i="1"/>
  <c r="AL85" i="1"/>
  <c r="AL87" i="1"/>
  <c r="AK87" i="1"/>
  <c r="AL86" i="1"/>
  <c r="AK86" i="1"/>
  <c r="AK85" i="1"/>
  <c r="AL69" i="1"/>
  <c r="E69" i="1" s="1"/>
  <c r="AL68" i="1"/>
  <c r="AK68" i="1"/>
  <c r="AK70" i="1" s="1"/>
  <c r="AK71" i="1" s="1"/>
  <c r="EA46" i="1" l="1"/>
  <c r="EA49" i="1" s="1"/>
  <c r="EA48" i="1"/>
  <c r="F36" i="3" s="1"/>
  <c r="DG46" i="1"/>
  <c r="E46" i="3" s="1"/>
  <c r="F49" i="3"/>
  <c r="F37" i="2"/>
  <c r="E39" i="5"/>
  <c r="EA42" i="1"/>
  <c r="F34" i="3"/>
  <c r="F37" i="3" s="1"/>
  <c r="DZ47" i="1"/>
  <c r="E35" i="3" s="1"/>
  <c r="DZ48" i="1"/>
  <c r="E36" i="3" s="1"/>
  <c r="DZ46" i="1"/>
  <c r="DZ42" i="1"/>
  <c r="E12" i="5"/>
  <c r="E37" i="2"/>
  <c r="CN81" i="1"/>
  <c r="DG48" i="1"/>
  <c r="E48" i="3" s="1"/>
  <c r="DG42" i="1"/>
  <c r="E46" i="2"/>
  <c r="DH49" i="1"/>
  <c r="DH42" i="1"/>
  <c r="F47" i="2"/>
  <c r="F49" i="2" s="1"/>
  <c r="CO32" i="1"/>
  <c r="CO34" i="1" s="1"/>
  <c r="CO41" i="1"/>
  <c r="F42" i="2" s="1"/>
  <c r="CN21" i="1"/>
  <c r="CN22" i="1" s="1"/>
  <c r="CN46" i="1" s="1"/>
  <c r="E40" i="3" s="1"/>
  <c r="CO21" i="1"/>
  <c r="CO22" i="1" s="1"/>
  <c r="CN32" i="1"/>
  <c r="CN34" i="1" s="1"/>
  <c r="CN39" i="1"/>
  <c r="E40" i="2" s="1"/>
  <c r="CN89" i="1"/>
  <c r="CO40" i="1"/>
  <c r="F41" i="2" s="1"/>
  <c r="CN41" i="1"/>
  <c r="E42" i="2" s="1"/>
  <c r="CO81" i="1"/>
  <c r="AL88" i="1"/>
  <c r="AK88" i="1"/>
  <c r="AJ89" i="1" s="1"/>
  <c r="AK77" i="1"/>
  <c r="AL70" i="1"/>
  <c r="AL71" i="1" s="1"/>
  <c r="AL59" i="1"/>
  <c r="AL62" i="1" s="1"/>
  <c r="AK59" i="1"/>
  <c r="AK62" i="1" s="1"/>
  <c r="AL33" i="1"/>
  <c r="AK33" i="1"/>
  <c r="AL26" i="1"/>
  <c r="AK26" i="1"/>
  <c r="AL20" i="1"/>
  <c r="AL23" i="1" s="1"/>
  <c r="AK20" i="1"/>
  <c r="AK23" i="1" s="1"/>
  <c r="AL15" i="1"/>
  <c r="AL78" i="1" s="1"/>
  <c r="AL80" i="1" s="1"/>
  <c r="AK15" i="1"/>
  <c r="AK78" i="1" s="1"/>
  <c r="AK80" i="1" s="1"/>
  <c r="S87" i="1"/>
  <c r="R87" i="1"/>
  <c r="S85" i="1"/>
  <c r="R85" i="1"/>
  <c r="S68" i="1"/>
  <c r="R68" i="1"/>
  <c r="R59" i="1"/>
  <c r="R62" i="1" s="1"/>
  <c r="S59" i="1"/>
  <c r="S62" i="1" s="1"/>
  <c r="S17" i="1"/>
  <c r="S33" i="1"/>
  <c r="R33" i="1"/>
  <c r="S26" i="1"/>
  <c r="R26" i="1"/>
  <c r="R17" i="1"/>
  <c r="S15" i="1"/>
  <c r="S78" i="1" s="1"/>
  <c r="S80" i="1" s="1"/>
  <c r="R15" i="1"/>
  <c r="R78" i="1" s="1"/>
  <c r="R80" i="1" s="1"/>
  <c r="DZ49" i="1" l="1"/>
  <c r="E34" i="3"/>
  <c r="S20" i="1"/>
  <c r="S23" i="1" s="1"/>
  <c r="S24" i="1" s="1"/>
  <c r="S40" i="1" s="1"/>
  <c r="E49" i="3"/>
  <c r="DG49" i="1"/>
  <c r="D37" i="3"/>
  <c r="F43" i="2"/>
  <c r="R70" i="1"/>
  <c r="R71" i="1" s="1"/>
  <c r="S86" i="1"/>
  <c r="S88" i="1" s="1"/>
  <c r="S70" i="1"/>
  <c r="S71" i="1" s="1"/>
  <c r="R86" i="1"/>
  <c r="R88" i="1" s="1"/>
  <c r="Q89" i="1" s="1"/>
  <c r="E43" i="2"/>
  <c r="CN42" i="1"/>
  <c r="E49" i="2"/>
  <c r="CO42" i="1"/>
  <c r="CO46" i="1"/>
  <c r="F40" i="3" s="1"/>
  <c r="CO47" i="1"/>
  <c r="F41" i="3" s="1"/>
  <c r="CO48" i="1"/>
  <c r="F42" i="3" s="1"/>
  <c r="CN47" i="1"/>
  <c r="E41" i="3" s="1"/>
  <c r="CN48" i="1"/>
  <c r="E42" i="3" s="1"/>
  <c r="AK89" i="1"/>
  <c r="AL24" i="1"/>
  <c r="AL40" i="1" s="1"/>
  <c r="F23" i="2" s="1"/>
  <c r="AK24" i="1"/>
  <c r="AK40" i="1" s="1"/>
  <c r="E23" i="2" s="1"/>
  <c r="R20" i="1"/>
  <c r="R23" i="1" s="1"/>
  <c r="R24" i="1" s="1"/>
  <c r="AL77" i="1"/>
  <c r="AL81" i="1" s="1"/>
  <c r="AK81" i="1"/>
  <c r="AK21" i="1"/>
  <c r="AK22" i="1" s="1"/>
  <c r="AK46" i="1" s="1"/>
  <c r="E22" i="3" s="1"/>
  <c r="AL21" i="1"/>
  <c r="AL22" i="1" s="1"/>
  <c r="AL46" i="1" s="1"/>
  <c r="F22" i="3" s="1"/>
  <c r="BE87" i="1"/>
  <c r="BD87" i="1"/>
  <c r="BE85" i="1"/>
  <c r="BD85" i="1"/>
  <c r="BE74" i="1"/>
  <c r="BD74" i="1"/>
  <c r="BE68" i="1"/>
  <c r="BE70" i="1" s="1"/>
  <c r="BD68" i="1"/>
  <c r="BD70" i="1" s="1"/>
  <c r="BD77" i="1" s="1"/>
  <c r="BD59" i="1"/>
  <c r="BD62" i="1" s="1"/>
  <c r="D62" i="1" s="1"/>
  <c r="E41" i="4" s="1"/>
  <c r="BE59" i="1"/>
  <c r="BE62" i="1" s="1"/>
  <c r="E62" i="1" s="1"/>
  <c r="BE52" i="1"/>
  <c r="BD52" i="1"/>
  <c r="BE33" i="1"/>
  <c r="E33" i="1" s="1"/>
  <c r="BD33" i="1"/>
  <c r="D33" i="1" s="1"/>
  <c r="BE30" i="1"/>
  <c r="BD30" i="1"/>
  <c r="BE26" i="1"/>
  <c r="BD26" i="1"/>
  <c r="BE17" i="1"/>
  <c r="BE86" i="1" s="1"/>
  <c r="BD17" i="1"/>
  <c r="D17" i="1" s="1"/>
  <c r="BE15" i="1"/>
  <c r="BE78" i="1" s="1"/>
  <c r="BE80" i="1" s="1"/>
  <c r="BD15" i="1"/>
  <c r="BD78" i="1" s="1"/>
  <c r="BD80" i="1" s="1"/>
  <c r="E68" i="1" l="1"/>
  <c r="E70" i="1" s="1"/>
  <c r="E77" i="1" s="1"/>
  <c r="E43" i="3"/>
  <c r="E17" i="1"/>
  <c r="F43" i="3"/>
  <c r="D20" i="1"/>
  <c r="D86" i="1"/>
  <c r="D88" i="1" s="1"/>
  <c r="S21" i="1"/>
  <c r="S22" i="1" s="1"/>
  <c r="S46" i="1" s="1"/>
  <c r="D68" i="1"/>
  <c r="D70" i="1" s="1"/>
  <c r="D77" i="1" s="1"/>
  <c r="E37" i="3"/>
  <c r="F12" i="4"/>
  <c r="E12" i="4"/>
  <c r="F41" i="4"/>
  <c r="S39" i="1"/>
  <c r="S77" i="1"/>
  <c r="S81" i="1" s="1"/>
  <c r="R77" i="1"/>
  <c r="R81" i="1" s="1"/>
  <c r="F17" i="2"/>
  <c r="CN49" i="1"/>
  <c r="BE20" i="1"/>
  <c r="BE23" i="1" s="1"/>
  <c r="BE24" i="1" s="1"/>
  <c r="BE39" i="1" s="1"/>
  <c r="F10" i="2" s="1"/>
  <c r="AL41" i="1"/>
  <c r="F24" i="2" s="1"/>
  <c r="CO49" i="1"/>
  <c r="AK41" i="1"/>
  <c r="E24" i="2" s="1"/>
  <c r="AL32" i="1"/>
  <c r="AL34" i="1" s="1"/>
  <c r="AL39" i="1"/>
  <c r="AK39" i="1"/>
  <c r="E22" i="2" s="1"/>
  <c r="AK32" i="1"/>
  <c r="AK34" i="1" s="1"/>
  <c r="R89" i="1"/>
  <c r="R21" i="1"/>
  <c r="R22" i="1" s="1"/>
  <c r="R48" i="1" s="1"/>
  <c r="BE88" i="1"/>
  <c r="BD81" i="1"/>
  <c r="S32" i="1"/>
  <c r="BE71" i="1"/>
  <c r="E71" i="1" s="1"/>
  <c r="BE77" i="1"/>
  <c r="BE81" i="1" s="1"/>
  <c r="BD86" i="1"/>
  <c r="BD88" i="1" s="1"/>
  <c r="BC89" i="1" s="1"/>
  <c r="AL48" i="1"/>
  <c r="F24" i="3" s="1"/>
  <c r="AL47" i="1"/>
  <c r="F23" i="3" s="1"/>
  <c r="BD71" i="1"/>
  <c r="D71" i="1" s="1"/>
  <c r="S41" i="1"/>
  <c r="AK48" i="1"/>
  <c r="E24" i="3" s="1"/>
  <c r="AK47" i="1"/>
  <c r="E23" i="3" s="1"/>
  <c r="BD20" i="1"/>
  <c r="BD23" i="1" s="1"/>
  <c r="BD24" i="1" s="1"/>
  <c r="R40" i="1"/>
  <c r="R32" i="1"/>
  <c r="R39" i="1"/>
  <c r="R41" i="1"/>
  <c r="S48" i="1" l="1"/>
  <c r="S47" i="1"/>
  <c r="F17" i="3" s="1"/>
  <c r="C89" i="1"/>
  <c r="D18" i="4" s="1"/>
  <c r="E81" i="1"/>
  <c r="F45" i="4" s="1"/>
  <c r="F25" i="3"/>
  <c r="F16" i="3"/>
  <c r="E39" i="1"/>
  <c r="E18" i="3"/>
  <c r="F16" i="2"/>
  <c r="F18" i="3"/>
  <c r="D81" i="1"/>
  <c r="E45" i="4" s="1"/>
  <c r="D23" i="1"/>
  <c r="D24" i="1" s="1"/>
  <c r="D21" i="1"/>
  <c r="D22" i="1" s="1"/>
  <c r="E20" i="1"/>
  <c r="E86" i="1"/>
  <c r="E88" i="1" s="1"/>
  <c r="E25" i="3"/>
  <c r="BD89" i="1"/>
  <c r="D89" i="1" s="1"/>
  <c r="BE21" i="1"/>
  <c r="BE22" i="1" s="1"/>
  <c r="BE48" i="1" s="1"/>
  <c r="F12" i="3" s="1"/>
  <c r="F55" i="3" s="1"/>
  <c r="R46" i="1"/>
  <c r="E17" i="2"/>
  <c r="S34" i="1"/>
  <c r="AL42" i="1"/>
  <c r="F25" i="2" s="1"/>
  <c r="F22" i="2"/>
  <c r="F53" i="2" s="1"/>
  <c r="E16" i="2"/>
  <c r="D43" i="3"/>
  <c r="R34" i="1"/>
  <c r="E18" i="2"/>
  <c r="S42" i="1"/>
  <c r="F18" i="2"/>
  <c r="D25" i="3"/>
  <c r="AK42" i="1"/>
  <c r="E25" i="2" s="1"/>
  <c r="AK49" i="1"/>
  <c r="BE41" i="1"/>
  <c r="F12" i="2" s="1"/>
  <c r="BE40" i="1"/>
  <c r="E40" i="1" s="1"/>
  <c r="R47" i="1"/>
  <c r="AL49" i="1"/>
  <c r="BE32" i="1"/>
  <c r="BE34" i="1" s="1"/>
  <c r="BD40" i="1"/>
  <c r="E11" i="2" s="1"/>
  <c r="BD39" i="1"/>
  <c r="E10" i="2" s="1"/>
  <c r="BD32" i="1"/>
  <c r="BD34" i="1" s="1"/>
  <c r="BD41" i="1"/>
  <c r="E12" i="2" s="1"/>
  <c r="BD21" i="1"/>
  <c r="BD22" i="1" s="1"/>
  <c r="R42" i="1"/>
  <c r="S49" i="1"/>
  <c r="F55" i="2" l="1"/>
  <c r="E53" i="2"/>
  <c r="E54" i="2"/>
  <c r="E55" i="2"/>
  <c r="D39" i="1"/>
  <c r="D32" i="1"/>
  <c r="D34" i="1" s="1"/>
  <c r="F36" i="4"/>
  <c r="F19" i="2"/>
  <c r="E16" i="3"/>
  <c r="E23" i="1"/>
  <c r="E24" i="1" s="1"/>
  <c r="E21" i="1"/>
  <c r="E22" i="1" s="1"/>
  <c r="E17" i="3"/>
  <c r="F27" i="4"/>
  <c r="E32" i="1"/>
  <c r="E34" i="1" s="1"/>
  <c r="E48" i="1"/>
  <c r="D41" i="1"/>
  <c r="F19" i="3"/>
  <c r="D40" i="1"/>
  <c r="E41" i="1"/>
  <c r="E42" i="1" s="1"/>
  <c r="F29" i="4"/>
  <c r="BE46" i="1"/>
  <c r="BE47" i="1"/>
  <c r="E18" i="4"/>
  <c r="R49" i="1"/>
  <c r="E13" i="2"/>
  <c r="E19" i="2"/>
  <c r="BE42" i="1"/>
  <c r="F11" i="2"/>
  <c r="F54" i="2" s="1"/>
  <c r="F56" i="2" s="1"/>
  <c r="BD42" i="1"/>
  <c r="BD47" i="1"/>
  <c r="E11" i="3" s="1"/>
  <c r="BD48" i="1"/>
  <c r="BD46" i="1"/>
  <c r="E10" i="3" s="1"/>
  <c r="G25" i="5"/>
  <c r="G11" i="5"/>
  <c r="H11" i="5" s="1"/>
  <c r="E54" i="3" l="1"/>
  <c r="E53" i="3"/>
  <c r="E56" i="2"/>
  <c r="F11" i="4"/>
  <c r="F13" i="4" s="1"/>
  <c r="D42" i="1"/>
  <c r="E19" i="3"/>
  <c r="E12" i="3"/>
  <c r="D48" i="1"/>
  <c r="D47" i="1"/>
  <c r="F11" i="3"/>
  <c r="E47" i="1"/>
  <c r="D46" i="1"/>
  <c r="F10" i="3"/>
  <c r="F53" i="3" s="1"/>
  <c r="E46" i="1"/>
  <c r="E28" i="4"/>
  <c r="E29" i="4"/>
  <c r="E27" i="4"/>
  <c r="BE49" i="1"/>
  <c r="D19" i="3"/>
  <c r="G44" i="5"/>
  <c r="H44" i="5" s="1"/>
  <c r="F13" i="2"/>
  <c r="E11" i="4"/>
  <c r="BD49" i="1"/>
  <c r="G38" i="5"/>
  <c r="H38" i="5" s="1"/>
  <c r="G24" i="4"/>
  <c r="F54" i="3" l="1"/>
  <c r="F56" i="3" s="1"/>
  <c r="E13" i="3"/>
  <c r="E55" i="3"/>
  <c r="D49" i="1"/>
  <c r="E34" i="4"/>
  <c r="E49" i="1"/>
  <c r="E35" i="4"/>
  <c r="F13" i="3"/>
  <c r="F28" i="4"/>
  <c r="F30" i="4" s="1"/>
  <c r="E13" i="4"/>
  <c r="E30" i="4"/>
  <c r="F18" i="5"/>
  <c r="D13" i="3"/>
  <c r="G29" i="5"/>
  <c r="H29" i="5" s="1"/>
  <c r="G28" i="5"/>
  <c r="H28" i="5" s="1"/>
  <c r="G49" i="5"/>
  <c r="H49" i="5" s="1"/>
  <c r="G30" i="5"/>
  <c r="H30" i="5" s="1"/>
  <c r="G37" i="5"/>
  <c r="H37" i="5" s="1"/>
  <c r="G36" i="5"/>
  <c r="H36" i="5" s="1"/>
  <c r="F30" i="1"/>
  <c r="F52" i="1" s="1"/>
  <c r="F74" i="1" s="1"/>
  <c r="EB17" i="1"/>
  <c r="EB68" i="1"/>
  <c r="EB70" i="1" s="1"/>
  <c r="EB71" i="1" s="1"/>
  <c r="EB59" i="1"/>
  <c r="EB62" i="1" s="1"/>
  <c r="EB33" i="1"/>
  <c r="EB26" i="1"/>
  <c r="EB15" i="1"/>
  <c r="CP79" i="1"/>
  <c r="F79" i="1" s="1"/>
  <c r="F80" i="1" s="1"/>
  <c r="CP17" i="1"/>
  <c r="CP74" i="1"/>
  <c r="CP52" i="1"/>
  <c r="CP30" i="1"/>
  <c r="CP87" i="1"/>
  <c r="CP85" i="1"/>
  <c r="CP68" i="1"/>
  <c r="CP70" i="1" s="1"/>
  <c r="CP59" i="1"/>
  <c r="CP62" i="1" s="1"/>
  <c r="CP33" i="1"/>
  <c r="CP26" i="1"/>
  <c r="CP15" i="1"/>
  <c r="CP78" i="1" s="1"/>
  <c r="DI17" i="1"/>
  <c r="DI74" i="1"/>
  <c r="DI52" i="1"/>
  <c r="DI30" i="1"/>
  <c r="DI87" i="1"/>
  <c r="DI85" i="1"/>
  <c r="DI68" i="1"/>
  <c r="DI70" i="1" s="1"/>
  <c r="DI59" i="1"/>
  <c r="DI62" i="1" s="1"/>
  <c r="DI33" i="1"/>
  <c r="DI26" i="1"/>
  <c r="DI15" i="1"/>
  <c r="E56" i="3" l="1"/>
  <c r="F35" i="4"/>
  <c r="EB86" i="1"/>
  <c r="EB88" i="1" s="1"/>
  <c r="G31" i="5"/>
  <c r="E36" i="4"/>
  <c r="F34" i="4"/>
  <c r="F37" i="4" s="1"/>
  <c r="G39" i="5"/>
  <c r="CP80" i="1"/>
  <c r="EB20" i="1"/>
  <c r="EB23" i="1" s="1"/>
  <c r="EB24" i="1" s="1"/>
  <c r="DI20" i="1"/>
  <c r="DI23" i="1" s="1"/>
  <c r="DI24" i="1" s="1"/>
  <c r="DI40" i="1" s="1"/>
  <c r="G47" i="2" s="1"/>
  <c r="H47" i="2" s="1"/>
  <c r="CP86" i="1"/>
  <c r="CP88" i="1" s="1"/>
  <c r="CO89" i="1" s="1"/>
  <c r="G10" i="5"/>
  <c r="H10" i="5" s="1"/>
  <c r="EB77" i="1"/>
  <c r="EB78" i="1"/>
  <c r="EB80" i="1" s="1"/>
  <c r="CP77" i="1"/>
  <c r="CP71" i="1"/>
  <c r="CP20" i="1"/>
  <c r="DI77" i="1"/>
  <c r="DI71" i="1"/>
  <c r="DI78" i="1"/>
  <c r="DI80" i="1" s="1"/>
  <c r="DI86" i="1"/>
  <c r="DI88" i="1" s="1"/>
  <c r="DH89" i="1" s="1"/>
  <c r="BF17" i="1"/>
  <c r="BF87" i="1"/>
  <c r="BF85" i="1"/>
  <c r="BF68" i="1"/>
  <c r="BF70" i="1" s="1"/>
  <c r="BF71" i="1" s="1"/>
  <c r="BF59" i="1"/>
  <c r="BF62" i="1" s="1"/>
  <c r="BF33" i="1"/>
  <c r="BF26" i="1"/>
  <c r="BF15" i="1"/>
  <c r="AM87" i="1"/>
  <c r="AM86" i="1"/>
  <c r="AM85" i="1"/>
  <c r="AM70" i="1"/>
  <c r="AM71" i="1" s="1"/>
  <c r="AM59" i="1"/>
  <c r="AM62" i="1" s="1"/>
  <c r="AM33" i="1"/>
  <c r="AM26" i="1"/>
  <c r="AM20" i="1"/>
  <c r="AM23" i="1" s="1"/>
  <c r="AM15" i="1"/>
  <c r="T87" i="1"/>
  <c r="T85" i="1"/>
  <c r="T68" i="1"/>
  <c r="F68" i="1" s="1"/>
  <c r="F70" i="1" s="1"/>
  <c r="F77" i="1" s="1"/>
  <c r="T59" i="1"/>
  <c r="T62" i="1" s="1"/>
  <c r="F62" i="1" s="1"/>
  <c r="T33" i="1"/>
  <c r="F33" i="1" s="1"/>
  <c r="T26" i="1"/>
  <c r="T17" i="1"/>
  <c r="T15" i="1"/>
  <c r="T78" i="1" s="1"/>
  <c r="T80" i="1" s="1"/>
  <c r="CE15" i="1"/>
  <c r="CE78" i="1" s="1"/>
  <c r="CE80" i="1" s="1"/>
  <c r="CF15" i="1"/>
  <c r="CG15" i="1"/>
  <c r="CG78" i="1" s="1"/>
  <c r="CG80" i="1" s="1"/>
  <c r="CE20" i="1"/>
  <c r="CE23" i="1" s="1"/>
  <c r="CF20" i="1"/>
  <c r="CF23" i="1" s="1"/>
  <c r="CG20" i="1"/>
  <c r="CE26" i="1"/>
  <c r="CF26" i="1"/>
  <c r="CG26" i="1"/>
  <c r="CE33" i="1"/>
  <c r="CF33" i="1"/>
  <c r="CG33" i="1"/>
  <c r="CE59" i="1"/>
  <c r="CE62" i="1" s="1"/>
  <c r="CF59" i="1"/>
  <c r="CF62" i="1" s="1"/>
  <c r="CG59" i="1"/>
  <c r="CG62" i="1" s="1"/>
  <c r="CE68" i="1"/>
  <c r="CE70" i="1" s="1"/>
  <c r="CE71" i="1" s="1"/>
  <c r="CF68" i="1"/>
  <c r="CF70" i="1" s="1"/>
  <c r="CG68" i="1"/>
  <c r="CG70" i="1" s="1"/>
  <c r="CG77" i="1" s="1"/>
  <c r="CE85" i="1"/>
  <c r="CF85" i="1"/>
  <c r="CG85" i="1"/>
  <c r="CE86" i="1"/>
  <c r="CF86" i="1"/>
  <c r="CG86" i="1"/>
  <c r="CE87" i="1"/>
  <c r="CF87" i="1"/>
  <c r="CG87" i="1"/>
  <c r="F17" i="1" l="1"/>
  <c r="F20" i="1" s="1"/>
  <c r="EB39" i="1"/>
  <c r="G34" i="2" s="1"/>
  <c r="H34" i="2" s="1"/>
  <c r="EB40" i="1"/>
  <c r="G35" i="2" s="1"/>
  <c r="H35" i="2" s="1"/>
  <c r="EA89" i="1"/>
  <c r="EB21" i="1"/>
  <c r="EB22" i="1" s="1"/>
  <c r="E37" i="4"/>
  <c r="EB41" i="1"/>
  <c r="G36" i="2" s="1"/>
  <c r="H36" i="2" s="1"/>
  <c r="G12" i="5"/>
  <c r="G12" i="4"/>
  <c r="H12" i="4" s="1"/>
  <c r="DI21" i="1"/>
  <c r="DI22" i="1" s="1"/>
  <c r="DI47" i="1" s="1"/>
  <c r="G47" i="3" s="1"/>
  <c r="H47" i="3" s="1"/>
  <c r="CP81" i="1"/>
  <c r="DI39" i="1"/>
  <c r="G46" i="2" s="1"/>
  <c r="H46" i="2" s="1"/>
  <c r="DI41" i="1"/>
  <c r="G48" i="2" s="1"/>
  <c r="H48" i="2" s="1"/>
  <c r="DI32" i="1"/>
  <c r="DI34" i="1" s="1"/>
  <c r="CG88" i="1"/>
  <c r="CG89" i="1" s="1"/>
  <c r="T86" i="1"/>
  <c r="T88" i="1" s="1"/>
  <c r="S89" i="1" s="1"/>
  <c r="T70" i="1"/>
  <c r="T71" i="1" s="1"/>
  <c r="F71" i="1" s="1"/>
  <c r="G41" i="4"/>
  <c r="H41" i="4" s="1"/>
  <c r="EB32" i="1"/>
  <c r="EB34" i="1" s="1"/>
  <c r="EB81" i="1"/>
  <c r="CE88" i="1"/>
  <c r="CP21" i="1"/>
  <c r="CP22" i="1" s="1"/>
  <c r="CP23" i="1"/>
  <c r="CP24" i="1" s="1"/>
  <c r="DI81" i="1"/>
  <c r="CF21" i="1"/>
  <c r="CF22" i="1" s="1"/>
  <c r="CF46" i="1" s="1"/>
  <c r="CF24" i="1"/>
  <c r="CF40" i="1" s="1"/>
  <c r="T20" i="1"/>
  <c r="T23" i="1" s="1"/>
  <c r="T24" i="1" s="1"/>
  <c r="CF88" i="1"/>
  <c r="BF77" i="1"/>
  <c r="BF86" i="1"/>
  <c r="BF88" i="1" s="1"/>
  <c r="BE89" i="1" s="1"/>
  <c r="BF20" i="1"/>
  <c r="BF23" i="1" s="1"/>
  <c r="BF24" i="1" s="1"/>
  <c r="BF41" i="1" s="1"/>
  <c r="G12" i="2" s="1"/>
  <c r="BF78" i="1"/>
  <c r="BF80" i="1" s="1"/>
  <c r="CG81" i="1"/>
  <c r="CG21" i="1"/>
  <c r="CG22" i="1" s="1"/>
  <c r="CG46" i="1" s="1"/>
  <c r="CE24" i="1"/>
  <c r="CE41" i="1" s="1"/>
  <c r="AM24" i="1"/>
  <c r="AM40" i="1" s="1"/>
  <c r="G23" i="2" s="1"/>
  <c r="H23" i="2" s="1"/>
  <c r="AM88" i="1"/>
  <c r="AL89" i="1" s="1"/>
  <c r="AM77" i="1"/>
  <c r="AM78" i="1"/>
  <c r="AM80" i="1" s="1"/>
  <c r="AM21" i="1"/>
  <c r="AM22" i="1" s="1"/>
  <c r="AM46" i="1" s="1"/>
  <c r="G22" i="3" s="1"/>
  <c r="H22" i="3" s="1"/>
  <c r="CF71" i="1"/>
  <c r="CF77" i="1"/>
  <c r="CF78" i="1"/>
  <c r="CF80" i="1" s="1"/>
  <c r="CE77" i="1"/>
  <c r="CE81" i="1" s="1"/>
  <c r="CG71" i="1"/>
  <c r="CG23" i="1"/>
  <c r="CG24" i="1" s="1"/>
  <c r="CE21" i="1"/>
  <c r="CE22" i="1" s="1"/>
  <c r="EL1" i="1"/>
  <c r="DS1" i="1"/>
  <c r="CZ1" i="1"/>
  <c r="AW1" i="1"/>
  <c r="BP1" i="1" s="1"/>
  <c r="CG1" i="1" s="1"/>
  <c r="AD1" i="1"/>
  <c r="H12" i="2" l="1"/>
  <c r="H49" i="2"/>
  <c r="H37" i="2"/>
  <c r="F86" i="1"/>
  <c r="F88" i="1" s="1"/>
  <c r="T21" i="1"/>
  <c r="T22" i="1" s="1"/>
  <c r="T48" i="1" s="1"/>
  <c r="F23" i="1"/>
  <c r="F24" i="1" s="1"/>
  <c r="F21" i="1"/>
  <c r="F22" i="1" s="1"/>
  <c r="AM41" i="1"/>
  <c r="G24" i="2" s="1"/>
  <c r="H24" i="2" s="1"/>
  <c r="EB42" i="1"/>
  <c r="E89" i="1"/>
  <c r="F18" i="4" s="1"/>
  <c r="EB47" i="1"/>
  <c r="G35" i="3" s="1"/>
  <c r="H35" i="3" s="1"/>
  <c r="EB46" i="1"/>
  <c r="EB48" i="1"/>
  <c r="G36" i="3" s="1"/>
  <c r="H36" i="3" s="1"/>
  <c r="DI42" i="1"/>
  <c r="DI46" i="1"/>
  <c r="G46" i="3" s="1"/>
  <c r="H46" i="3" s="1"/>
  <c r="DI48" i="1"/>
  <c r="G48" i="3" s="1"/>
  <c r="H48" i="3" s="1"/>
  <c r="G37" i="2"/>
  <c r="G49" i="2"/>
  <c r="CF89" i="1"/>
  <c r="CE89" i="1"/>
  <c r="CG47" i="1"/>
  <c r="T77" i="1"/>
  <c r="T81" i="1" s="1"/>
  <c r="CP40" i="1"/>
  <c r="G41" i="2" s="1"/>
  <c r="H41" i="2" s="1"/>
  <c r="CP32" i="1"/>
  <c r="CP34" i="1" s="1"/>
  <c r="CP39" i="1"/>
  <c r="G40" i="2" s="1"/>
  <c r="H40" i="2" s="1"/>
  <c r="CP41" i="1"/>
  <c r="G42" i="2" s="1"/>
  <c r="H42" i="2" s="1"/>
  <c r="CP47" i="1"/>
  <c r="G41" i="3" s="1"/>
  <c r="H41" i="3" s="1"/>
  <c r="CP46" i="1"/>
  <c r="G40" i="3" s="1"/>
  <c r="H40" i="3" s="1"/>
  <c r="CP48" i="1"/>
  <c r="G42" i="3" s="1"/>
  <c r="H42" i="3" s="1"/>
  <c r="CG48" i="1"/>
  <c r="CF47" i="1"/>
  <c r="CE39" i="1"/>
  <c r="CF48" i="1"/>
  <c r="CF32" i="1"/>
  <c r="CF34" i="1" s="1"/>
  <c r="CF41" i="1"/>
  <c r="CF39" i="1"/>
  <c r="CE40" i="1"/>
  <c r="CE32" i="1"/>
  <c r="CE34" i="1" s="1"/>
  <c r="BF40" i="1"/>
  <c r="G11" i="2" s="1"/>
  <c r="BF32" i="1"/>
  <c r="BF34" i="1" s="1"/>
  <c r="BF39" i="1"/>
  <c r="G10" i="2" s="1"/>
  <c r="BF21" i="1"/>
  <c r="BF22" i="1" s="1"/>
  <c r="BF81" i="1"/>
  <c r="AM32" i="1"/>
  <c r="AM34" i="1" s="1"/>
  <c r="AM39" i="1"/>
  <c r="AM48" i="1"/>
  <c r="G24" i="3" s="1"/>
  <c r="H24" i="3" s="1"/>
  <c r="AM47" i="1"/>
  <c r="G23" i="3" s="1"/>
  <c r="H23" i="3" s="1"/>
  <c r="AM81" i="1"/>
  <c r="T41" i="1"/>
  <c r="T32" i="1"/>
  <c r="T40" i="1"/>
  <c r="T39" i="1"/>
  <c r="CG41" i="1"/>
  <c r="CG32" i="1"/>
  <c r="CG34" i="1" s="1"/>
  <c r="CG40" i="1"/>
  <c r="CG39" i="1"/>
  <c r="CE47" i="1"/>
  <c r="CE46" i="1"/>
  <c r="CE48" i="1"/>
  <c r="CF81" i="1"/>
  <c r="T46" i="1" l="1"/>
  <c r="H43" i="2"/>
  <c r="H10" i="2"/>
  <c r="H11" i="2"/>
  <c r="T47" i="1"/>
  <c r="F40" i="1"/>
  <c r="F41" i="1"/>
  <c r="F32" i="1"/>
  <c r="F34" i="1" s="1"/>
  <c r="F39" i="1"/>
  <c r="G43" i="3"/>
  <c r="H43" i="3" s="1"/>
  <c r="G17" i="3"/>
  <c r="H17" i="3" s="1"/>
  <c r="EB49" i="1"/>
  <c r="G34" i="3"/>
  <c r="H34" i="3" s="1"/>
  <c r="G16" i="3"/>
  <c r="H16" i="3" s="1"/>
  <c r="G18" i="3"/>
  <c r="H18" i="3" s="1"/>
  <c r="G49" i="3"/>
  <c r="H49" i="3" s="1"/>
  <c r="G25" i="3"/>
  <c r="H25" i="3" s="1"/>
  <c r="G17" i="2"/>
  <c r="H17" i="2" s="1"/>
  <c r="DI49" i="1"/>
  <c r="G16" i="2"/>
  <c r="H16" i="2" s="1"/>
  <c r="CF49" i="1"/>
  <c r="G13" i="2"/>
  <c r="CG49" i="1"/>
  <c r="G43" i="2"/>
  <c r="CE42" i="1"/>
  <c r="G18" i="2"/>
  <c r="AM42" i="1"/>
  <c r="G25" i="2" s="1"/>
  <c r="G22" i="2"/>
  <c r="H22" i="2" s="1"/>
  <c r="CF42" i="1"/>
  <c r="T34" i="1"/>
  <c r="CP42" i="1"/>
  <c r="CP49" i="1"/>
  <c r="CE49" i="1"/>
  <c r="BF42" i="1"/>
  <c r="BF47" i="1"/>
  <c r="G11" i="3" s="1"/>
  <c r="BF48" i="1"/>
  <c r="G12" i="3" s="1"/>
  <c r="BF46" i="1"/>
  <c r="G10" i="3" s="1"/>
  <c r="AM49" i="1"/>
  <c r="T42" i="1"/>
  <c r="T49" i="1"/>
  <c r="CG42" i="1"/>
  <c r="H54" i="2" l="1"/>
  <c r="H10" i="3"/>
  <c r="H11" i="3"/>
  <c r="H18" i="2"/>
  <c r="H55" i="2" s="1"/>
  <c r="G55" i="2"/>
  <c r="G54" i="2"/>
  <c r="H53" i="2"/>
  <c r="H13" i="2"/>
  <c r="G53" i="2"/>
  <c r="G27" i="4" s="1"/>
  <c r="H27" i="4" s="1"/>
  <c r="H12" i="3"/>
  <c r="F42" i="1"/>
  <c r="G19" i="3"/>
  <c r="H19" i="3" s="1"/>
  <c r="G37" i="3"/>
  <c r="H37" i="3" s="1"/>
  <c r="G13" i="3"/>
  <c r="H13" i="3" s="1"/>
  <c r="G19" i="2"/>
  <c r="G18" i="5"/>
  <c r="G11" i="4"/>
  <c r="H11" i="4" s="1"/>
  <c r="H13" i="4" s="1"/>
  <c r="BF49" i="1"/>
  <c r="I47" i="6"/>
  <c r="I40" i="6"/>
  <c r="I19" i="6"/>
  <c r="I54" i="6" s="1"/>
  <c r="H18" i="5" l="1"/>
  <c r="F21" i="5"/>
  <c r="E21" i="5"/>
  <c r="H56" i="2"/>
  <c r="G56" i="2"/>
  <c r="H19" i="2"/>
  <c r="G13" i="4"/>
  <c r="G28" i="4"/>
  <c r="H28" i="4" s="1"/>
  <c r="G29" i="4"/>
  <c r="H29" i="4" s="1"/>
  <c r="G30" i="1"/>
  <c r="G52" i="1" s="1"/>
  <c r="G74" i="1" s="1"/>
  <c r="EC68" i="1"/>
  <c r="EC70" i="1" s="1"/>
  <c r="EC59" i="1"/>
  <c r="EC62" i="1" s="1"/>
  <c r="EC33" i="1"/>
  <c r="EC26" i="1"/>
  <c r="EC17" i="1"/>
  <c r="EC15" i="1"/>
  <c r="DJ87" i="1"/>
  <c r="DJ85" i="1"/>
  <c r="DJ68" i="1"/>
  <c r="DJ70" i="1" s="1"/>
  <c r="DJ77" i="1" s="1"/>
  <c r="DJ59" i="1"/>
  <c r="DJ62" i="1" s="1"/>
  <c r="DJ33" i="1"/>
  <c r="DJ26" i="1"/>
  <c r="DJ17" i="1"/>
  <c r="DJ15" i="1"/>
  <c r="DJ78" i="1" s="1"/>
  <c r="DJ80" i="1" s="1"/>
  <c r="EC78" i="1" l="1"/>
  <c r="EC80" i="1" s="1"/>
  <c r="EC77" i="1"/>
  <c r="EC71" i="1"/>
  <c r="H39" i="5"/>
  <c r="EC86" i="1"/>
  <c r="EC88" i="1" s="1"/>
  <c r="G30" i="4"/>
  <c r="DJ81" i="1"/>
  <c r="DJ86" i="1"/>
  <c r="DJ88" i="1" s="1"/>
  <c r="DI89" i="1" s="1"/>
  <c r="EC20" i="1"/>
  <c r="EC23" i="1" s="1"/>
  <c r="EC24" i="1" s="1"/>
  <c r="EC41" i="1" s="1"/>
  <c r="DJ20" i="1"/>
  <c r="DJ23" i="1" s="1"/>
  <c r="DJ24" i="1" s="1"/>
  <c r="DJ39" i="1" s="1"/>
  <c r="DJ71" i="1"/>
  <c r="CQ87" i="1"/>
  <c r="CQ85" i="1"/>
  <c r="CQ79" i="1"/>
  <c r="G79" i="1" s="1"/>
  <c r="G80" i="1" s="1"/>
  <c r="CR79" i="1"/>
  <c r="CQ68" i="1"/>
  <c r="CQ70" i="1" s="1"/>
  <c r="CQ77" i="1" s="1"/>
  <c r="CQ59" i="1"/>
  <c r="CQ62" i="1" s="1"/>
  <c r="CQ33" i="1"/>
  <c r="CQ26" i="1"/>
  <c r="CQ17" i="1"/>
  <c r="CQ15" i="1"/>
  <c r="CQ78" i="1" s="1"/>
  <c r="AN87" i="1"/>
  <c r="AN86" i="1"/>
  <c r="AN85" i="1"/>
  <c r="AN68" i="1"/>
  <c r="AN70" i="1" s="1"/>
  <c r="AN59" i="1"/>
  <c r="AN62" i="1" s="1"/>
  <c r="AN33" i="1"/>
  <c r="AN26" i="1"/>
  <c r="AN20" i="1"/>
  <c r="AN23" i="1" s="1"/>
  <c r="AN15" i="1"/>
  <c r="AN78" i="1" s="1"/>
  <c r="AN80" i="1" s="1"/>
  <c r="DI93" i="1" l="1"/>
  <c r="DJ93" i="1"/>
  <c r="EC81" i="1"/>
  <c r="H31" i="5"/>
  <c r="EC40" i="1"/>
  <c r="EC39" i="1"/>
  <c r="H12" i="5"/>
  <c r="AN77" i="1"/>
  <c r="AN81" i="1" s="1"/>
  <c r="AN71" i="1"/>
  <c r="EB89" i="1"/>
  <c r="EC32" i="1"/>
  <c r="EC34" i="1" s="1"/>
  <c r="DJ40" i="1"/>
  <c r="AN24" i="1"/>
  <c r="AN32" i="1" s="1"/>
  <c r="AN34" i="1" s="1"/>
  <c r="DJ41" i="1"/>
  <c r="CQ80" i="1"/>
  <c r="CQ81" i="1" s="1"/>
  <c r="DJ21" i="1"/>
  <c r="DJ22" i="1" s="1"/>
  <c r="DJ47" i="1" s="1"/>
  <c r="EC21" i="1"/>
  <c r="EC22" i="1" s="1"/>
  <c r="DJ32" i="1"/>
  <c r="DJ34" i="1" s="1"/>
  <c r="CQ86" i="1"/>
  <c r="CQ88" i="1" s="1"/>
  <c r="CP89" i="1" s="1"/>
  <c r="AN88" i="1"/>
  <c r="AM89" i="1" s="1"/>
  <c r="CQ20" i="1"/>
  <c r="CQ23" i="1" s="1"/>
  <c r="CQ24" i="1" s="1"/>
  <c r="CQ32" i="1" s="1"/>
  <c r="CQ34" i="1" s="1"/>
  <c r="CQ71" i="1"/>
  <c r="AN21" i="1"/>
  <c r="AN22" i="1" s="1"/>
  <c r="U87" i="1"/>
  <c r="U85" i="1"/>
  <c r="U68" i="1"/>
  <c r="U59" i="1"/>
  <c r="U62" i="1" s="1"/>
  <c r="U33" i="1"/>
  <c r="U26" i="1"/>
  <c r="U17" i="1"/>
  <c r="U15" i="1"/>
  <c r="U78" i="1" s="1"/>
  <c r="U80" i="1" s="1"/>
  <c r="BG87" i="1"/>
  <c r="BG85" i="1"/>
  <c r="BG68" i="1"/>
  <c r="BG70" i="1" s="1"/>
  <c r="BG71" i="1" s="1"/>
  <c r="BG59" i="1"/>
  <c r="BG62" i="1" s="1"/>
  <c r="BG33" i="1"/>
  <c r="BG26" i="1"/>
  <c r="BG17" i="1"/>
  <c r="BG15" i="1"/>
  <c r="BG78" i="1" s="1"/>
  <c r="BG80" i="1" s="1"/>
  <c r="DK93" i="1" l="1"/>
  <c r="CQ93" i="1"/>
  <c r="CP93" i="1"/>
  <c r="AM93" i="1"/>
  <c r="AN93" i="1"/>
  <c r="AO93" i="1" s="1"/>
  <c r="EC93" i="1"/>
  <c r="ED93" i="1" s="1"/>
  <c r="EB93" i="1"/>
  <c r="G62" i="1"/>
  <c r="U86" i="1"/>
  <c r="U88" i="1" s="1"/>
  <c r="T89" i="1" s="1"/>
  <c r="G17" i="1"/>
  <c r="AN41" i="1"/>
  <c r="EC47" i="1"/>
  <c r="EC46" i="1"/>
  <c r="EC48" i="1"/>
  <c r="EC42" i="1"/>
  <c r="G33" i="1"/>
  <c r="DJ46" i="1"/>
  <c r="DJ48" i="1"/>
  <c r="DJ42" i="1"/>
  <c r="CQ40" i="1"/>
  <c r="AN40" i="1"/>
  <c r="AN39" i="1"/>
  <c r="BG20" i="1"/>
  <c r="BG23" i="1" s="1"/>
  <c r="BG24" i="1" s="1"/>
  <c r="BG77" i="1"/>
  <c r="BG81" i="1" s="1"/>
  <c r="BG86" i="1"/>
  <c r="BG88" i="1" s="1"/>
  <c r="BF89" i="1" s="1"/>
  <c r="U20" i="1"/>
  <c r="U23" i="1" s="1"/>
  <c r="U24" i="1" s="1"/>
  <c r="U32" i="1" s="1"/>
  <c r="CQ41" i="1"/>
  <c r="AN47" i="1"/>
  <c r="AN48" i="1"/>
  <c r="U70" i="1"/>
  <c r="U77" i="1" s="1"/>
  <c r="U81" i="1" s="1"/>
  <c r="CQ21" i="1"/>
  <c r="CQ22" i="1" s="1"/>
  <c r="CQ47" i="1" s="1"/>
  <c r="CQ39" i="1"/>
  <c r="AN46" i="1"/>
  <c r="U93" i="1" l="1"/>
  <c r="T93" i="1"/>
  <c r="CR93" i="1"/>
  <c r="BF93" i="1"/>
  <c r="BG93" i="1"/>
  <c r="BH93" i="1" s="1"/>
  <c r="EC49" i="1"/>
  <c r="G86" i="1"/>
  <c r="G88" i="1" s="1"/>
  <c r="G20" i="1"/>
  <c r="F89" i="1"/>
  <c r="G18" i="4" s="1"/>
  <c r="H18" i="4" s="1"/>
  <c r="DJ49" i="1"/>
  <c r="BG21" i="1"/>
  <c r="BG22" i="1" s="1"/>
  <c r="BG46" i="1" s="1"/>
  <c r="CQ48" i="1"/>
  <c r="AN42" i="1"/>
  <c r="H25" i="2" s="1"/>
  <c r="CQ46" i="1"/>
  <c r="U40" i="1"/>
  <c r="U41" i="1"/>
  <c r="U39" i="1"/>
  <c r="U21" i="1"/>
  <c r="U22" i="1" s="1"/>
  <c r="U47" i="1" s="1"/>
  <c r="AN49" i="1"/>
  <c r="U71" i="1"/>
  <c r="U34" i="1"/>
  <c r="CQ42" i="1"/>
  <c r="BG32" i="1"/>
  <c r="BG34" i="1" s="1"/>
  <c r="BG40" i="1"/>
  <c r="BG41" i="1"/>
  <c r="BG39" i="1"/>
  <c r="F93" i="1" l="1"/>
  <c r="G93" i="1"/>
  <c r="V93" i="1"/>
  <c r="G32" i="1"/>
  <c r="G34" i="1" s="1"/>
  <c r="G39" i="1"/>
  <c r="G23" i="1"/>
  <c r="G24" i="1" s="1"/>
  <c r="G21" i="1"/>
  <c r="G22" i="1" s="1"/>
  <c r="G41" i="1"/>
  <c r="G40" i="1"/>
  <c r="BG48" i="1"/>
  <c r="BG47" i="1"/>
  <c r="CQ49" i="1"/>
  <c r="U42" i="1"/>
  <c r="U48" i="1"/>
  <c r="U46" i="1"/>
  <c r="BG42" i="1"/>
  <c r="G42" i="1" l="1"/>
  <c r="BG49" i="1"/>
  <c r="U49" i="1"/>
  <c r="F20" i="6"/>
  <c r="F22" i="6" l="1"/>
  <c r="G20" i="6" s="1"/>
  <c r="F13" i="6"/>
  <c r="C29" i="6"/>
  <c r="F15" i="6" l="1"/>
  <c r="G21" i="6"/>
  <c r="G19" i="6"/>
  <c r="H30" i="4"/>
  <c r="D26" i="6"/>
  <c r="D27" i="6"/>
  <c r="D28" i="6"/>
  <c r="G14" i="6" l="1"/>
  <c r="G12" i="6"/>
  <c r="G13" i="6"/>
  <c r="G22" i="6"/>
  <c r="G29" i="6"/>
  <c r="D29" i="6"/>
  <c r="G15" i="6" l="1"/>
  <c r="F29" i="1" l="1"/>
  <c r="H30" i="1"/>
  <c r="H52" i="1" s="1"/>
  <c r="H74" i="1" s="1"/>
  <c r="ED79" i="1" l="1"/>
  <c r="H79" i="1" s="1"/>
  <c r="H80" i="1" s="1"/>
  <c r="ED17" i="1"/>
  <c r="ED68" i="1"/>
  <c r="ED70" i="1" s="1"/>
  <c r="ED71" i="1" s="1"/>
  <c r="ED59" i="1"/>
  <c r="ED62" i="1" s="1"/>
  <c r="ED33" i="1"/>
  <c r="ED26" i="1"/>
  <c r="ED15" i="1"/>
  <c r="ED78" i="1" l="1"/>
  <c r="ED80" i="1" s="1"/>
  <c r="ED86" i="1"/>
  <c r="ED88" i="1" s="1"/>
  <c r="ED77" i="1"/>
  <c r="ED81" i="1" s="1"/>
  <c r="ED20" i="1"/>
  <c r="DK17" i="1"/>
  <c r="DK87" i="1"/>
  <c r="DK85" i="1"/>
  <c r="DK68" i="1"/>
  <c r="DK70" i="1" s="1"/>
  <c r="DK59" i="1"/>
  <c r="DK62" i="1" s="1"/>
  <c r="DK33" i="1"/>
  <c r="DK26" i="1"/>
  <c r="DK15" i="1"/>
  <c r="DK78" i="1" s="1"/>
  <c r="DK80" i="1" s="1"/>
  <c r="CR17" i="1"/>
  <c r="CR87" i="1"/>
  <c r="CR85" i="1"/>
  <c r="CR68" i="1"/>
  <c r="CR70" i="1" s="1"/>
  <c r="CR59" i="1"/>
  <c r="CR62" i="1" s="1"/>
  <c r="CR33" i="1"/>
  <c r="CR26" i="1"/>
  <c r="CR15" i="1"/>
  <c r="CR78" i="1" s="1"/>
  <c r="BY15" i="1"/>
  <c r="BH17" i="1"/>
  <c r="BH87" i="1"/>
  <c r="BH85" i="1"/>
  <c r="BH68" i="1"/>
  <c r="BH70" i="1" s="1"/>
  <c r="BH71" i="1" s="1"/>
  <c r="BH59" i="1"/>
  <c r="BH62" i="1" s="1"/>
  <c r="BH33" i="1"/>
  <c r="BH26" i="1"/>
  <c r="BH15" i="1"/>
  <c r="AO87" i="1"/>
  <c r="AO86" i="1"/>
  <c r="AO85" i="1"/>
  <c r="AO68" i="1"/>
  <c r="AO70" i="1" s="1"/>
  <c r="AO59" i="1"/>
  <c r="AO62" i="1" s="1"/>
  <c r="AO33" i="1"/>
  <c r="AO26" i="1"/>
  <c r="AO20" i="1"/>
  <c r="AO23" i="1" s="1"/>
  <c r="AO15" i="1"/>
  <c r="AO78" i="1" s="1"/>
  <c r="AO80" i="1" s="1"/>
  <c r="V87" i="1"/>
  <c r="V85" i="1"/>
  <c r="V68" i="1"/>
  <c r="V59" i="1"/>
  <c r="V62" i="1" s="1"/>
  <c r="V33" i="1"/>
  <c r="V26" i="1"/>
  <c r="V17" i="1"/>
  <c r="V15" i="1"/>
  <c r="V78" i="1" s="1"/>
  <c r="V80" i="1" s="1"/>
  <c r="W15" i="1"/>
  <c r="EC89" i="1" l="1"/>
  <c r="H17" i="1"/>
  <c r="AO77" i="1"/>
  <c r="AO71" i="1"/>
  <c r="G21" i="5"/>
  <c r="H33" i="1"/>
  <c r="BY21" i="1"/>
  <c r="BY22" i="1" s="1"/>
  <c r="BY46" i="1" s="1"/>
  <c r="BY78" i="1"/>
  <c r="BY80" i="1" s="1"/>
  <c r="BY81" i="1" s="1"/>
  <c r="C22" i="6"/>
  <c r="D19" i="6" s="1"/>
  <c r="BH20" i="1"/>
  <c r="BH23" i="1" s="1"/>
  <c r="BH24" i="1" s="1"/>
  <c r="BH39" i="1" s="1"/>
  <c r="CR86" i="1"/>
  <c r="CR88" i="1" s="1"/>
  <c r="CQ89" i="1" s="1"/>
  <c r="C50" i="6"/>
  <c r="AO24" i="1"/>
  <c r="AO40" i="1" s="1"/>
  <c r="DK20" i="1"/>
  <c r="DK23" i="1" s="1"/>
  <c r="DK24" i="1" s="1"/>
  <c r="DK32" i="1" s="1"/>
  <c r="DK34" i="1" s="1"/>
  <c r="C57" i="6"/>
  <c r="V20" i="1"/>
  <c r="V23" i="1" s="1"/>
  <c r="V24" i="1" s="1"/>
  <c r="V40" i="1" s="1"/>
  <c r="V70" i="1"/>
  <c r="V71" i="1" s="1"/>
  <c r="V86" i="1"/>
  <c r="V88" i="1" s="1"/>
  <c r="U89" i="1" s="1"/>
  <c r="ED21" i="1"/>
  <c r="ED22" i="1" s="1"/>
  <c r="ED23" i="1"/>
  <c r="ED24" i="1" s="1"/>
  <c r="DK77" i="1"/>
  <c r="DK81" i="1" s="1"/>
  <c r="DK71" i="1"/>
  <c r="DK86" i="1"/>
  <c r="DK88" i="1" s="1"/>
  <c r="DJ89" i="1" s="1"/>
  <c r="CR80" i="1"/>
  <c r="CR77" i="1"/>
  <c r="CR71" i="1"/>
  <c r="CR20" i="1"/>
  <c r="BH77" i="1"/>
  <c r="BH78" i="1"/>
  <c r="BH80" i="1" s="1"/>
  <c r="BH86" i="1"/>
  <c r="BH88" i="1" s="1"/>
  <c r="BG89" i="1" s="1"/>
  <c r="AO88" i="1"/>
  <c r="AN89" i="1" s="1"/>
  <c r="AO81" i="1"/>
  <c r="AO21" i="1"/>
  <c r="AO22" i="1" s="1"/>
  <c r="F81" i="1" l="1"/>
  <c r="G45" i="4" s="1"/>
  <c r="H45" i="4" s="1"/>
  <c r="H20" i="1"/>
  <c r="H86" i="1"/>
  <c r="H88" i="1" s="1"/>
  <c r="ED39" i="1"/>
  <c r="ED40" i="1"/>
  <c r="ED41" i="1"/>
  <c r="G28" i="3"/>
  <c r="F46" i="1"/>
  <c r="ED47" i="1"/>
  <c r="ED48" i="1"/>
  <c r="ED46" i="1"/>
  <c r="BY48" i="1"/>
  <c r="BY47" i="1"/>
  <c r="AO41" i="1"/>
  <c r="AO32" i="1"/>
  <c r="AO34" i="1" s="1"/>
  <c r="BH32" i="1"/>
  <c r="BH34" i="1" s="1"/>
  <c r="DK21" i="1"/>
  <c r="DK22" i="1" s="1"/>
  <c r="DK47" i="1" s="1"/>
  <c r="BH41" i="1"/>
  <c r="BH40" i="1"/>
  <c r="V21" i="1"/>
  <c r="V22" i="1" s="1"/>
  <c r="V47" i="1" s="1"/>
  <c r="AO39" i="1"/>
  <c r="C15" i="6"/>
  <c r="D14" i="6" s="1"/>
  <c r="D56" i="6"/>
  <c r="D54" i="6"/>
  <c r="BH21" i="1"/>
  <c r="BH22" i="1" s="1"/>
  <c r="BH47" i="1" s="1"/>
  <c r="DK41" i="1"/>
  <c r="DK39" i="1"/>
  <c r="DK40" i="1"/>
  <c r="V77" i="1"/>
  <c r="V81" i="1" s="1"/>
  <c r="CR81" i="1"/>
  <c r="ED32" i="1"/>
  <c r="ED34" i="1" s="1"/>
  <c r="V41" i="1"/>
  <c r="CR21" i="1"/>
  <c r="CR22" i="1" s="1"/>
  <c r="CR23" i="1"/>
  <c r="CR24" i="1" s="1"/>
  <c r="V39" i="1"/>
  <c r="BH81" i="1"/>
  <c r="AO48" i="1"/>
  <c r="AO47" i="1"/>
  <c r="AO46" i="1"/>
  <c r="V32" i="1"/>
  <c r="H28" i="3" l="1"/>
  <c r="G53" i="3"/>
  <c r="H53" i="3" s="1"/>
  <c r="ED49" i="1"/>
  <c r="ED42" i="1"/>
  <c r="G30" i="3"/>
  <c r="F48" i="1"/>
  <c r="H23" i="1"/>
  <c r="H24" i="1" s="1"/>
  <c r="H21" i="1"/>
  <c r="H22" i="1" s="1"/>
  <c r="G29" i="3"/>
  <c r="F47" i="1"/>
  <c r="BY49" i="1"/>
  <c r="BH48" i="1"/>
  <c r="BH42" i="1"/>
  <c r="DK46" i="1"/>
  <c r="V46" i="1"/>
  <c r="V48" i="1"/>
  <c r="DK48" i="1"/>
  <c r="BH46" i="1"/>
  <c r="AO42" i="1"/>
  <c r="DK42" i="1"/>
  <c r="D12" i="6"/>
  <c r="D13" i="6"/>
  <c r="V34" i="1"/>
  <c r="V42" i="1"/>
  <c r="CR47" i="1"/>
  <c r="CR46" i="1"/>
  <c r="CR48" i="1"/>
  <c r="CR40" i="1"/>
  <c r="CR32" i="1"/>
  <c r="CR34" i="1" s="1"/>
  <c r="CR39" i="1"/>
  <c r="CR41" i="1"/>
  <c r="AO49" i="1"/>
  <c r="H30" i="3" l="1"/>
  <c r="G55" i="3"/>
  <c r="H55" i="3" s="1"/>
  <c r="H29" i="3"/>
  <c r="G54" i="3"/>
  <c r="H32" i="1"/>
  <c r="H34" i="1" s="1"/>
  <c r="F49" i="1"/>
  <c r="G31" i="3"/>
  <c r="H31" i="3" s="1"/>
  <c r="G34" i="4"/>
  <c r="H34" i="4" s="1"/>
  <c r="V49" i="1"/>
  <c r="BH49" i="1"/>
  <c r="DK49" i="1"/>
  <c r="CR42" i="1"/>
  <c r="CR49" i="1"/>
  <c r="G56" i="3" l="1"/>
  <c r="H56" i="3" s="1"/>
  <c r="H54" i="3"/>
  <c r="G36" i="4"/>
  <c r="H36" i="4" s="1"/>
  <c r="G35" i="4"/>
  <c r="H35" i="4" s="1"/>
  <c r="G37" i="4" l="1"/>
  <c r="EE79" i="1" l="1"/>
  <c r="EE68" i="1"/>
  <c r="EE70" i="1" s="1"/>
  <c r="EE59" i="1"/>
  <c r="EE62" i="1" s="1"/>
  <c r="EE33" i="1"/>
  <c r="EE26" i="1"/>
  <c r="EE17" i="1"/>
  <c r="EE15" i="1"/>
  <c r="DL87" i="1"/>
  <c r="DL85" i="1"/>
  <c r="DL68" i="1"/>
  <c r="DL70" i="1" s="1"/>
  <c r="DL77" i="1" s="1"/>
  <c r="DL59" i="1"/>
  <c r="DL62" i="1" s="1"/>
  <c r="DL33" i="1"/>
  <c r="DL26" i="1"/>
  <c r="DL17" i="1"/>
  <c r="DL15" i="1"/>
  <c r="CS87" i="1"/>
  <c r="CS85" i="1"/>
  <c r="CS79" i="1"/>
  <c r="CS68" i="1"/>
  <c r="CS70" i="1" s="1"/>
  <c r="CS59" i="1"/>
  <c r="CS33" i="1"/>
  <c r="CS17" i="1"/>
  <c r="CS26" i="1"/>
  <c r="CS15" i="1"/>
  <c r="CS78" i="1" s="1"/>
  <c r="BZ68" i="1"/>
  <c r="G68" i="1" s="1"/>
  <c r="G70" i="1" s="1"/>
  <c r="G77" i="1" s="1"/>
  <c r="BZ15" i="1"/>
  <c r="EE78" i="1" l="1"/>
  <c r="EE80" i="1" s="1"/>
  <c r="I79" i="1"/>
  <c r="I80" i="1" s="1"/>
  <c r="EE86" i="1"/>
  <c r="EE88" i="1" s="1"/>
  <c r="EE77" i="1"/>
  <c r="EE71" i="1"/>
  <c r="BZ70" i="1"/>
  <c r="BZ77" i="1" s="1"/>
  <c r="BZ21" i="1"/>
  <c r="BZ22" i="1" s="1"/>
  <c r="BZ46" i="1" s="1"/>
  <c r="BZ78" i="1"/>
  <c r="BZ80" i="1" s="1"/>
  <c r="DL86" i="1"/>
  <c r="DL88" i="1" s="1"/>
  <c r="DK89" i="1" s="1"/>
  <c r="CS77" i="1"/>
  <c r="CS71" i="1"/>
  <c r="EE20" i="1"/>
  <c r="EE23" i="1" s="1"/>
  <c r="EE24" i="1" s="1"/>
  <c r="CS80" i="1"/>
  <c r="DL71" i="1"/>
  <c r="CS20" i="1"/>
  <c r="CS23" i="1" s="1"/>
  <c r="CS24" i="1" s="1"/>
  <c r="CS86" i="1"/>
  <c r="CS88" i="1" s="1"/>
  <c r="CR89" i="1" s="1"/>
  <c r="DL20" i="1"/>
  <c r="DL23" i="1" s="1"/>
  <c r="DL24" i="1" s="1"/>
  <c r="DL41" i="1" s="1"/>
  <c r="DL78" i="1"/>
  <c r="DL80" i="1" s="1"/>
  <c r="CS62" i="1"/>
  <c r="BI87" i="1"/>
  <c r="BI85" i="1"/>
  <c r="BI68" i="1"/>
  <c r="BI59" i="1"/>
  <c r="BI62" i="1" s="1"/>
  <c r="BI33" i="1"/>
  <c r="BI26" i="1"/>
  <c r="BI17" i="1"/>
  <c r="BI15" i="1"/>
  <c r="BI78" i="1" s="1"/>
  <c r="BI80" i="1" s="1"/>
  <c r="AP87" i="1"/>
  <c r="AP86" i="1"/>
  <c r="AP85" i="1"/>
  <c r="AP68" i="1"/>
  <c r="AP70" i="1" s="1"/>
  <c r="AP71" i="1" s="1"/>
  <c r="AP59" i="1"/>
  <c r="AP62" i="1" s="1"/>
  <c r="AP33" i="1"/>
  <c r="AP26" i="1"/>
  <c r="AP20" i="1"/>
  <c r="AP23" i="1" s="1"/>
  <c r="AP15" i="1"/>
  <c r="W87" i="1"/>
  <c r="W85" i="1"/>
  <c r="W68" i="1"/>
  <c r="W59" i="1"/>
  <c r="W62" i="1" s="1"/>
  <c r="W33" i="1"/>
  <c r="W26" i="1"/>
  <c r="W17" i="1"/>
  <c r="W78" i="1"/>
  <c r="W80" i="1" s="1"/>
  <c r="I17" i="1" l="1"/>
  <c r="I20" i="1" s="1"/>
  <c r="BZ71" i="1"/>
  <c r="G71" i="1" s="1"/>
  <c r="EE81" i="1"/>
  <c r="G46" i="1"/>
  <c r="EE39" i="1"/>
  <c r="EE40" i="1"/>
  <c r="EE89" i="1"/>
  <c r="ED89" i="1"/>
  <c r="EE41" i="1"/>
  <c r="BZ48" i="1"/>
  <c r="BZ47" i="1"/>
  <c r="BZ81" i="1"/>
  <c r="W70" i="1"/>
  <c r="W77" i="1" s="1"/>
  <c r="W81" i="1" s="1"/>
  <c r="CS21" i="1"/>
  <c r="CS22" i="1" s="1"/>
  <c r="CS48" i="1" s="1"/>
  <c r="EE21" i="1"/>
  <c r="EE22" i="1" s="1"/>
  <c r="CS81" i="1"/>
  <c r="DL21" i="1"/>
  <c r="DL22" i="1" s="1"/>
  <c r="EE32" i="1"/>
  <c r="EE34" i="1" s="1"/>
  <c r="BI86" i="1"/>
  <c r="BI88" i="1" s="1"/>
  <c r="BH89" i="1" s="1"/>
  <c r="BI70" i="1"/>
  <c r="BI71" i="1" s="1"/>
  <c r="DL32" i="1"/>
  <c r="DL34" i="1" s="1"/>
  <c r="DL40" i="1"/>
  <c r="DL39" i="1"/>
  <c r="AP24" i="1"/>
  <c r="AP40" i="1" s="1"/>
  <c r="AP88" i="1"/>
  <c r="AO89" i="1" s="1"/>
  <c r="BI20" i="1"/>
  <c r="BI23" i="1" s="1"/>
  <c r="BI24" i="1" s="1"/>
  <c r="W20" i="1"/>
  <c r="W23" i="1" s="1"/>
  <c r="W24" i="1" s="1"/>
  <c r="W32" i="1" s="1"/>
  <c r="CS40" i="1"/>
  <c r="CS32" i="1"/>
  <c r="CS34" i="1" s="1"/>
  <c r="CS39" i="1"/>
  <c r="CS41" i="1"/>
  <c r="DL81" i="1"/>
  <c r="AP77" i="1"/>
  <c r="W86" i="1"/>
  <c r="W88" i="1" s="1"/>
  <c r="V89" i="1" s="1"/>
  <c r="AP78" i="1"/>
  <c r="AP80" i="1" s="1"/>
  <c r="AP21" i="1"/>
  <c r="AP22" i="1" s="1"/>
  <c r="AP46" i="1" s="1"/>
  <c r="I86" i="1" l="1"/>
  <c r="I88" i="1" s="1"/>
  <c r="EE42" i="1"/>
  <c r="EE47" i="1"/>
  <c r="EE46" i="1"/>
  <c r="EE48" i="1"/>
  <c r="G81" i="1"/>
  <c r="G47" i="1"/>
  <c r="I23" i="1"/>
  <c r="I24" i="1" s="1"/>
  <c r="I21" i="1"/>
  <c r="I22" i="1" s="1"/>
  <c r="G48" i="1"/>
  <c r="BZ49" i="1"/>
  <c r="CS46" i="1"/>
  <c r="W71" i="1"/>
  <c r="W34" i="1"/>
  <c r="CS47" i="1"/>
  <c r="AP39" i="1"/>
  <c r="W39" i="1"/>
  <c r="W21" i="1"/>
  <c r="W22" i="1" s="1"/>
  <c r="W48" i="1" s="1"/>
  <c r="DL48" i="1"/>
  <c r="DL47" i="1"/>
  <c r="DL46" i="1"/>
  <c r="AP32" i="1"/>
  <c r="AP34" i="1" s="1"/>
  <c r="BI77" i="1"/>
  <c r="BI81" i="1" s="1"/>
  <c r="AP41" i="1"/>
  <c r="W40" i="1"/>
  <c r="BI21" i="1"/>
  <c r="BI22" i="1" s="1"/>
  <c r="BI47" i="1" s="1"/>
  <c r="W41" i="1"/>
  <c r="CS42" i="1"/>
  <c r="DL42" i="1"/>
  <c r="BI39" i="1"/>
  <c r="BI40" i="1"/>
  <c r="BI41" i="1"/>
  <c r="BI32" i="1"/>
  <c r="BI34" i="1" s="1"/>
  <c r="AP81" i="1"/>
  <c r="AP48" i="1"/>
  <c r="AP47" i="1"/>
  <c r="G49" i="1" l="1"/>
  <c r="EE49" i="1"/>
  <c r="W47" i="1"/>
  <c r="CS49" i="1"/>
  <c r="AP42" i="1"/>
  <c r="W46" i="1"/>
  <c r="W42" i="1"/>
  <c r="DL49" i="1"/>
  <c r="BI46" i="1"/>
  <c r="BI48" i="1"/>
  <c r="AP49" i="1"/>
  <c r="BI42" i="1"/>
  <c r="W49" i="1" l="1"/>
  <c r="D15" i="6"/>
  <c r="BI49" i="1"/>
  <c r="H37" i="4" l="1"/>
  <c r="EF68" i="1" l="1"/>
  <c r="EF70" i="1" s="1"/>
  <c r="EF71" i="1" s="1"/>
  <c r="EF59" i="1"/>
  <c r="EF62" i="1" s="1"/>
  <c r="EF33" i="1"/>
  <c r="EF26" i="1"/>
  <c r="EF20" i="1"/>
  <c r="EF23" i="1" s="1"/>
  <c r="EF15" i="1"/>
  <c r="DM87" i="1"/>
  <c r="DM86" i="1"/>
  <c r="DM85" i="1"/>
  <c r="DM68" i="1"/>
  <c r="DM70" i="1" s="1"/>
  <c r="DM59" i="1"/>
  <c r="DM62" i="1" s="1"/>
  <c r="DM33" i="1"/>
  <c r="DM26" i="1"/>
  <c r="DM20" i="1"/>
  <c r="DM23" i="1" s="1"/>
  <c r="DM15" i="1"/>
  <c r="DM78" i="1" s="1"/>
  <c r="DM80" i="1" s="1"/>
  <c r="CT87" i="1"/>
  <c r="CT86" i="1"/>
  <c r="CT85" i="1"/>
  <c r="CT79" i="1"/>
  <c r="J79" i="1" s="1"/>
  <c r="J80" i="1" s="1"/>
  <c r="CT68" i="1"/>
  <c r="CT70" i="1" s="1"/>
  <c r="CT59" i="1"/>
  <c r="CT62" i="1" s="1"/>
  <c r="CT33" i="1"/>
  <c r="CT26" i="1"/>
  <c r="CT20" i="1"/>
  <c r="CT23" i="1" s="1"/>
  <c r="CT15" i="1"/>
  <c r="CT78" i="1" s="1"/>
  <c r="CA87" i="1"/>
  <c r="CA86" i="1"/>
  <c r="CA85" i="1"/>
  <c r="CA68" i="1"/>
  <c r="H68" i="1" s="1"/>
  <c r="H70" i="1" s="1"/>
  <c r="H77" i="1" s="1"/>
  <c r="CA59" i="1"/>
  <c r="CA15" i="1"/>
  <c r="BJ87" i="1"/>
  <c r="BJ86" i="1"/>
  <c r="BJ85" i="1"/>
  <c r="BJ68" i="1"/>
  <c r="BJ70" i="1" s="1"/>
  <c r="BJ71" i="1" s="1"/>
  <c r="BJ59" i="1"/>
  <c r="BJ62" i="1" s="1"/>
  <c r="BJ33" i="1"/>
  <c r="BJ26" i="1"/>
  <c r="BJ20" i="1"/>
  <c r="BJ23" i="1" s="1"/>
  <c r="BJ15" i="1"/>
  <c r="BJ78" i="1" s="1"/>
  <c r="BJ80" i="1" s="1"/>
  <c r="AQ87" i="1"/>
  <c r="AQ86" i="1"/>
  <c r="AQ85" i="1"/>
  <c r="AQ68" i="1"/>
  <c r="AQ70" i="1" s="1"/>
  <c r="AQ71" i="1" s="1"/>
  <c r="AQ59" i="1"/>
  <c r="AQ62" i="1" s="1"/>
  <c r="AQ33" i="1"/>
  <c r="AQ26" i="1"/>
  <c r="AQ20" i="1"/>
  <c r="AQ23" i="1" s="1"/>
  <c r="AQ15" i="1"/>
  <c r="AQ78" i="1" s="1"/>
  <c r="AQ80" i="1" s="1"/>
  <c r="X87" i="1"/>
  <c r="X86" i="1"/>
  <c r="X85" i="1"/>
  <c r="X68" i="1"/>
  <c r="X59" i="1"/>
  <c r="X62" i="1" s="1"/>
  <c r="X33" i="1"/>
  <c r="X26" i="1"/>
  <c r="X20" i="1"/>
  <c r="X23" i="1" s="1"/>
  <c r="X15" i="1"/>
  <c r="X78" i="1" s="1"/>
  <c r="X80" i="1" s="1"/>
  <c r="CA88" i="1" l="1"/>
  <c r="BZ89" i="1" s="1"/>
  <c r="G89" i="1" s="1"/>
  <c r="EF78" i="1"/>
  <c r="EF80" i="1" s="1"/>
  <c r="E21" i="4"/>
  <c r="CA70" i="1"/>
  <c r="CA71" i="1" s="1"/>
  <c r="H71" i="1" s="1"/>
  <c r="CA78" i="1"/>
  <c r="CA80" i="1" s="1"/>
  <c r="CA21" i="1"/>
  <c r="CA22" i="1" s="1"/>
  <c r="X70" i="1"/>
  <c r="X71" i="1" s="1"/>
  <c r="CT88" i="1"/>
  <c r="CT24" i="1"/>
  <c r="CT40" i="1" s="1"/>
  <c r="DM88" i="1"/>
  <c r="CA62" i="1"/>
  <c r="H62" i="1" s="1"/>
  <c r="DM71" i="1"/>
  <c r="DM77" i="1"/>
  <c r="DM81" i="1" s="1"/>
  <c r="EF21" i="1"/>
  <c r="EF22" i="1" s="1"/>
  <c r="AQ88" i="1"/>
  <c r="CA39" i="1"/>
  <c r="H39" i="1" s="1"/>
  <c r="AQ24" i="1"/>
  <c r="AQ39" i="1" s="1"/>
  <c r="EF77" i="1"/>
  <c r="CT71" i="1"/>
  <c r="CT77" i="1"/>
  <c r="AQ77" i="1"/>
  <c r="AQ81" i="1" s="1"/>
  <c r="BJ77" i="1"/>
  <c r="BJ81" i="1" s="1"/>
  <c r="X24" i="1"/>
  <c r="BJ88" i="1"/>
  <c r="DM24" i="1"/>
  <c r="EF24" i="1"/>
  <c r="X88" i="1"/>
  <c r="BJ24" i="1"/>
  <c r="DM21" i="1"/>
  <c r="DM22" i="1" s="1"/>
  <c r="CT80" i="1"/>
  <c r="CT21" i="1"/>
  <c r="CT22" i="1" s="1"/>
  <c r="BJ21" i="1"/>
  <c r="BJ22" i="1" s="1"/>
  <c r="AQ21" i="1"/>
  <c r="AQ22" i="1" s="1"/>
  <c r="AQ46" i="1" s="1"/>
  <c r="X21" i="1"/>
  <c r="X22" i="1" s="1"/>
  <c r="F48" i="6"/>
  <c r="F41" i="6"/>
  <c r="F55" i="6"/>
  <c r="BK79" i="1"/>
  <c r="CU87" i="1"/>
  <c r="CU85" i="1"/>
  <c r="CU79" i="1"/>
  <c r="CU68" i="1"/>
  <c r="CU70" i="1" s="1"/>
  <c r="CU59" i="1"/>
  <c r="CU33" i="1"/>
  <c r="CU19" i="1"/>
  <c r="K19" i="1" s="1"/>
  <c r="K26" i="1" s="1"/>
  <c r="CU17" i="1"/>
  <c r="CU15" i="1"/>
  <c r="EG79" i="1"/>
  <c r="EH79" i="1"/>
  <c r="EG68" i="1"/>
  <c r="EG70" i="1" s="1"/>
  <c r="EG71" i="1" s="1"/>
  <c r="EG59" i="1"/>
  <c r="EG33" i="1"/>
  <c r="EG26" i="1"/>
  <c r="EG17" i="1"/>
  <c r="EG15" i="1"/>
  <c r="CB87" i="1"/>
  <c r="CB85" i="1"/>
  <c r="CB68" i="1"/>
  <c r="I68" i="1" s="1"/>
  <c r="I70" i="1" s="1"/>
  <c r="I77" i="1" s="1"/>
  <c r="CB59" i="1"/>
  <c r="CB33" i="1"/>
  <c r="I33" i="1" s="1"/>
  <c r="CB26" i="1"/>
  <c r="CB86" i="1"/>
  <c r="CB15" i="1"/>
  <c r="AR87" i="1"/>
  <c r="AR86" i="1"/>
  <c r="AR85" i="1"/>
  <c r="AR68" i="1"/>
  <c r="AR70" i="1" s="1"/>
  <c r="AR77" i="1" s="1"/>
  <c r="AR59" i="1"/>
  <c r="AR62" i="1" s="1"/>
  <c r="AR33" i="1"/>
  <c r="AR26" i="1"/>
  <c r="AR20" i="1"/>
  <c r="AR23" i="1" s="1"/>
  <c r="AR15" i="1"/>
  <c r="AR78" i="1" s="1"/>
  <c r="AR80" i="1" s="1"/>
  <c r="DN87" i="1"/>
  <c r="DN85" i="1"/>
  <c r="DN68" i="1"/>
  <c r="DN70" i="1" s="1"/>
  <c r="DN77" i="1" s="1"/>
  <c r="DN59" i="1"/>
  <c r="DN62" i="1" s="1"/>
  <c r="DN33" i="1"/>
  <c r="DN26" i="1"/>
  <c r="DN17" i="1"/>
  <c r="DN20" i="1" s="1"/>
  <c r="DN23" i="1" s="1"/>
  <c r="DN15" i="1"/>
  <c r="DN78" i="1" s="1"/>
  <c r="DN80" i="1" s="1"/>
  <c r="BK87" i="1"/>
  <c r="BK85" i="1"/>
  <c r="BK68" i="1"/>
  <c r="BK70" i="1" s="1"/>
  <c r="BK59" i="1"/>
  <c r="BK33" i="1"/>
  <c r="BK26" i="1"/>
  <c r="BK15" i="1"/>
  <c r="BK17" i="1"/>
  <c r="BK86" i="1" s="1"/>
  <c r="Y87" i="1"/>
  <c r="Y85" i="1"/>
  <c r="Y68" i="1"/>
  <c r="Y59" i="1"/>
  <c r="Y33" i="1"/>
  <c r="Y26" i="1"/>
  <c r="Y17" i="1"/>
  <c r="Y15" i="1"/>
  <c r="Y78" i="1" s="1"/>
  <c r="Y80" i="1" s="1"/>
  <c r="AD67" i="1"/>
  <c r="AD56" i="1"/>
  <c r="L30" i="1"/>
  <c r="L52" i="1" s="1"/>
  <c r="L74" i="1" s="1"/>
  <c r="L51" i="1"/>
  <c r="L73" i="1" s="1"/>
  <c r="EL79" i="1"/>
  <c r="EL17" i="1"/>
  <c r="EK79" i="1"/>
  <c r="EJ79" i="1"/>
  <c r="EK17" i="1"/>
  <c r="EJ17" i="1"/>
  <c r="EI19" i="1"/>
  <c r="EI26" i="1" s="1"/>
  <c r="EI17" i="1"/>
  <c r="EH17" i="1"/>
  <c r="EI79" i="1"/>
  <c r="DS12" i="1"/>
  <c r="DS15" i="1" s="1"/>
  <c r="DR12" i="1"/>
  <c r="DR15" i="1" s="1"/>
  <c r="CZ79" i="1"/>
  <c r="CY79" i="1"/>
  <c r="CZ61" i="1"/>
  <c r="CZ17" i="1"/>
  <c r="CX79" i="1"/>
  <c r="CY61" i="1"/>
  <c r="CW79" i="1"/>
  <c r="CV79" i="1"/>
  <c r="CX61" i="1"/>
  <c r="CW61" i="1"/>
  <c r="CV61" i="1"/>
  <c r="L61" i="1" s="1"/>
  <c r="CY17" i="1"/>
  <c r="CY86" i="1" s="1"/>
  <c r="CX17" i="1"/>
  <c r="CX20" i="1" s="1"/>
  <c r="CW19" i="1"/>
  <c r="CW17" i="1"/>
  <c r="CW86" i="1" s="1"/>
  <c r="CV19" i="1"/>
  <c r="L19" i="1" s="1"/>
  <c r="L26" i="1" s="1"/>
  <c r="CV17" i="1"/>
  <c r="CZ12" i="1"/>
  <c r="CY12" i="1"/>
  <c r="CX12" i="1"/>
  <c r="CW12" i="1"/>
  <c r="CD86" i="1"/>
  <c r="CC86" i="1"/>
  <c r="BP17" i="1"/>
  <c r="BP20" i="1" s="1"/>
  <c r="BP23" i="1" s="1"/>
  <c r="BO17" i="1"/>
  <c r="BN17" i="1"/>
  <c r="BN86" i="1" s="1"/>
  <c r="BM17" i="1"/>
  <c r="BM86" i="1" s="1"/>
  <c r="BL17" i="1"/>
  <c r="BL86" i="1" s="1"/>
  <c r="AV19" i="1"/>
  <c r="AD17" i="1"/>
  <c r="AC17" i="1"/>
  <c r="AB17" i="1"/>
  <c r="AA17" i="1"/>
  <c r="Z17" i="1"/>
  <c r="EL68" i="1"/>
  <c r="EL70" i="1" s="1"/>
  <c r="EK68" i="1"/>
  <c r="EK70" i="1" s="1"/>
  <c r="EK71" i="1" s="1"/>
  <c r="EJ68" i="1"/>
  <c r="EI68" i="1"/>
  <c r="EI70" i="1" s="1"/>
  <c r="EH68" i="1"/>
  <c r="EL59" i="1"/>
  <c r="EK59" i="1"/>
  <c r="EK62" i="1" s="1"/>
  <c r="EJ59" i="1"/>
  <c r="EI59" i="1"/>
  <c r="EI62" i="1" s="1"/>
  <c r="EH59" i="1"/>
  <c r="EL33" i="1"/>
  <c r="EK33" i="1"/>
  <c r="EJ33" i="1"/>
  <c r="EI33" i="1"/>
  <c r="EH33" i="1"/>
  <c r="EL30" i="1"/>
  <c r="EL52" i="1" s="1"/>
  <c r="EL74" i="1" s="1"/>
  <c r="EK30" i="1"/>
  <c r="EK52" i="1" s="1"/>
  <c r="EK74" i="1" s="1"/>
  <c r="EJ30" i="1"/>
  <c r="EJ52" i="1" s="1"/>
  <c r="EJ74" i="1" s="1"/>
  <c r="EI30" i="1"/>
  <c r="EI52" i="1" s="1"/>
  <c r="EI74" i="1" s="1"/>
  <c r="EH30" i="1"/>
  <c r="EH52" i="1" s="1"/>
  <c r="EH74" i="1" s="1"/>
  <c r="EL26" i="1"/>
  <c r="EK26" i="1"/>
  <c r="EJ26" i="1"/>
  <c r="EH26" i="1"/>
  <c r="EL15" i="1"/>
  <c r="EK15" i="1"/>
  <c r="EJ15" i="1"/>
  <c r="EI15" i="1"/>
  <c r="EH15" i="1"/>
  <c r="DS87" i="1"/>
  <c r="DR87" i="1"/>
  <c r="DQ87" i="1"/>
  <c r="DP87" i="1"/>
  <c r="DO87" i="1"/>
  <c r="DS86" i="1"/>
  <c r="DR86" i="1"/>
  <c r="DQ86" i="1"/>
  <c r="DP86" i="1"/>
  <c r="DO86" i="1"/>
  <c r="DS85" i="1"/>
  <c r="DR85" i="1"/>
  <c r="DQ85" i="1"/>
  <c r="DP85" i="1"/>
  <c r="DO85" i="1"/>
  <c r="DS68" i="1"/>
  <c r="DS70" i="1" s="1"/>
  <c r="DR68" i="1"/>
  <c r="DR70" i="1" s="1"/>
  <c r="DQ68" i="1"/>
  <c r="DQ70" i="1" s="1"/>
  <c r="DP68" i="1"/>
  <c r="DP70" i="1" s="1"/>
  <c r="DP77" i="1" s="1"/>
  <c r="DO68" i="1"/>
  <c r="DO70" i="1" s="1"/>
  <c r="DS59" i="1"/>
  <c r="DS62" i="1" s="1"/>
  <c r="DR59" i="1"/>
  <c r="DR62" i="1" s="1"/>
  <c r="DQ59" i="1"/>
  <c r="DQ62" i="1" s="1"/>
  <c r="DP59" i="1"/>
  <c r="DO59" i="1"/>
  <c r="DO62" i="1" s="1"/>
  <c r="DS33" i="1"/>
  <c r="DR33" i="1"/>
  <c r="DQ33" i="1"/>
  <c r="DP33" i="1"/>
  <c r="DO33" i="1"/>
  <c r="DS30" i="1"/>
  <c r="DS52" i="1" s="1"/>
  <c r="DS74" i="1" s="1"/>
  <c r="DR30" i="1"/>
  <c r="DR52" i="1" s="1"/>
  <c r="DR74" i="1" s="1"/>
  <c r="DQ30" i="1"/>
  <c r="DQ52" i="1" s="1"/>
  <c r="DQ74" i="1" s="1"/>
  <c r="DP30" i="1"/>
  <c r="DP52" i="1" s="1"/>
  <c r="DP74" i="1" s="1"/>
  <c r="DO30" i="1"/>
  <c r="DO52" i="1" s="1"/>
  <c r="DO74" i="1" s="1"/>
  <c r="DI29" i="1"/>
  <c r="DI51" i="1" s="1"/>
  <c r="DI73" i="1" s="1"/>
  <c r="DS26" i="1"/>
  <c r="DR26" i="1"/>
  <c r="DQ26" i="1"/>
  <c r="DP26" i="1"/>
  <c r="DO26" i="1"/>
  <c r="DS20" i="1"/>
  <c r="DR20" i="1"/>
  <c r="DQ20" i="1"/>
  <c r="DQ23" i="1" s="1"/>
  <c r="DP20" i="1"/>
  <c r="DP23" i="1" s="1"/>
  <c r="DO20" i="1"/>
  <c r="DO23" i="1" s="1"/>
  <c r="DQ15" i="1"/>
  <c r="DP15" i="1"/>
  <c r="DO15" i="1"/>
  <c r="DO78" i="1" s="1"/>
  <c r="DO80" i="1" s="1"/>
  <c r="CZ87" i="1"/>
  <c r="CY87" i="1"/>
  <c r="CX87" i="1"/>
  <c r="CW87" i="1"/>
  <c r="CV87" i="1"/>
  <c r="CZ85" i="1"/>
  <c r="CY85" i="1"/>
  <c r="CX85" i="1"/>
  <c r="CW85" i="1"/>
  <c r="CV85" i="1"/>
  <c r="CZ68" i="1"/>
  <c r="CZ70" i="1" s="1"/>
  <c r="CY68" i="1"/>
  <c r="CY70" i="1" s="1"/>
  <c r="CY77" i="1" s="1"/>
  <c r="CX68" i="1"/>
  <c r="CW68" i="1"/>
  <c r="CW70" i="1" s="1"/>
  <c r="CV68" i="1"/>
  <c r="CV70" i="1" s="1"/>
  <c r="CZ59" i="1"/>
  <c r="CY59" i="1"/>
  <c r="CX59" i="1"/>
  <c r="CW59" i="1"/>
  <c r="CV59" i="1"/>
  <c r="CZ33" i="1"/>
  <c r="CY33" i="1"/>
  <c r="CX33" i="1"/>
  <c r="CW33" i="1"/>
  <c r="CV33" i="1"/>
  <c r="CZ30" i="1"/>
  <c r="CZ52" i="1" s="1"/>
  <c r="CZ74" i="1" s="1"/>
  <c r="CY30" i="1"/>
  <c r="CY52" i="1" s="1"/>
  <c r="CY74" i="1" s="1"/>
  <c r="CX30" i="1"/>
  <c r="CX52" i="1" s="1"/>
  <c r="CX74" i="1" s="1"/>
  <c r="CW30" i="1"/>
  <c r="CW52" i="1" s="1"/>
  <c r="CW74" i="1" s="1"/>
  <c r="CV30" i="1"/>
  <c r="CV52" i="1" s="1"/>
  <c r="CV74" i="1" s="1"/>
  <c r="CP29" i="1"/>
  <c r="CP51" i="1" s="1"/>
  <c r="CP73" i="1" s="1"/>
  <c r="CZ26" i="1"/>
  <c r="CY26" i="1"/>
  <c r="CX26" i="1"/>
  <c r="CV15" i="1"/>
  <c r="CV78" i="1" s="1"/>
  <c r="CD87" i="1"/>
  <c r="CC87" i="1"/>
  <c r="CD85" i="1"/>
  <c r="CC85" i="1"/>
  <c r="CD68" i="1"/>
  <c r="CD70" i="1" s="1"/>
  <c r="CC68" i="1"/>
  <c r="J68" i="1" s="1"/>
  <c r="J70" i="1" s="1"/>
  <c r="J77" i="1" s="1"/>
  <c r="CD59" i="1"/>
  <c r="CC59" i="1"/>
  <c r="CC62" i="1" s="1"/>
  <c r="J62" i="1" s="1"/>
  <c r="CD33" i="1"/>
  <c r="CC33" i="1"/>
  <c r="J33" i="1" s="1"/>
  <c r="BY29" i="1"/>
  <c r="BY51" i="1" s="1"/>
  <c r="BY73" i="1" s="1"/>
  <c r="CD26" i="1"/>
  <c r="CC26" i="1"/>
  <c r="CD15" i="1"/>
  <c r="CD78" i="1" s="1"/>
  <c r="CD80" i="1" s="1"/>
  <c r="CC15" i="1"/>
  <c r="BP87" i="1"/>
  <c r="BO87" i="1"/>
  <c r="BN87" i="1"/>
  <c r="BM87" i="1"/>
  <c r="BL87" i="1"/>
  <c r="BP85" i="1"/>
  <c r="BO85" i="1"/>
  <c r="BN85" i="1"/>
  <c r="BM85" i="1"/>
  <c r="BL85" i="1"/>
  <c r="BP68" i="1"/>
  <c r="BO68" i="1"/>
  <c r="BO70" i="1" s="1"/>
  <c r="BO71" i="1" s="1"/>
  <c r="BN68" i="1"/>
  <c r="BM68" i="1"/>
  <c r="BM70" i="1" s="1"/>
  <c r="BM71" i="1" s="1"/>
  <c r="BL68" i="1"/>
  <c r="BL70" i="1" s="1"/>
  <c r="BP59" i="1"/>
  <c r="BP62" i="1" s="1"/>
  <c r="BO59" i="1"/>
  <c r="BN59" i="1"/>
  <c r="BM59" i="1"/>
  <c r="BM62" i="1" s="1"/>
  <c r="BL59" i="1"/>
  <c r="BL62" i="1" s="1"/>
  <c r="BP33" i="1"/>
  <c r="BO33" i="1"/>
  <c r="BN33" i="1"/>
  <c r="BM33" i="1"/>
  <c r="BL33" i="1"/>
  <c r="BP30" i="1"/>
  <c r="BP52" i="1" s="1"/>
  <c r="BP74" i="1" s="1"/>
  <c r="BO30" i="1"/>
  <c r="BO52" i="1" s="1"/>
  <c r="BO74" i="1" s="1"/>
  <c r="BN30" i="1"/>
  <c r="BN52" i="1" s="1"/>
  <c r="BN74" i="1" s="1"/>
  <c r="BM30" i="1"/>
  <c r="BM52" i="1" s="1"/>
  <c r="BM74" i="1" s="1"/>
  <c r="BL30" i="1"/>
  <c r="BL52" i="1" s="1"/>
  <c r="BL74" i="1" s="1"/>
  <c r="BL29" i="1"/>
  <c r="BL51" i="1" s="1"/>
  <c r="BL73" i="1" s="1"/>
  <c r="BP26" i="1"/>
  <c r="BO26" i="1"/>
  <c r="BN26" i="1"/>
  <c r="BM26" i="1"/>
  <c r="BL26" i="1"/>
  <c r="BP15" i="1"/>
  <c r="BP78" i="1" s="1"/>
  <c r="BP80" i="1" s="1"/>
  <c r="BO15" i="1"/>
  <c r="BO78" i="1" s="1"/>
  <c r="BO80" i="1" s="1"/>
  <c r="BN15" i="1"/>
  <c r="BM15" i="1"/>
  <c r="BL15" i="1"/>
  <c r="AW87" i="1"/>
  <c r="AV87" i="1"/>
  <c r="AU87" i="1"/>
  <c r="AT87" i="1"/>
  <c r="AS87" i="1"/>
  <c r="AW86" i="1"/>
  <c r="AV86" i="1"/>
  <c r="AU86" i="1"/>
  <c r="AT86" i="1"/>
  <c r="AS86" i="1"/>
  <c r="AW85" i="1"/>
  <c r="AV85" i="1"/>
  <c r="AU85" i="1"/>
  <c r="AT85" i="1"/>
  <c r="AS85" i="1"/>
  <c r="AW68" i="1"/>
  <c r="AW70" i="1" s="1"/>
  <c r="AV68" i="1"/>
  <c r="AV70" i="1" s="1"/>
  <c r="AV71" i="1" s="1"/>
  <c r="AU68" i="1"/>
  <c r="AU70" i="1" s="1"/>
  <c r="AU77" i="1" s="1"/>
  <c r="AT68" i="1"/>
  <c r="AS68" i="1"/>
  <c r="AS70" i="1" s="1"/>
  <c r="AS71" i="1" s="1"/>
  <c r="AW59" i="1"/>
  <c r="AV59" i="1"/>
  <c r="AV62" i="1" s="1"/>
  <c r="AU59" i="1"/>
  <c r="AU62" i="1" s="1"/>
  <c r="AT59" i="1"/>
  <c r="AT62" i="1" s="1"/>
  <c r="AS59" i="1"/>
  <c r="AW33" i="1"/>
  <c r="AV33" i="1"/>
  <c r="AU33" i="1"/>
  <c r="AT33" i="1"/>
  <c r="AS33" i="1"/>
  <c r="AW30" i="1"/>
  <c r="AW52" i="1" s="1"/>
  <c r="AW74" i="1" s="1"/>
  <c r="AV30" i="1"/>
  <c r="AV52" i="1" s="1"/>
  <c r="AV74" i="1" s="1"/>
  <c r="AU30" i="1"/>
  <c r="AU52" i="1" s="1"/>
  <c r="AU74" i="1" s="1"/>
  <c r="AT30" i="1"/>
  <c r="AT52" i="1" s="1"/>
  <c r="AT74" i="1" s="1"/>
  <c r="AS30" i="1"/>
  <c r="AS52" i="1" s="1"/>
  <c r="AS74" i="1" s="1"/>
  <c r="AM29" i="1"/>
  <c r="AM51" i="1" s="1"/>
  <c r="AM73" i="1" s="1"/>
  <c r="AW26" i="1"/>
  <c r="AU26" i="1"/>
  <c r="AT26" i="1"/>
  <c r="AS26" i="1"/>
  <c r="AW20" i="1"/>
  <c r="AW23" i="1" s="1"/>
  <c r="AU20" i="1"/>
  <c r="AU23" i="1" s="1"/>
  <c r="AT20" i="1"/>
  <c r="AT23" i="1" s="1"/>
  <c r="AS20" i="1"/>
  <c r="AS23" i="1" s="1"/>
  <c r="AW15" i="1"/>
  <c r="AV15" i="1"/>
  <c r="AV78" i="1" s="1"/>
  <c r="AV80" i="1" s="1"/>
  <c r="AU15" i="1"/>
  <c r="AU78" i="1" s="1"/>
  <c r="AU80" i="1" s="1"/>
  <c r="AT15" i="1"/>
  <c r="AS15" i="1"/>
  <c r="AS78" i="1" s="1"/>
  <c r="AS80" i="1" s="1"/>
  <c r="AD87" i="1"/>
  <c r="AC87" i="1"/>
  <c r="AB87" i="1"/>
  <c r="AA87" i="1"/>
  <c r="Z87" i="1"/>
  <c r="AC85" i="1"/>
  <c r="AB85" i="1"/>
  <c r="AA85" i="1"/>
  <c r="Z85" i="1"/>
  <c r="AD68" i="1"/>
  <c r="AC68" i="1"/>
  <c r="AB68" i="1"/>
  <c r="AA68" i="1"/>
  <c r="Z68" i="1"/>
  <c r="AC59" i="1"/>
  <c r="AC62" i="1" s="1"/>
  <c r="AB59" i="1"/>
  <c r="AB62" i="1" s="1"/>
  <c r="AA59" i="1"/>
  <c r="Z59" i="1"/>
  <c r="Z62" i="1" s="1"/>
  <c r="AD33" i="1"/>
  <c r="AC33" i="1"/>
  <c r="AB33" i="1"/>
  <c r="AA33" i="1"/>
  <c r="Z33" i="1"/>
  <c r="AD30" i="1"/>
  <c r="AD52" i="1" s="1"/>
  <c r="AD74" i="1" s="1"/>
  <c r="AC30" i="1"/>
  <c r="AC52" i="1" s="1"/>
  <c r="AC74" i="1" s="1"/>
  <c r="AB30" i="1"/>
  <c r="AB52" i="1" s="1"/>
  <c r="AB74" i="1" s="1"/>
  <c r="AA30" i="1"/>
  <c r="AA52" i="1" s="1"/>
  <c r="AA74" i="1" s="1"/>
  <c r="Z30" i="1"/>
  <c r="Z52" i="1" s="1"/>
  <c r="Z74" i="1" s="1"/>
  <c r="T29" i="1"/>
  <c r="T51" i="1" s="1"/>
  <c r="T73" i="1" s="1"/>
  <c r="AA26" i="1"/>
  <c r="AD26" i="1"/>
  <c r="AC26" i="1"/>
  <c r="AB26" i="1"/>
  <c r="Z26" i="1"/>
  <c r="AD15" i="1"/>
  <c r="AD78" i="1" s="1"/>
  <c r="AD80" i="1" s="1"/>
  <c r="AC15" i="1"/>
  <c r="AC78" i="1" s="1"/>
  <c r="AC80" i="1" s="1"/>
  <c r="AB15" i="1"/>
  <c r="AA15" i="1"/>
  <c r="Z15" i="1"/>
  <c r="Z78" i="1" s="1"/>
  <c r="Z80" i="1" s="1"/>
  <c r="F63" i="6" l="1"/>
  <c r="F65" i="6" s="1"/>
  <c r="AT24" i="1"/>
  <c r="EF81" i="1"/>
  <c r="CA77" i="1"/>
  <c r="CA81" i="1" s="1"/>
  <c r="H81" i="1" s="1"/>
  <c r="L17" i="1"/>
  <c r="L20" i="1" s="1"/>
  <c r="AU24" i="1"/>
  <c r="AU40" i="1" s="1"/>
  <c r="AW24" i="1"/>
  <c r="AW32" i="1" s="1"/>
  <c r="AW34" i="1" s="1"/>
  <c r="EI77" i="1"/>
  <c r="EI71" i="1"/>
  <c r="EL20" i="1"/>
  <c r="EL21" i="1" s="1"/>
  <c r="EL22" i="1" s="1"/>
  <c r="EL86" i="1"/>
  <c r="EL88" i="1" s="1"/>
  <c r="EL89" i="1" s="1"/>
  <c r="EF47" i="1"/>
  <c r="EF48" i="1"/>
  <c r="EK86" i="1"/>
  <c r="EK88" i="1" s="1"/>
  <c r="K68" i="1"/>
  <c r="K70" i="1" s="1"/>
  <c r="K77" i="1" s="1"/>
  <c r="EF46" i="1"/>
  <c r="L33" i="1"/>
  <c r="EH78" i="1"/>
  <c r="EH80" i="1" s="1"/>
  <c r="EL78" i="1"/>
  <c r="EL80" i="1" s="1"/>
  <c r="L79" i="1"/>
  <c r="L80" i="1" s="1"/>
  <c r="EI86" i="1"/>
  <c r="EI88" i="1" s="1"/>
  <c r="EG86" i="1"/>
  <c r="EG88" i="1" s="1"/>
  <c r="L86" i="1"/>
  <c r="L88" i="1" s="1"/>
  <c r="EJ86" i="1"/>
  <c r="EJ88" i="1" s="1"/>
  <c r="EH20" i="1"/>
  <c r="EH21" i="1" s="1"/>
  <c r="EH22" i="1" s="1"/>
  <c r="EH47" i="1" s="1"/>
  <c r="EH86" i="1"/>
  <c r="EH88" i="1" s="1"/>
  <c r="K17" i="1"/>
  <c r="CA93" i="1"/>
  <c r="H93" i="1" s="1"/>
  <c r="L68" i="1"/>
  <c r="L70" i="1" s="1"/>
  <c r="L77" i="1" s="1"/>
  <c r="EI78" i="1"/>
  <c r="EI80" i="1" s="1"/>
  <c r="EL77" i="1"/>
  <c r="EL71" i="1"/>
  <c r="K33" i="1"/>
  <c r="K79" i="1"/>
  <c r="K80" i="1" s="1"/>
  <c r="EF41" i="1"/>
  <c r="EF39" i="1"/>
  <c r="EF40" i="1"/>
  <c r="F43" i="6"/>
  <c r="CB70" i="1"/>
  <c r="CB77" i="1" s="1"/>
  <c r="BN70" i="1"/>
  <c r="BN77" i="1" s="1"/>
  <c r="AS24" i="1"/>
  <c r="AS40" i="1" s="1"/>
  <c r="AA70" i="1"/>
  <c r="AA77" i="1" s="1"/>
  <c r="AD20" i="1"/>
  <c r="AD21" i="1" s="1"/>
  <c r="AD22" i="1" s="1"/>
  <c r="AD48" i="1" s="1"/>
  <c r="CW15" i="1"/>
  <c r="CW78" i="1" s="1"/>
  <c r="CW80" i="1" s="1"/>
  <c r="CV26" i="1"/>
  <c r="AC70" i="1"/>
  <c r="AC71" i="1" s="1"/>
  <c r="AB86" i="1"/>
  <c r="AB88" i="1" s="1"/>
  <c r="X77" i="1"/>
  <c r="X81" i="1" s="1"/>
  <c r="Z70" i="1"/>
  <c r="Z71" i="1" s="1"/>
  <c r="AC86" i="1"/>
  <c r="AC88" i="1" s="1"/>
  <c r="CZ15" i="1"/>
  <c r="CZ78" i="1" s="1"/>
  <c r="CZ80" i="1" s="1"/>
  <c r="CW26" i="1"/>
  <c r="AD59" i="1"/>
  <c r="AD62" i="1" s="1"/>
  <c r="Y20" i="1"/>
  <c r="Y23" i="1" s="1"/>
  <c r="Y24" i="1" s="1"/>
  <c r="Y32" i="1" s="1"/>
  <c r="Y70" i="1"/>
  <c r="Y77" i="1" s="1"/>
  <c r="Y81" i="1" s="1"/>
  <c r="CD20" i="1"/>
  <c r="CD23" i="1" s="1"/>
  <c r="CD24" i="1" s="1"/>
  <c r="BM20" i="1"/>
  <c r="BM23" i="1" s="1"/>
  <c r="BM24" i="1" s="1"/>
  <c r="BM32" i="1" s="1"/>
  <c r="BM34" i="1" s="1"/>
  <c r="AP89" i="1"/>
  <c r="CS89" i="1"/>
  <c r="CT39" i="1"/>
  <c r="CY20" i="1"/>
  <c r="CY23" i="1" s="1"/>
  <c r="CY24" i="1" s="1"/>
  <c r="CC20" i="1"/>
  <c r="CC23" i="1" s="1"/>
  <c r="CC24" i="1" s="1"/>
  <c r="CC32" i="1" s="1"/>
  <c r="CC34" i="1" s="1"/>
  <c r="CT41" i="1"/>
  <c r="CX86" i="1"/>
  <c r="CX88" i="1" s="1"/>
  <c r="DQ88" i="1"/>
  <c r="CX62" i="1"/>
  <c r="EI20" i="1"/>
  <c r="EI23" i="1" s="1"/>
  <c r="EI24" i="1" s="1"/>
  <c r="CZ62" i="1"/>
  <c r="AB20" i="1"/>
  <c r="AB23" i="1" s="1"/>
  <c r="AB24" i="1" s="1"/>
  <c r="AB39" i="1" s="1"/>
  <c r="DS23" i="1"/>
  <c r="DS24" i="1" s="1"/>
  <c r="AQ32" i="1"/>
  <c r="AQ34" i="1" s="1"/>
  <c r="DS88" i="1"/>
  <c r="DS89" i="1" s="1"/>
  <c r="DN86" i="1"/>
  <c r="DN88" i="1" s="1"/>
  <c r="DM89" i="1" s="1"/>
  <c r="BK20" i="1"/>
  <c r="BK23" i="1" s="1"/>
  <c r="BK24" i="1" s="1"/>
  <c r="BK40" i="1" s="1"/>
  <c r="CV80" i="1"/>
  <c r="DR23" i="1"/>
  <c r="DR24" i="1" s="1"/>
  <c r="AQ40" i="1"/>
  <c r="CT32" i="1"/>
  <c r="CT34" i="1" s="1"/>
  <c r="BM88" i="1"/>
  <c r="DQ24" i="1"/>
  <c r="DQ39" i="1" s="1"/>
  <c r="DP71" i="1"/>
  <c r="DP24" i="1"/>
  <c r="DP40" i="1" s="1"/>
  <c r="DP88" i="1"/>
  <c r="DN24" i="1"/>
  <c r="DN39" i="1" s="1"/>
  <c r="DL89" i="1"/>
  <c r="CC88" i="1"/>
  <c r="CC78" i="1"/>
  <c r="CC80" i="1" s="1"/>
  <c r="BL88" i="1"/>
  <c r="BN88" i="1"/>
  <c r="DR78" i="1"/>
  <c r="DR80" i="1" s="1"/>
  <c r="DR21" i="1"/>
  <c r="DR22" i="1" s="1"/>
  <c r="DR47" i="1" s="1"/>
  <c r="DO71" i="1"/>
  <c r="DO77" i="1"/>
  <c r="DO81" i="1" s="1"/>
  <c r="CW20" i="1"/>
  <c r="CW23" i="1" s="1"/>
  <c r="DO88" i="1"/>
  <c r="CY88" i="1"/>
  <c r="CA40" i="1"/>
  <c r="H40" i="1" s="1"/>
  <c r="CA41" i="1"/>
  <c r="H41" i="1" s="1"/>
  <c r="CY62" i="1"/>
  <c r="BL20" i="1"/>
  <c r="BL23" i="1" s="1"/>
  <c r="BL24" i="1" s="1"/>
  <c r="BL32" i="1" s="1"/>
  <c r="BL34" i="1" s="1"/>
  <c r="BK88" i="1"/>
  <c r="BJ89" i="1" s="1"/>
  <c r="BI89" i="1"/>
  <c r="CB88" i="1"/>
  <c r="AS88" i="1"/>
  <c r="AV77" i="1"/>
  <c r="AV81" i="1" s="1"/>
  <c r="AU88" i="1"/>
  <c r="AQ41" i="1"/>
  <c r="AR24" i="1"/>
  <c r="AR41" i="1" s="1"/>
  <c r="W89" i="1"/>
  <c r="EK77" i="1"/>
  <c r="AW62" i="1"/>
  <c r="EJ20" i="1"/>
  <c r="EJ23" i="1" s="1"/>
  <c r="EJ24" i="1" s="1"/>
  <c r="EJ41" i="1" s="1"/>
  <c r="AD70" i="1"/>
  <c r="AD77" i="1" s="1"/>
  <c r="AD81" i="1" s="1"/>
  <c r="DQ78" i="1"/>
  <c r="DQ80" i="1" s="1"/>
  <c r="DQ21" i="1"/>
  <c r="DQ22" i="1" s="1"/>
  <c r="EL62" i="1"/>
  <c r="CV20" i="1"/>
  <c r="CV23" i="1" s="1"/>
  <c r="CV86" i="1"/>
  <c r="CV88" i="1" s="1"/>
  <c r="DM41" i="1"/>
  <c r="DM32" i="1"/>
  <c r="DM34" i="1" s="1"/>
  <c r="DM40" i="1"/>
  <c r="DM39" i="1"/>
  <c r="BM78" i="1"/>
  <c r="BM80" i="1" s="1"/>
  <c r="EH70" i="1"/>
  <c r="CW62" i="1"/>
  <c r="DR71" i="1"/>
  <c r="DR77" i="1"/>
  <c r="BO20" i="1"/>
  <c r="BO86" i="1"/>
  <c r="BO88" i="1" s="1"/>
  <c r="CX23" i="1"/>
  <c r="CX24" i="1" s="1"/>
  <c r="CX32" i="1" s="1"/>
  <c r="CX34" i="1" s="1"/>
  <c r="X41" i="1"/>
  <c r="X32" i="1"/>
  <c r="X40" i="1"/>
  <c r="X39" i="1"/>
  <c r="BM77" i="1"/>
  <c r="BP86" i="1"/>
  <c r="BP88" i="1" s="1"/>
  <c r="BP89" i="1" s="1"/>
  <c r="EF32" i="1"/>
  <c r="EF34" i="1" s="1"/>
  <c r="BJ39" i="1"/>
  <c r="BJ41" i="1"/>
  <c r="BJ32" i="1"/>
  <c r="BJ40" i="1"/>
  <c r="DM47" i="1"/>
  <c r="DM48" i="1"/>
  <c r="AW88" i="1"/>
  <c r="AW89" i="1" s="1"/>
  <c r="AT88" i="1"/>
  <c r="DO24" i="1"/>
  <c r="DO39" i="1" s="1"/>
  <c r="DM46" i="1"/>
  <c r="CZ77" i="1"/>
  <c r="CZ71" i="1"/>
  <c r="CT47" i="1"/>
  <c r="CT48" i="1"/>
  <c r="CW88" i="1"/>
  <c r="CT81" i="1"/>
  <c r="CT46" i="1"/>
  <c r="BL71" i="1"/>
  <c r="BL77" i="1"/>
  <c r="AU21" i="1"/>
  <c r="AU22" i="1" s="1"/>
  <c r="AU46" i="1" s="1"/>
  <c r="BP21" i="1"/>
  <c r="BP22" i="1" s="1"/>
  <c r="BP47" i="1" s="1"/>
  <c r="CA47" i="1"/>
  <c r="H47" i="1" s="1"/>
  <c r="CA48" i="1"/>
  <c r="H48" i="1" s="1"/>
  <c r="CA46" i="1"/>
  <c r="H46" i="1" s="1"/>
  <c r="BJ48" i="1"/>
  <c r="BJ47" i="1"/>
  <c r="BJ46" i="1"/>
  <c r="AR81" i="1"/>
  <c r="AV88" i="1"/>
  <c r="AQ47" i="1"/>
  <c r="AQ48" i="1"/>
  <c r="X47" i="1"/>
  <c r="X48" i="1"/>
  <c r="X46" i="1"/>
  <c r="F50" i="6"/>
  <c r="G48" i="6" s="1"/>
  <c r="DN81" i="1"/>
  <c r="AW71" i="1"/>
  <c r="AW77" i="1"/>
  <c r="CD77" i="1"/>
  <c r="CD81" i="1" s="1"/>
  <c r="CD71" i="1"/>
  <c r="CV77" i="1"/>
  <c r="CV71" i="1"/>
  <c r="DS77" i="1"/>
  <c r="DS71" i="1"/>
  <c r="AU71" i="1"/>
  <c r="CY71" i="1"/>
  <c r="DR88" i="1"/>
  <c r="DN21" i="1"/>
  <c r="DN22" i="1" s="1"/>
  <c r="DN48" i="1" s="1"/>
  <c r="AS21" i="1"/>
  <c r="AS22" i="1" s="1"/>
  <c r="AS47" i="1" s="1"/>
  <c r="AU81" i="1"/>
  <c r="DO21" i="1"/>
  <c r="DO22" i="1" s="1"/>
  <c r="DO46" i="1" s="1"/>
  <c r="BK62" i="1"/>
  <c r="AR21" i="1"/>
  <c r="AR22" i="1" s="1"/>
  <c r="AR48" i="1" s="1"/>
  <c r="AR88" i="1"/>
  <c r="DQ71" i="1"/>
  <c r="DQ77" i="1"/>
  <c r="DP62" i="1"/>
  <c r="EG77" i="1"/>
  <c r="Y62" i="1"/>
  <c r="EK78" i="1"/>
  <c r="EK80" i="1" s="1"/>
  <c r="AB70" i="1"/>
  <c r="Z86" i="1"/>
  <c r="Z88" i="1" s="1"/>
  <c r="Z20" i="1"/>
  <c r="AV20" i="1"/>
  <c r="AV26" i="1"/>
  <c r="AA86" i="1"/>
  <c r="AA88" i="1" s="1"/>
  <c r="AA20" i="1"/>
  <c r="AA23" i="1" s="1"/>
  <c r="AA24" i="1" s="1"/>
  <c r="AA41" i="1" s="1"/>
  <c r="AT70" i="1"/>
  <c r="AS77" i="1"/>
  <c r="AS81" i="1" s="1"/>
  <c r="DS78" i="1"/>
  <c r="DS80" i="1" s="1"/>
  <c r="DS21" i="1"/>
  <c r="DS22" i="1" s="1"/>
  <c r="DS46" i="1" s="1"/>
  <c r="EJ70" i="1"/>
  <c r="EJ71" i="1" s="1"/>
  <c r="BL78" i="1"/>
  <c r="BL80" i="1" s="1"/>
  <c r="AW78" i="1"/>
  <c r="AW80" i="1" s="1"/>
  <c r="AW21" i="1"/>
  <c r="AW22" i="1" s="1"/>
  <c r="AW46" i="1" s="1"/>
  <c r="BN78" i="1"/>
  <c r="BN80" i="1" s="1"/>
  <c r="AT32" i="1"/>
  <c r="AT34" i="1" s="1"/>
  <c r="AT41" i="1"/>
  <c r="AT40" i="1"/>
  <c r="AT39" i="1"/>
  <c r="AU39" i="1"/>
  <c r="AU41" i="1"/>
  <c r="AU32" i="1"/>
  <c r="AU34" i="1" s="1"/>
  <c r="AC20" i="1"/>
  <c r="AC23" i="1" s="1"/>
  <c r="AC24" i="1" s="1"/>
  <c r="AC41" i="1" s="1"/>
  <c r="CU77" i="1"/>
  <c r="CU71" i="1"/>
  <c r="CX70" i="1"/>
  <c r="BN20" i="1"/>
  <c r="BN23" i="1" s="1"/>
  <c r="BN24" i="1" s="1"/>
  <c r="BN41" i="1" s="1"/>
  <c r="EJ78" i="1"/>
  <c r="EJ80" i="1" s="1"/>
  <c r="AD86" i="1"/>
  <c r="AD88" i="1" s="1"/>
  <c r="CU78" i="1"/>
  <c r="CU80" i="1" s="1"/>
  <c r="CU26" i="1"/>
  <c r="EJ62" i="1"/>
  <c r="DN71" i="1"/>
  <c r="BP70" i="1"/>
  <c r="AD85" i="1"/>
  <c r="AB78" i="1"/>
  <c r="AB80" i="1" s="1"/>
  <c r="BO77" i="1"/>
  <c r="BO81" i="1" s="1"/>
  <c r="BK77" i="1"/>
  <c r="BK71" i="1"/>
  <c r="BN62" i="1"/>
  <c r="BO62" i="1"/>
  <c r="CD62" i="1"/>
  <c r="CZ20" i="1"/>
  <c r="CZ86" i="1"/>
  <c r="CZ88" i="1" s="1"/>
  <c r="EH62" i="1"/>
  <c r="AA78" i="1"/>
  <c r="AA80" i="1" s="1"/>
  <c r="BK78" i="1"/>
  <c r="BK80" i="1" s="1"/>
  <c r="CU62" i="1"/>
  <c r="CU20" i="1"/>
  <c r="CU23" i="1" s="1"/>
  <c r="CU86" i="1"/>
  <c r="CU88" i="1" s="1"/>
  <c r="CX15" i="1"/>
  <c r="AT78" i="1"/>
  <c r="AT80" i="1" s="1"/>
  <c r="AT21" i="1"/>
  <c r="AT22" i="1" s="1"/>
  <c r="CY15" i="1"/>
  <c r="AS62" i="1"/>
  <c r="EK20" i="1"/>
  <c r="EK23" i="1" s="1"/>
  <c r="EK24" i="1" s="1"/>
  <c r="EG20" i="1"/>
  <c r="BP24" i="1"/>
  <c r="DP21" i="1"/>
  <c r="DP22" i="1" s="1"/>
  <c r="DP46" i="1" s="1"/>
  <c r="DP78" i="1"/>
  <c r="DP80" i="1" s="1"/>
  <c r="CC70" i="1"/>
  <c r="CW71" i="1"/>
  <c r="CW77" i="1"/>
  <c r="CB78" i="1"/>
  <c r="CB80" i="1" s="1"/>
  <c r="AA62" i="1"/>
  <c r="CB20" i="1"/>
  <c r="CB23" i="1" s="1"/>
  <c r="CB24" i="1" s="1"/>
  <c r="CB41" i="1" s="1"/>
  <c r="I41" i="1" s="1"/>
  <c r="F57" i="6"/>
  <c r="G54" i="6" s="1"/>
  <c r="AR71" i="1"/>
  <c r="CB62" i="1"/>
  <c r="I62" i="1" s="1"/>
  <c r="CV62" i="1"/>
  <c r="EG62" i="1"/>
  <c r="CD88" i="1"/>
  <c r="Y86" i="1"/>
  <c r="Y88" i="1" s="1"/>
  <c r="EG78" i="1"/>
  <c r="EG80" i="1" s="1"/>
  <c r="EI81" i="1" l="1"/>
  <c r="EH23" i="1"/>
  <c r="EH24" i="1" s="1"/>
  <c r="EH41" i="1" s="1"/>
  <c r="AW40" i="1"/>
  <c r="AW39" i="1"/>
  <c r="EL23" i="1"/>
  <c r="EL24" i="1" s="1"/>
  <c r="EL41" i="1" s="1"/>
  <c r="AW41" i="1"/>
  <c r="EL81" i="1"/>
  <c r="L62" i="1"/>
  <c r="EK89" i="1"/>
  <c r="EI89" i="1"/>
  <c r="H42" i="1"/>
  <c r="BN71" i="1"/>
  <c r="EL47" i="1"/>
  <c r="EL48" i="1"/>
  <c r="EL46" i="1"/>
  <c r="EL40" i="1"/>
  <c r="J32" i="1"/>
  <c r="J34" i="1" s="1"/>
  <c r="EI39" i="1"/>
  <c r="EI40" i="1"/>
  <c r="EF42" i="1"/>
  <c r="K86" i="1"/>
  <c r="K88" i="1" s="1"/>
  <c r="K20" i="1"/>
  <c r="EI41" i="1"/>
  <c r="EF49" i="1"/>
  <c r="EK40" i="1"/>
  <c r="EK39" i="1"/>
  <c r="AS39" i="1"/>
  <c r="H49" i="1"/>
  <c r="EH48" i="1"/>
  <c r="L23" i="1"/>
  <c r="L24" i="1" s="1"/>
  <c r="L21" i="1"/>
  <c r="L22" i="1" s="1"/>
  <c r="EG89" i="1"/>
  <c r="EF89" i="1"/>
  <c r="EH46" i="1"/>
  <c r="EK41" i="1"/>
  <c r="EH39" i="1"/>
  <c r="EH40" i="1"/>
  <c r="EH77" i="1"/>
  <c r="EH81" i="1" s="1"/>
  <c r="EH71" i="1"/>
  <c r="L71" i="1" s="1"/>
  <c r="K62" i="1"/>
  <c r="EJ39" i="1"/>
  <c r="EJ40" i="1"/>
  <c r="EH89" i="1"/>
  <c r="EJ89" i="1"/>
  <c r="G42" i="6"/>
  <c r="G40" i="6"/>
  <c r="G41" i="6"/>
  <c r="CB81" i="1"/>
  <c r="I81" i="1" s="1"/>
  <c r="BJ34" i="1"/>
  <c r="CB71" i="1"/>
  <c r="I71" i="1" s="1"/>
  <c r="BN81" i="1"/>
  <c r="AS41" i="1"/>
  <c r="AS32" i="1"/>
  <c r="AS34" i="1" s="1"/>
  <c r="Y89" i="1"/>
  <c r="AR89" i="1"/>
  <c r="CU89" i="1"/>
  <c r="CW24" i="1"/>
  <c r="CW32" i="1" s="1"/>
  <c r="CW34" i="1" s="1"/>
  <c r="AD23" i="1"/>
  <c r="AD24" i="1" s="1"/>
  <c r="AD41" i="1" s="1"/>
  <c r="BK89" i="1"/>
  <c r="AC77" i="1"/>
  <c r="AC81" i="1" s="1"/>
  <c r="DN89" i="1"/>
  <c r="CV24" i="1"/>
  <c r="CV39" i="1" s="1"/>
  <c r="CD21" i="1"/>
  <c r="CD22" i="1" s="1"/>
  <c r="CD46" i="1" s="1"/>
  <c r="Z77" i="1"/>
  <c r="Z81" i="1" s="1"/>
  <c r="AA71" i="1"/>
  <c r="Y71" i="1"/>
  <c r="K71" i="1" s="1"/>
  <c r="Y34" i="1"/>
  <c r="Y21" i="1"/>
  <c r="Y22" i="1" s="1"/>
  <c r="Y48" i="1" s="1"/>
  <c r="X34" i="1"/>
  <c r="BM21" i="1"/>
  <c r="BM22" i="1" s="1"/>
  <c r="BM46" i="1" s="1"/>
  <c r="DP89" i="1"/>
  <c r="CX41" i="1"/>
  <c r="AB21" i="1"/>
  <c r="AB22" i="1" s="1"/>
  <c r="AB48" i="1" s="1"/>
  <c r="BL89" i="1"/>
  <c r="BK21" i="1"/>
  <c r="BK22" i="1" s="1"/>
  <c r="BK47" i="1" s="1"/>
  <c r="DO47" i="1"/>
  <c r="DN40" i="1"/>
  <c r="CT42" i="1"/>
  <c r="EI21" i="1"/>
  <c r="EI22" i="1" s="1"/>
  <c r="AD46" i="1"/>
  <c r="CX39" i="1"/>
  <c r="EJ32" i="1"/>
  <c r="EJ34" i="1" s="1"/>
  <c r="EI32" i="1"/>
  <c r="EI34" i="1" s="1"/>
  <c r="CV81" i="1"/>
  <c r="EJ21" i="1"/>
  <c r="EJ22" i="1" s="1"/>
  <c r="CC21" i="1"/>
  <c r="CC22" i="1" s="1"/>
  <c r="DS32" i="1"/>
  <c r="DS34" i="1" s="1"/>
  <c r="DS41" i="1"/>
  <c r="DS40" i="1"/>
  <c r="DS39" i="1"/>
  <c r="DR40" i="1"/>
  <c r="DR39" i="1"/>
  <c r="AB89" i="1"/>
  <c r="DP41" i="1"/>
  <c r="DN41" i="1"/>
  <c r="DN32" i="1"/>
  <c r="DN34" i="1" s="1"/>
  <c r="CV21" i="1"/>
  <c r="CV22" i="1" s="1"/>
  <c r="CV47" i="1" s="1"/>
  <c r="DR89" i="1"/>
  <c r="BM89" i="1"/>
  <c r="CC41" i="1"/>
  <c r="J41" i="1" s="1"/>
  <c r="DQ32" i="1"/>
  <c r="DQ34" i="1" s="1"/>
  <c r="CX89" i="1"/>
  <c r="DR41" i="1"/>
  <c r="DQ81" i="1"/>
  <c r="DR81" i="1"/>
  <c r="AQ42" i="1"/>
  <c r="DQ40" i="1"/>
  <c r="DQ41" i="1"/>
  <c r="DO48" i="1"/>
  <c r="EK81" i="1"/>
  <c r="DR46" i="1"/>
  <c r="CZ81" i="1"/>
  <c r="DP39" i="1"/>
  <c r="CU24" i="1"/>
  <c r="CU41" i="1" s="1"/>
  <c r="DR48" i="1"/>
  <c r="DS81" i="1"/>
  <c r="DP32" i="1"/>
  <c r="DP34" i="1" s="1"/>
  <c r="BM41" i="1"/>
  <c r="CW21" i="1"/>
  <c r="CW22" i="1" s="1"/>
  <c r="CW47" i="1" s="1"/>
  <c r="CX40" i="1"/>
  <c r="AA89" i="1"/>
  <c r="DO89" i="1"/>
  <c r="CV89" i="1"/>
  <c r="AA81" i="1"/>
  <c r="DO32" i="1"/>
  <c r="DO34" i="1" s="1"/>
  <c r="AW81" i="1"/>
  <c r="BK32" i="1"/>
  <c r="BK34" i="1" s="1"/>
  <c r="BM81" i="1"/>
  <c r="AD47" i="1"/>
  <c r="BL40" i="1"/>
  <c r="AV89" i="1"/>
  <c r="AB40" i="1"/>
  <c r="AR32" i="1"/>
  <c r="AR34" i="1" s="1"/>
  <c r="AB41" i="1"/>
  <c r="AU48" i="1"/>
  <c r="BL41" i="1"/>
  <c r="AT89" i="1"/>
  <c r="CA42" i="1"/>
  <c r="CB89" i="1"/>
  <c r="I89" i="1" s="1"/>
  <c r="AR47" i="1"/>
  <c r="BL21" i="1"/>
  <c r="BL22" i="1" s="1"/>
  <c r="BL46" i="1" s="1"/>
  <c r="AB32" i="1"/>
  <c r="BL39" i="1"/>
  <c r="CW81" i="1"/>
  <c r="DN47" i="1"/>
  <c r="DO40" i="1"/>
  <c r="BK41" i="1"/>
  <c r="CW89" i="1"/>
  <c r="BK39" i="1"/>
  <c r="CA89" i="1"/>
  <c r="H89" i="1" s="1"/>
  <c r="BN89" i="1"/>
  <c r="BO89" i="1"/>
  <c r="BM39" i="1"/>
  <c r="BM40" i="1"/>
  <c r="BP48" i="1"/>
  <c r="CC40" i="1"/>
  <c r="J40" i="1" s="1"/>
  <c r="AC89" i="1"/>
  <c r="AU89" i="1"/>
  <c r="AD71" i="1"/>
  <c r="CC39" i="1"/>
  <c r="J39" i="1" s="1"/>
  <c r="AR39" i="1"/>
  <c r="AS89" i="1"/>
  <c r="AR40" i="1"/>
  <c r="AS48" i="1"/>
  <c r="Y41" i="1"/>
  <c r="Y40" i="1"/>
  <c r="D20" i="6"/>
  <c r="CT49" i="1"/>
  <c r="AR46" i="1"/>
  <c r="BP46" i="1"/>
  <c r="DN46" i="1"/>
  <c r="DO41" i="1"/>
  <c r="AS46" i="1"/>
  <c r="DR32" i="1"/>
  <c r="DR34" i="1" s="1"/>
  <c r="AQ49" i="1"/>
  <c r="X42" i="1"/>
  <c r="DM42" i="1"/>
  <c r="BO23" i="1"/>
  <c r="BO24" i="1" s="1"/>
  <c r="BO41" i="1" s="1"/>
  <c r="BO21" i="1"/>
  <c r="BO22" i="1" s="1"/>
  <c r="DQ46" i="1"/>
  <c r="DQ48" i="1"/>
  <c r="DQ47" i="1"/>
  <c r="Y39" i="1"/>
  <c r="BL81" i="1"/>
  <c r="AU47" i="1"/>
  <c r="X49" i="1"/>
  <c r="DM49" i="1"/>
  <c r="BJ42" i="1"/>
  <c r="G47" i="6"/>
  <c r="D21" i="6"/>
  <c r="CT89" i="1"/>
  <c r="CA49" i="1"/>
  <c r="BJ49" i="1"/>
  <c r="AQ89" i="1"/>
  <c r="X89" i="1"/>
  <c r="G49" i="6"/>
  <c r="CB21" i="1"/>
  <c r="CB22" i="1" s="1"/>
  <c r="CB48" i="1" s="1"/>
  <c r="I48" i="1" s="1"/>
  <c r="CU21" i="1"/>
  <c r="CU22" i="1" s="1"/>
  <c r="CU47" i="1" s="1"/>
  <c r="CU81" i="1"/>
  <c r="BN21" i="1"/>
  <c r="BN22" i="1" s="1"/>
  <c r="BN47" i="1" s="1"/>
  <c r="DP81" i="1"/>
  <c r="DQ89" i="1"/>
  <c r="BK81" i="1"/>
  <c r="EG81" i="1"/>
  <c r="AA40" i="1"/>
  <c r="AA39" i="1"/>
  <c r="AA32" i="1"/>
  <c r="AT77" i="1"/>
  <c r="AT81" i="1" s="1"/>
  <c r="AT71" i="1"/>
  <c r="AT42" i="1"/>
  <c r="EK32" i="1"/>
  <c r="EK34" i="1" s="1"/>
  <c r="D55" i="6"/>
  <c r="EK21" i="1"/>
  <c r="EK22" i="1" s="1"/>
  <c r="CY89" i="1"/>
  <c r="DS47" i="1"/>
  <c r="DS48" i="1"/>
  <c r="CY78" i="1"/>
  <c r="CY80" i="1" s="1"/>
  <c r="CY21" i="1"/>
  <c r="CY22" i="1" s="1"/>
  <c r="CY46" i="1" s="1"/>
  <c r="CX77" i="1"/>
  <c r="CX71" i="1"/>
  <c r="CX78" i="1"/>
  <c r="CX80" i="1" s="1"/>
  <c r="CX21" i="1"/>
  <c r="CX22" i="1" s="1"/>
  <c r="CX46" i="1" s="1"/>
  <c r="CZ89" i="1"/>
  <c r="EG21" i="1"/>
  <c r="EG22" i="1" s="1"/>
  <c r="EG23" i="1"/>
  <c r="EG24" i="1" s="1"/>
  <c r="EH32" i="1"/>
  <c r="EH34" i="1" s="1"/>
  <c r="CY32" i="1"/>
  <c r="CY34" i="1" s="1"/>
  <c r="CY41" i="1"/>
  <c r="CY40" i="1"/>
  <c r="CY39" i="1"/>
  <c r="CC89" i="1"/>
  <c r="CD39" i="1"/>
  <c r="CD40" i="1"/>
  <c r="CD41" i="1"/>
  <c r="CD32" i="1"/>
  <c r="CD34" i="1" s="1"/>
  <c r="BN39" i="1"/>
  <c r="BN40" i="1"/>
  <c r="BN32" i="1"/>
  <c r="BN34" i="1" s="1"/>
  <c r="AD89" i="1"/>
  <c r="Z23" i="1"/>
  <c r="Z24" i="1" s="1"/>
  <c r="Z21" i="1"/>
  <c r="Z22" i="1" s="1"/>
  <c r="BP71" i="1"/>
  <c r="BP77" i="1"/>
  <c r="BP81" i="1" s="1"/>
  <c r="G55" i="6"/>
  <c r="D49" i="6"/>
  <c r="BP39" i="1"/>
  <c r="BP32" i="1"/>
  <c r="BP34" i="1" s="1"/>
  <c r="BP41" i="1"/>
  <c r="BP40" i="1"/>
  <c r="G56" i="6"/>
  <c r="CD89" i="1"/>
  <c r="CB32" i="1"/>
  <c r="I32" i="1" s="1"/>
  <c r="I34" i="1" s="1"/>
  <c r="CB40" i="1"/>
  <c r="I40" i="1" s="1"/>
  <c r="CB39" i="1"/>
  <c r="I39" i="1" s="1"/>
  <c r="CZ23" i="1"/>
  <c r="CZ24" i="1" s="1"/>
  <c r="CZ21" i="1"/>
  <c r="CZ22" i="1" s="1"/>
  <c r="AW48" i="1"/>
  <c r="AW47" i="1"/>
  <c r="AU42" i="1"/>
  <c r="AC32" i="1"/>
  <c r="AC40" i="1"/>
  <c r="AC39" i="1"/>
  <c r="CC77" i="1"/>
  <c r="CC81" i="1" s="1"/>
  <c r="J81" i="1" s="1"/>
  <c r="CC71" i="1"/>
  <c r="J71" i="1" s="1"/>
  <c r="AT48" i="1"/>
  <c r="AT47" i="1"/>
  <c r="AT46" i="1"/>
  <c r="AB71" i="1"/>
  <c r="AB77" i="1"/>
  <c r="AB81" i="1" s="1"/>
  <c r="Z89" i="1"/>
  <c r="AC21" i="1"/>
  <c r="AC22" i="1" s="1"/>
  <c r="DP48" i="1"/>
  <c r="DP47" i="1"/>
  <c r="AA21" i="1"/>
  <c r="AA22" i="1" s="1"/>
  <c r="AV21" i="1"/>
  <c r="AV22" i="1" s="1"/>
  <c r="AV23" i="1"/>
  <c r="AV24" i="1" s="1"/>
  <c r="AS42" i="1"/>
  <c r="EJ77" i="1"/>
  <c r="EJ81" i="1" s="1"/>
  <c r="AW42" i="1" l="1"/>
  <c r="EL39" i="1"/>
  <c r="EL32" i="1"/>
  <c r="EL34" i="1" s="1"/>
  <c r="EL49" i="1"/>
  <c r="K81" i="1"/>
  <c r="I42" i="1"/>
  <c r="EI42" i="1"/>
  <c r="EJ42" i="1"/>
  <c r="J42" i="1"/>
  <c r="J89" i="1"/>
  <c r="L89" i="1"/>
  <c r="K89" i="1"/>
  <c r="EH42" i="1"/>
  <c r="EG40" i="1"/>
  <c r="EG39" i="1"/>
  <c r="EG41" i="1"/>
  <c r="K41" i="1" s="1"/>
  <c r="EK47" i="1"/>
  <c r="EK46" i="1"/>
  <c r="EK48" i="1"/>
  <c r="L81" i="1"/>
  <c r="EL42" i="1"/>
  <c r="EJ47" i="1"/>
  <c r="EJ46" i="1"/>
  <c r="EJ48" i="1"/>
  <c r="EG47" i="1"/>
  <c r="EG46" i="1"/>
  <c r="EG48" i="1"/>
  <c r="EI47" i="1"/>
  <c r="EI46" i="1"/>
  <c r="EI48" i="1"/>
  <c r="EH49" i="1"/>
  <c r="EK42" i="1"/>
  <c r="K23" i="1"/>
  <c r="K24" i="1" s="1"/>
  <c r="K21" i="1"/>
  <c r="K22" i="1" s="1"/>
  <c r="D64" i="6"/>
  <c r="G62" i="6"/>
  <c r="G63" i="6"/>
  <c r="G64" i="6"/>
  <c r="CB34" i="1"/>
  <c r="CV40" i="1"/>
  <c r="F21" i="4"/>
  <c r="AD39" i="1"/>
  <c r="AD40" i="1"/>
  <c r="AD32" i="1"/>
  <c r="AD34" i="1" s="1"/>
  <c r="CW41" i="1"/>
  <c r="CW40" i="1"/>
  <c r="CW39" i="1"/>
  <c r="CV41" i="1"/>
  <c r="CV32" i="1"/>
  <c r="CV34" i="1" s="1"/>
  <c r="CD47" i="1"/>
  <c r="CD48" i="1"/>
  <c r="Y46" i="1"/>
  <c r="D22" i="6"/>
  <c r="AB34" i="1"/>
  <c r="AC34" i="1"/>
  <c r="AA34" i="1"/>
  <c r="Y47" i="1"/>
  <c r="AB46" i="1"/>
  <c r="AB47" i="1"/>
  <c r="BM47" i="1"/>
  <c r="BM48" i="1"/>
  <c r="BK48" i="1"/>
  <c r="BK46" i="1"/>
  <c r="DN42" i="1"/>
  <c r="AD49" i="1"/>
  <c r="DP42" i="1"/>
  <c r="DR42" i="1"/>
  <c r="DS42" i="1"/>
  <c r="CV48" i="1"/>
  <c r="DQ42" i="1"/>
  <c r="CC48" i="1"/>
  <c r="J48" i="1" s="1"/>
  <c r="CC46" i="1"/>
  <c r="J46" i="1" s="1"/>
  <c r="CC47" i="1"/>
  <c r="J47" i="1" s="1"/>
  <c r="CV46" i="1"/>
  <c r="BO32" i="1"/>
  <c r="BO34" i="1" s="1"/>
  <c r="BM42" i="1"/>
  <c r="DO49" i="1"/>
  <c r="CU40" i="1"/>
  <c r="K40" i="1" s="1"/>
  <c r="CX42" i="1"/>
  <c r="CU39" i="1"/>
  <c r="BP49" i="1"/>
  <c r="DO42" i="1"/>
  <c r="CU32" i="1"/>
  <c r="CU34" i="1" s="1"/>
  <c r="DR49" i="1"/>
  <c r="CW46" i="1"/>
  <c r="CB46" i="1"/>
  <c r="I46" i="1" s="1"/>
  <c r="CW48" i="1"/>
  <c r="CU46" i="1"/>
  <c r="DS49" i="1"/>
  <c r="CU48" i="1"/>
  <c r="CC42" i="1"/>
  <c r="AB42" i="1"/>
  <c r="BK42" i="1"/>
  <c r="BL48" i="1"/>
  <c r="AR42" i="1"/>
  <c r="BL47" i="1"/>
  <c r="AS49" i="1"/>
  <c r="BL42" i="1"/>
  <c r="Y42" i="1"/>
  <c r="AR49" i="1"/>
  <c r="DN49" i="1"/>
  <c r="BN48" i="1"/>
  <c r="BN46" i="1"/>
  <c r="CB47" i="1"/>
  <c r="I47" i="1" s="1"/>
  <c r="BO39" i="1"/>
  <c r="G50" i="6"/>
  <c r="BO40" i="1"/>
  <c r="AU49" i="1"/>
  <c r="DQ49" i="1"/>
  <c r="BO47" i="1"/>
  <c r="BO48" i="1"/>
  <c r="BO46" i="1"/>
  <c r="G43" i="6"/>
  <c r="AW49" i="1"/>
  <c r="G57" i="6"/>
  <c r="CX81" i="1"/>
  <c r="BN42" i="1"/>
  <c r="CY42" i="1"/>
  <c r="CX48" i="1"/>
  <c r="CX47" i="1"/>
  <c r="AC47" i="1"/>
  <c r="AC46" i="1"/>
  <c r="AC48" i="1"/>
  <c r="EG32" i="1"/>
  <c r="EG34" i="1" s="1"/>
  <c r="AT49" i="1"/>
  <c r="Z47" i="1"/>
  <c r="Z46" i="1"/>
  <c r="Z48" i="1"/>
  <c r="AA47" i="1"/>
  <c r="AA46" i="1"/>
  <c r="AA48" i="1"/>
  <c r="D48" i="6"/>
  <c r="D63" i="6" s="1"/>
  <c r="D47" i="6"/>
  <c r="D62" i="6" s="1"/>
  <c r="Z40" i="1"/>
  <c r="Z39" i="1"/>
  <c r="L39" i="1" s="1"/>
  <c r="Z32" i="1"/>
  <c r="Z41" i="1"/>
  <c r="CB42" i="1"/>
  <c r="CZ47" i="1"/>
  <c r="CZ46" i="1"/>
  <c r="CZ48" i="1"/>
  <c r="D57" i="6"/>
  <c r="AA42" i="1"/>
  <c r="CZ40" i="1"/>
  <c r="CZ32" i="1"/>
  <c r="CZ34" i="1" s="1"/>
  <c r="CZ39" i="1"/>
  <c r="CZ41" i="1"/>
  <c r="DP49" i="1"/>
  <c r="CY47" i="1"/>
  <c r="CY48" i="1"/>
  <c r="AV46" i="1"/>
  <c r="AV48" i="1"/>
  <c r="AV47" i="1"/>
  <c r="AC42" i="1"/>
  <c r="BP42" i="1"/>
  <c r="CY81" i="1"/>
  <c r="AV32" i="1"/>
  <c r="AV34" i="1" s="1"/>
  <c r="AV41" i="1"/>
  <c r="AV40" i="1"/>
  <c r="AV39" i="1"/>
  <c r="CD42" i="1"/>
  <c r="L40" i="1" l="1"/>
  <c r="L41" i="1"/>
  <c r="L32" i="1"/>
  <c r="L34" i="1" s="1"/>
  <c r="K39" i="1"/>
  <c r="L46" i="1"/>
  <c r="L47" i="1"/>
  <c r="EK49" i="1"/>
  <c r="L42" i="1"/>
  <c r="I49" i="1"/>
  <c r="K48" i="1"/>
  <c r="EJ49" i="1"/>
  <c r="K32" i="1"/>
  <c r="K34" i="1" s="1"/>
  <c r="K42" i="1"/>
  <c r="K47" i="1"/>
  <c r="EI49" i="1"/>
  <c r="EG49" i="1"/>
  <c r="L48" i="1"/>
  <c r="J49" i="1"/>
  <c r="K46" i="1"/>
  <c r="EG42" i="1"/>
  <c r="G65" i="6"/>
  <c r="D65" i="6"/>
  <c r="CV42" i="1"/>
  <c r="G21" i="4"/>
  <c r="AD42" i="1"/>
  <c r="CW42" i="1"/>
  <c r="CD49" i="1"/>
  <c r="Y49" i="1"/>
  <c r="Z34" i="1"/>
  <c r="AB49" i="1"/>
  <c r="BM49" i="1"/>
  <c r="BK49" i="1"/>
  <c r="CV49" i="1"/>
  <c r="CC49" i="1"/>
  <c r="CU42" i="1"/>
  <c r="CW49" i="1"/>
  <c r="CU49" i="1"/>
  <c r="BN49" i="1"/>
  <c r="BL49" i="1"/>
  <c r="CB49" i="1"/>
  <c r="BO42" i="1"/>
  <c r="BO49" i="1"/>
  <c r="CX49" i="1"/>
  <c r="CY49" i="1"/>
  <c r="D50" i="6"/>
  <c r="AC49" i="1"/>
  <c r="AV49" i="1"/>
  <c r="Z42" i="1"/>
  <c r="AA49" i="1"/>
  <c r="Z49" i="1"/>
  <c r="CZ42" i="1"/>
  <c r="AV42" i="1"/>
  <c r="CZ49" i="1"/>
  <c r="L49" i="1" l="1"/>
  <c r="K49" i="1"/>
</calcChain>
</file>

<file path=xl/sharedStrings.xml><?xml version="1.0" encoding="utf-8"?>
<sst xmlns="http://schemas.openxmlformats.org/spreadsheetml/2006/main" count="890" uniqueCount="181">
  <si>
    <t>Long-Term Debt</t>
  </si>
  <si>
    <t>Short-Term Debt</t>
  </si>
  <si>
    <t>Current Maturities - L-T Debt</t>
  </si>
  <si>
    <t>Preferred Stock</t>
  </si>
  <si>
    <t>Common Stock</t>
  </si>
  <si>
    <t>Retained Earnings (Deficit)</t>
  </si>
  <si>
    <t>Total Stockholders' Equity</t>
  </si>
  <si>
    <t>Total Capitalization</t>
  </si>
  <si>
    <t>Total Debt (incl. CMD and STD)</t>
  </si>
  <si>
    <t>Total Capitalization (incl. CMD and STD)</t>
  </si>
  <si>
    <t>Capitalization (Total Capital Employed)</t>
  </si>
  <si>
    <t>Permanent Capitalization (with OCI)</t>
  </si>
  <si>
    <t>Permanent Capitalization (excl. OCI)</t>
  </si>
  <si>
    <t>Total Capitalization (excl. OCI)</t>
  </si>
  <si>
    <t>Size/risk argument -reorder presentation</t>
  </si>
  <si>
    <t>Current Maturities and Short-Term Debt</t>
  </si>
  <si>
    <t>Financial Risk / Leverage Argument - Capital Structure Mix</t>
  </si>
  <si>
    <t>Source is each Company's SEC - 10-K filings</t>
  </si>
  <si>
    <t>Capital Structure Ratios - Permanent Capital</t>
  </si>
  <si>
    <t>Common Equity (1)</t>
  </si>
  <si>
    <t>Total Permament Capitalization</t>
  </si>
  <si>
    <t>Capital Structure Ratios - Total Capital</t>
  </si>
  <si>
    <t>EBITDA Interest Coverage Ratio</t>
  </si>
  <si>
    <t xml:space="preserve">EBITDA </t>
  </si>
  <si>
    <t>Interest incl. AFUDC deduction (as reported)</t>
  </si>
  <si>
    <t>Operating Income (Operating Earnings)</t>
  </si>
  <si>
    <t>All three rating agencies use a variation of this coverage ratio</t>
  </si>
  <si>
    <t>Ability to Service the Debt - Argument</t>
  </si>
  <si>
    <t>EBITDA Interest Coverage  (incl. AFUDC ded.)</t>
  </si>
  <si>
    <t>FFO Interest Coverage Ratio</t>
  </si>
  <si>
    <t>Net Income incl. AFUDC deduction (as reported)</t>
  </si>
  <si>
    <t>This one is closest to the S&amp;P methodology</t>
  </si>
  <si>
    <t>Funds from Operations (FFO) - incl. AFUDC ded.</t>
  </si>
  <si>
    <t>FFO Interest Coverage (incl. AFUDC ded.)</t>
  </si>
  <si>
    <t>FFO to Adjusted Total Debt (3)</t>
  </si>
  <si>
    <t>Total Adjusted Debt</t>
  </si>
  <si>
    <t>FFO to Adjusted Total Debt - incl. AFUDC ded.</t>
  </si>
  <si>
    <t>Duration of Time to Paydown Debt Balance</t>
  </si>
  <si>
    <t>Common Equity (excl. OCI)</t>
  </si>
  <si>
    <t>Average</t>
  </si>
  <si>
    <t>Std. Dev.</t>
  </si>
  <si>
    <t>Coeff. Var.</t>
  </si>
  <si>
    <t>+ Depreciation and Amortization</t>
  </si>
  <si>
    <t>+ Deferred Income Taxes</t>
  </si>
  <si>
    <t>+ Special Income Tax Add-Back (2)</t>
  </si>
  <si>
    <t>Accum. other Comp. Inc. (Loss) / Other</t>
  </si>
  <si>
    <t>Footnote:   OCI (Loss) / Other Embedded in Equity</t>
  </si>
  <si>
    <t>New Jersey Resources, Corp.</t>
  </si>
  <si>
    <t>Northwest Natural Gas Co.</t>
  </si>
  <si>
    <t>Atmos Energy Corp.</t>
  </si>
  <si>
    <t>Southwest Gas Corp.</t>
  </si>
  <si>
    <t>South Jersey Industries, Inc.</t>
  </si>
  <si>
    <t>cash flow hedge</t>
  </si>
  <si>
    <t>accounting</t>
  </si>
  <si>
    <t>restatement</t>
  </si>
  <si>
    <t>New Jersey Resources Corp.</t>
  </si>
  <si>
    <t>5-Year</t>
  </si>
  <si>
    <t xml:space="preserve">Average of Gas </t>
  </si>
  <si>
    <t>LDC Proxy Group</t>
  </si>
  <si>
    <t>Capital Structure Ratios - Permanent Capitalization</t>
  </si>
  <si>
    <t>Total Debt (incl. CM and STD)</t>
  </si>
  <si>
    <t>Capital Structure Ratios - Total Capitalization</t>
  </si>
  <si>
    <t>EBITDA Interest Cov. (incl. AFUDC ded.)</t>
  </si>
  <si>
    <t>Permanent Capitalization Ratios</t>
  </si>
  <si>
    <t>Relative Size Comparison - Total Capital</t>
  </si>
  <si>
    <t xml:space="preserve">Standard Deviation and Coefficient of </t>
  </si>
  <si>
    <t>FFO to Adj. Debt (incl. AFUDC ded.)</t>
  </si>
  <si>
    <t>Total Permanent Capitalization</t>
  </si>
  <si>
    <t xml:space="preserve">Relative Size Comparison - Total Capital </t>
  </si>
  <si>
    <t>Financial Risk/Credit Quality Metrics</t>
  </si>
  <si>
    <t>Total Capitalization Ratios</t>
  </si>
  <si>
    <t>(2)   Excludes Other Comprehensive Income (Loss) component of Stockholders' Equity.</t>
  </si>
  <si>
    <t>FFO to Adjusted Total Debt (4)</t>
  </si>
  <si>
    <t>EBITDA Interest Coverage (3)</t>
  </si>
  <si>
    <t>Common Equity (2)</t>
  </si>
  <si>
    <t>Variation of Return on Book Equity</t>
  </si>
  <si>
    <t>Percentage</t>
  </si>
  <si>
    <t>Dollars</t>
  </si>
  <si>
    <t>Market Values (Fair Value)</t>
  </si>
  <si>
    <t>$ in thousands</t>
  </si>
  <si>
    <t>Common Shares</t>
  </si>
  <si>
    <t>Outstanding at</t>
  </si>
  <si>
    <t>Carrying Values (Book Value)</t>
  </si>
  <si>
    <t>Long-Term Debt (1)</t>
  </si>
  <si>
    <t>[Source is 10-K]</t>
  </si>
  <si>
    <t>Fiscal Y/E</t>
  </si>
  <si>
    <t>Business &amp; Hybrid Risk Metrics</t>
  </si>
  <si>
    <t>Business &amp; Other Hybrid Metrics</t>
  </si>
  <si>
    <t>Data from fiscal year ended or calendar year ended, whichever applies.</t>
  </si>
  <si>
    <t xml:space="preserve">Size/risk argument </t>
  </si>
  <si>
    <t>Return on Average Book Equity incl. AFUDC</t>
  </si>
  <si>
    <t>Standard Dev. and Coeff. Of Variation of Book Return on Equity (4) - Proxy for Beta per Morin (2006) and Pogue (1979)</t>
  </si>
  <si>
    <t>2006 adjusted for</t>
  </si>
  <si>
    <t>Standard Dev. and Coeff. Of Variation of Book Return on Equity (4) - Proxy for Beta per Morin (2006) and Pogue (1979).</t>
  </si>
  <si>
    <t>Return on Avg. Book Equity (2)(incl. AFUDC)</t>
  </si>
  <si>
    <t>Gas LDC Proxy Group Average</t>
  </si>
  <si>
    <t>Gas LDC Group Averages</t>
  </si>
  <si>
    <t>(1)   Excludes Other Comprehensive Income (Loss) component of Stockholders' Equity.</t>
  </si>
  <si>
    <t xml:space="preserve">       Abbreviations:   "CM" denotes Current Maturities of Debt; "STD" denotes Short-Term Debt.</t>
  </si>
  <si>
    <t>Common Equity</t>
  </si>
  <si>
    <t>Total Stockholders' Equity (excl. OCI)</t>
  </si>
  <si>
    <t>Return on Avg. Book Equity, incl. AFUDC (2)</t>
  </si>
  <si>
    <t>Gas LDC Group</t>
  </si>
  <si>
    <t>Capital Structure Ratios - Book vs. Market Capitalization Ratios for Leverage Calculations</t>
  </si>
  <si>
    <t>Fiscal Year ended September 30,</t>
  </si>
  <si>
    <t>Year Ended September 30,</t>
  </si>
  <si>
    <t xml:space="preserve">Fiscal Year Ended September 30, </t>
  </si>
  <si>
    <t>Fiscal Year Ended December 31,</t>
  </si>
  <si>
    <t>Year Ended December 31,</t>
  </si>
  <si>
    <t>only AFUDC</t>
  </si>
  <si>
    <t>(2)   Includes common stock account and retained earnings account; excludes other comprehensive income (loss) and shares in a deferred compensation trust.</t>
  </si>
  <si>
    <t>`</t>
  </si>
  <si>
    <t>Data expressed in thousands of U.S. Dollars for all Proxy Group companies and subject utility</t>
  </si>
  <si>
    <t xml:space="preserve">Post-Retirement Obligations </t>
  </si>
  <si>
    <t>Post-Retirement Obligations</t>
  </si>
  <si>
    <t>Witness:  Rea</t>
  </si>
  <si>
    <t>Page 3 of 4</t>
  </si>
  <si>
    <t>Page 4 of 4</t>
  </si>
  <si>
    <t>[Source is 10-K and Yahoo Finance]</t>
  </si>
  <si>
    <t xml:space="preserve">Return on Average Book Equity incl. AFUDC </t>
  </si>
  <si>
    <t xml:space="preserve">       Total Debt (total debt, incl. current maturities and short-term debt, plus post-retirement obligations recognized within the balance sheet).</t>
  </si>
  <si>
    <t>Return on Average Book Common Equity incl. AFUDC</t>
  </si>
  <si>
    <t>Page 1 of 4</t>
  </si>
  <si>
    <t>(3)   Earnings before interest, taxes, depreciation and amortization, divided by interest expense (including capitalized AFUDC interest).</t>
  </si>
  <si>
    <t>(4)   Funds from Operations (net income, including AFUDC, plus depreciation, amortization and deferred income taxes) divided by Adjusted</t>
  </si>
  <si>
    <t>Page 2 of 4</t>
  </si>
  <si>
    <t>Spire, Inc.</t>
  </si>
  <si>
    <t>Page 1 of 1</t>
  </si>
  <si>
    <t>This facilitates an equal weighting to each of the proxy group companies.</t>
  </si>
  <si>
    <t>Interest, net of AFUDC deduction (as reported)</t>
  </si>
  <si>
    <t>2016</t>
  </si>
  <si>
    <t>+ Deferred Income Taxes (4)</t>
  </si>
  <si>
    <t>Net Income incl. AFUDC deduction (as reported)(5)</t>
  </si>
  <si>
    <t>Net Income incl. AFUDC deduction (as reported) (7)</t>
  </si>
  <si>
    <t>Operating Income (Operating Earnings) (7)</t>
  </si>
  <si>
    <t>Net Income incl. AFUDC deduction (as reported)(3)</t>
  </si>
  <si>
    <t xml:space="preserve">FFO to Adjusted Total Debt </t>
  </si>
  <si>
    <t>ONE Gas Inc.</t>
  </si>
  <si>
    <t>For the Year Ended December 31,</t>
  </si>
  <si>
    <t xml:space="preserve">All financial ratios calculated for the Gas LDC Group are based on the simple average of the individual financial ratio results for the (7) proxy group companies. </t>
  </si>
  <si>
    <t>Coff. Var.</t>
  </si>
  <si>
    <t>ONE Gas, Inc.</t>
  </si>
  <si>
    <t>+ Special Income Tax Add-Back</t>
  </si>
  <si>
    <t>Net Income incl. AFUDC deduction (as reported)(1)</t>
  </si>
  <si>
    <t>FFO to Adjusted Total Debt</t>
  </si>
  <si>
    <t>Standard Dev. and Coeff. Of Variation of Book Return on Equity - Proxy for Beta per Morin (2006) and Pogue (1979).</t>
  </si>
  <si>
    <t>Operating Income (Operating Earnings)(1)</t>
  </si>
  <si>
    <t>Net Income incl. AFUDC deduction (1)</t>
  </si>
  <si>
    <t>Gas LDC Group - 12/31/2020 or Fiscal Year End</t>
  </si>
  <si>
    <t>@ 9/30/2020</t>
  </si>
  <si>
    <t>@ 12/31/2020</t>
  </si>
  <si>
    <t>Comparative Risk Assessment (1) - 2016-2020 and 5-Year Averages</t>
  </si>
  <si>
    <t>Gas LDC Group - 2016-2020 and 5-Year Average</t>
  </si>
  <si>
    <t>Source:   10-K filings of the proxy group companies.</t>
  </si>
  <si>
    <t>(1)   All comparative risk metrics for the Gas LDC Group represent the arithmetic average of the calculated results for each of the individual companies within the Group.</t>
  </si>
  <si>
    <t>EBITDA Interest Cov. (incl. AFUDC deduction)</t>
  </si>
  <si>
    <t>FFO to Adj. Debt (incl. AFUDC deduction)</t>
  </si>
  <si>
    <t>(3)   Earnings before interest, taxes, depreciation and amortization, divided by interest expense.</t>
  </si>
  <si>
    <t>(4)   Funds from Operations (net income, plus depreciation, amortization and deferred income taxes) divided by Adjusted Total Debt (total debt, including current</t>
  </si>
  <si>
    <t xml:space="preserve">       maturities and short-term debt, plus post-retirement obligations recognized within the balance sheet).</t>
  </si>
  <si>
    <t>(2)   Excludes the Other Comprehensive Income (Loss) component of Stockholders' Equity.</t>
  </si>
  <si>
    <t xml:space="preserve">        total debt (including short-term debt and current maturities), the difference between fair value and carrying value was fully applied to the long-term debt balance.</t>
  </si>
  <si>
    <t>(1)   Long-term debt balances exclude the current portion of long-term debt and short-term debt.   In cases where a company's SEC debt disclosure for fair value vs. carrying value only discloses</t>
  </si>
  <si>
    <t>Columbia Gas of Kentucky, Inc.</t>
  </si>
  <si>
    <t>Investment in Associated Companies</t>
  </si>
  <si>
    <t xml:space="preserve">+ Depreciation and Amortization </t>
  </si>
  <si>
    <t>+ Special Income Tax Add-Back (3)</t>
  </si>
  <si>
    <t>+ Net Impact of One Time Write-Off</t>
  </si>
  <si>
    <t>Net Income incl. AFUDC deduction</t>
  </si>
  <si>
    <t>Net Income (incl. AFUDC deduct)</t>
  </si>
  <si>
    <t xml:space="preserve">+ Loss (Gain) on Sale of Discontinued Assets </t>
  </si>
  <si>
    <t>Net Income to Common (incl. AFUDC deduct)</t>
  </si>
  <si>
    <t xml:space="preserve">Columbia Gas of Kentucky, Inc. </t>
  </si>
  <si>
    <t>Source:   Columbia Gas of Kentucky 2016-2020 Annual Report to the Kentucky PSC and Company-provided financial statements.</t>
  </si>
  <si>
    <t>Comparative Risk Analysis - Columbia Gas of Kentucky</t>
  </si>
  <si>
    <t>(1)   Columbia Gas of Kentucky standalone risk metrics.</t>
  </si>
  <si>
    <t>Short-Term Debt- Money Pool Balances (1)</t>
  </si>
  <si>
    <t>Attachment VVR-3</t>
  </si>
  <si>
    <t>Attachment VVR-10</t>
  </si>
  <si>
    <t>Stock Price</t>
  </si>
  <si>
    <t>Recent 40-Day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</si>
</sst>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* #,##0.000_);_(* \(#,##0.000\);_(* &quot;-&quot;??_);_(@_)"/>
    <numFmt numFmtId="167" formatCode="_(&quot;$&quot;* #,##0_);_(&quot;$&quot;* \(#,##0\);_(&quot;$&quot;* &quot;-&quot;??_);_(@_)"/>
    <numFmt numFmtId="168" formatCode="_(* #,##0.0_);_(* \(#,##0.0\);_(* &quot;-&quot;??_);_(@_)"/>
  </numFmts>
  <fonts count="3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sto MT"/>
      <family val="1"/>
    </font>
    <font>
      <sz val="11"/>
      <color indexed="8"/>
      <name val="Calisto MT"/>
      <family val="1"/>
    </font>
    <font>
      <b/>
      <u/>
      <sz val="11"/>
      <color indexed="8"/>
      <name val="Calisto MT"/>
      <family val="1"/>
    </font>
    <font>
      <b/>
      <sz val="12"/>
      <color indexed="8"/>
      <name val="Calisto MT"/>
      <family val="1"/>
    </font>
    <font>
      <b/>
      <sz val="13"/>
      <color indexed="8"/>
      <name val="Calisto MT"/>
      <family val="1"/>
    </font>
    <font>
      <sz val="9"/>
      <color indexed="8"/>
      <name val="Calisto MT"/>
      <family val="1"/>
    </font>
    <font>
      <b/>
      <sz val="8"/>
      <color indexed="8"/>
      <name val="Calisto MT"/>
      <family val="1"/>
    </font>
    <font>
      <b/>
      <u/>
      <sz val="11"/>
      <color indexed="8"/>
      <name val="Calibri"/>
      <family val="2"/>
    </font>
    <font>
      <b/>
      <sz val="12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sto MT"/>
      <family val="1"/>
    </font>
    <font>
      <b/>
      <i/>
      <sz val="11"/>
      <color indexed="8"/>
      <name val="Calibri"/>
      <family val="2"/>
    </font>
    <font>
      <i/>
      <sz val="8"/>
      <color indexed="8"/>
      <name val="Calibri"/>
      <family val="2"/>
    </font>
    <font>
      <b/>
      <i/>
      <sz val="10"/>
      <color indexed="8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i/>
      <sz val="11"/>
      <color indexed="8"/>
      <name val="Calibri"/>
      <family val="2"/>
    </font>
    <font>
      <b/>
      <i/>
      <sz val="9"/>
      <color indexed="8"/>
      <name val="Calibri"/>
      <family val="2"/>
    </font>
    <font>
      <sz val="8"/>
      <name val="Calibri"/>
      <family val="2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12"/>
      <color indexed="8"/>
      <name val="Calisto MT"/>
      <family val="1"/>
    </font>
    <font>
      <sz val="11"/>
      <color theme="1"/>
      <name val="Calisto MT"/>
      <family val="1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</font>
    <font>
      <sz val="8"/>
      <color theme="1"/>
      <name val="Calibri"/>
      <family val="2"/>
      <scheme val="minor"/>
    </font>
    <font>
      <b/>
      <sz val="10"/>
      <color indexed="8"/>
      <name val="Calisto MT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94">
    <xf numFmtId="0" fontId="0" fillId="0" borderId="0" xfId="0"/>
    <xf numFmtId="0" fontId="0" fillId="0" borderId="0" xfId="0" applyFill="1" applyBorder="1"/>
    <xf numFmtId="0" fontId="0" fillId="0" borderId="1" xfId="0" applyFill="1" applyBorder="1"/>
    <xf numFmtId="165" fontId="0" fillId="0" borderId="0" xfId="3" applyNumberFormat="1" applyFont="1" applyFill="1" applyBorder="1"/>
    <xf numFmtId="165" fontId="0" fillId="0" borderId="10" xfId="3" applyNumberFormat="1" applyFont="1" applyFill="1" applyBorder="1"/>
    <xf numFmtId="0" fontId="5" fillId="0" borderId="0" xfId="0" applyFont="1" applyFill="1" applyBorder="1"/>
    <xf numFmtId="0" fontId="5" fillId="0" borderId="1" xfId="0" applyFont="1" applyFill="1" applyBorder="1"/>
    <xf numFmtId="0" fontId="9" fillId="0" borderId="0" xfId="0" quotePrefix="1" applyFont="1" applyFill="1" applyBorder="1"/>
    <xf numFmtId="0" fontId="0" fillId="0" borderId="10" xfId="0" applyFill="1" applyBorder="1"/>
    <xf numFmtId="164" fontId="0" fillId="0" borderId="0" xfId="1" applyNumberFormat="1" applyFont="1" applyFill="1" applyBorder="1"/>
    <xf numFmtId="164" fontId="0" fillId="0" borderId="0" xfId="1" applyNumberFormat="1" applyFont="1" applyFill="1"/>
    <xf numFmtId="0" fontId="0" fillId="0" borderId="0" xfId="0" applyFill="1"/>
    <xf numFmtId="165" fontId="0" fillId="0" borderId="1" xfId="3" applyNumberFormat="1" applyFont="1" applyFill="1" applyBorder="1"/>
    <xf numFmtId="0" fontId="28" fillId="0" borderId="0" xfId="0" applyFont="1" applyFill="1"/>
    <xf numFmtId="0" fontId="5" fillId="0" borderId="0" xfId="0" applyFont="1" applyFill="1"/>
    <xf numFmtId="0" fontId="4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5" fillId="0" borderId="10" xfId="0" applyFont="1" applyFill="1" applyBorder="1"/>
    <xf numFmtId="165" fontId="5" fillId="0" borderId="0" xfId="3" applyNumberFormat="1" applyFont="1" applyFill="1" applyBorder="1"/>
    <xf numFmtId="164" fontId="5" fillId="0" borderId="0" xfId="1" applyNumberFormat="1" applyFont="1" applyFill="1" applyBorder="1"/>
    <xf numFmtId="165" fontId="5" fillId="0" borderId="0" xfId="0" applyNumberFormat="1" applyFont="1" applyFill="1" applyBorder="1"/>
    <xf numFmtId="0" fontId="5" fillId="0" borderId="0" xfId="0" applyFont="1" applyFill="1" applyBorder="1" applyAlignment="1">
      <alignment horizontal="center"/>
    </xf>
    <xf numFmtId="167" fontId="5" fillId="0" borderId="0" xfId="2" applyNumberFormat="1" applyFont="1" applyFill="1" applyBorder="1"/>
    <xf numFmtId="168" fontId="5" fillId="0" borderId="0" xfId="1" applyNumberFormat="1" applyFont="1" applyFill="1" applyBorder="1"/>
    <xf numFmtId="44" fontId="5" fillId="0" borderId="0" xfId="2" applyFont="1" applyFill="1" applyBorder="1"/>
    <xf numFmtId="0" fontId="9" fillId="0" borderId="0" xfId="0" quotePrefix="1" applyFont="1" applyFill="1"/>
    <xf numFmtId="44" fontId="0" fillId="0" borderId="0" xfId="2" applyFont="1" applyFill="1"/>
    <xf numFmtId="165" fontId="0" fillId="0" borderId="0" xfId="0" applyNumberFormat="1" applyFill="1"/>
    <xf numFmtId="0" fontId="13" fillId="0" borderId="0" xfId="0" quotePrefix="1" applyFont="1" applyFill="1" applyBorder="1"/>
    <xf numFmtId="0" fontId="3" fillId="0" borderId="0" xfId="0" applyFont="1" applyFill="1" applyBorder="1"/>
    <xf numFmtId="165" fontId="0" fillId="0" borderId="0" xfId="0" applyNumberFormat="1" applyFill="1" applyBorder="1"/>
    <xf numFmtId="166" fontId="0" fillId="0" borderId="0" xfId="1" applyNumberFormat="1" applyFont="1" applyFill="1" applyBorder="1"/>
    <xf numFmtId="0" fontId="13" fillId="0" borderId="0" xfId="0" applyFont="1" applyFill="1" applyBorder="1"/>
    <xf numFmtId="165" fontId="0" fillId="0" borderId="1" xfId="0" applyNumberFormat="1" applyFill="1" applyBorder="1"/>
    <xf numFmtId="43" fontId="0" fillId="0" borderId="1" xfId="1" applyFont="1" applyFill="1" applyBorder="1"/>
    <xf numFmtId="0" fontId="4" fillId="0" borderId="0" xfId="0" applyFont="1" applyFill="1"/>
    <xf numFmtId="0" fontId="0" fillId="0" borderId="0" xfId="0" applyFill="1" applyBorder="1" applyAlignment="1">
      <alignment horizontal="center"/>
    </xf>
    <xf numFmtId="164" fontId="2" fillId="0" borderId="0" xfId="1" applyNumberFormat="1" applyFont="1" applyFill="1"/>
    <xf numFmtId="164" fontId="2" fillId="0" borderId="0" xfId="1" applyNumberFormat="1" applyFont="1" applyFill="1" applyAlignment="1"/>
    <xf numFmtId="0" fontId="2" fillId="0" borderId="10" xfId="0" applyFont="1" applyFill="1" applyBorder="1" applyAlignment="1">
      <alignment horizontal="center"/>
    </xf>
    <xf numFmtId="164" fontId="0" fillId="0" borderId="1" xfId="0" applyNumberFormat="1" applyFill="1" applyBorder="1"/>
    <xf numFmtId="0" fontId="2" fillId="0" borderId="10" xfId="1" applyNumberFormat="1" applyFont="1" applyFill="1" applyBorder="1" applyAlignment="1">
      <alignment horizontal="center"/>
    </xf>
    <xf numFmtId="0" fontId="2" fillId="0" borderId="3" xfId="0" applyFont="1" applyFill="1" applyBorder="1"/>
    <xf numFmtId="165" fontId="0" fillId="0" borderId="0" xfId="3" applyNumberFormat="1" applyFont="1" applyFill="1"/>
    <xf numFmtId="0" fontId="3" fillId="0" borderId="0" xfId="0" applyFont="1" applyFill="1"/>
    <xf numFmtId="0" fontId="2" fillId="0" borderId="10" xfId="1" applyNumberFormat="1" applyFont="1" applyFill="1" applyBorder="1"/>
    <xf numFmtId="0" fontId="2" fillId="0" borderId="0" xfId="0" applyFont="1" applyFill="1" applyBorder="1"/>
    <xf numFmtId="0" fontId="2" fillId="0" borderId="0" xfId="0" applyFont="1" applyFill="1"/>
    <xf numFmtId="0" fontId="2" fillId="0" borderId="1" xfId="0" applyFont="1" applyFill="1" applyBorder="1"/>
    <xf numFmtId="0" fontId="0" fillId="0" borderId="0" xfId="0" quotePrefix="1" applyFill="1"/>
    <xf numFmtId="0" fontId="9" fillId="0" borderId="0" xfId="0" applyFont="1" applyFill="1" applyBorder="1"/>
    <xf numFmtId="0" fontId="29" fillId="0" borderId="0" xfId="0" applyFont="1" applyFill="1"/>
    <xf numFmtId="2" fontId="0" fillId="0" borderId="0" xfId="0" applyNumberFormat="1" applyFill="1" applyAlignment="1">
      <alignment horizontal="center"/>
    </xf>
    <xf numFmtId="164" fontId="0" fillId="0" borderId="1" xfId="1" applyNumberFormat="1" applyFont="1" applyFill="1" applyBorder="1"/>
    <xf numFmtId="0" fontId="24" fillId="0" borderId="10" xfId="0" applyFont="1" applyFill="1" applyBorder="1" applyAlignment="1">
      <alignment horizontal="center"/>
    </xf>
    <xf numFmtId="0" fontId="24" fillId="0" borderId="10" xfId="1" applyNumberFormat="1" applyFont="1" applyFill="1" applyBorder="1" applyAlignment="1">
      <alignment horizontal="center"/>
    </xf>
    <xf numFmtId="164" fontId="0" fillId="0" borderId="0" xfId="0" applyNumberFormat="1" applyFill="1"/>
    <xf numFmtId="164" fontId="2" fillId="0" borderId="1" xfId="1" applyNumberFormat="1" applyFont="1" applyFill="1" applyBorder="1"/>
    <xf numFmtId="43" fontId="0" fillId="0" borderId="0" xfId="1" applyFont="1" applyFill="1"/>
    <xf numFmtId="43" fontId="0" fillId="0" borderId="1" xfId="1" applyNumberFormat="1" applyFont="1" applyFill="1" applyBorder="1"/>
    <xf numFmtId="164" fontId="13" fillId="0" borderId="0" xfId="1" applyNumberFormat="1" applyFont="1" applyFill="1" applyAlignment="1">
      <alignment horizontal="left"/>
    </xf>
    <xf numFmtId="0" fontId="24" fillId="0" borderId="0" xfId="0" applyFont="1" applyFill="1" applyBorder="1" applyAlignment="1">
      <alignment horizontal="center"/>
    </xf>
    <xf numFmtId="0" fontId="8" fillId="0" borderId="0" xfId="0" applyFont="1" applyFill="1"/>
    <xf numFmtId="15" fontId="0" fillId="0" borderId="0" xfId="0" applyNumberFormat="1" applyFill="1"/>
    <xf numFmtId="0" fontId="7" fillId="0" borderId="10" xfId="0" applyFont="1" applyFill="1" applyBorder="1"/>
    <xf numFmtId="0" fontId="4" fillId="0" borderId="10" xfId="0" applyFont="1" applyFill="1" applyBorder="1"/>
    <xf numFmtId="0" fontId="29" fillId="0" borderId="0" xfId="0" applyFont="1" applyFill="1" applyBorder="1"/>
    <xf numFmtId="0" fontId="9" fillId="0" borderId="0" xfId="0" applyFont="1" applyFill="1"/>
    <xf numFmtId="0" fontId="5" fillId="0" borderId="0" xfId="0" quotePrefix="1" applyFont="1" applyFill="1"/>
    <xf numFmtId="164" fontId="4" fillId="0" borderId="10" xfId="1" quotePrefix="1" applyNumberFormat="1" applyFont="1" applyFill="1" applyBorder="1" applyAlignment="1">
      <alignment horizontal="center"/>
    </xf>
    <xf numFmtId="0" fontId="5" fillId="0" borderId="0" xfId="0" applyFont="1" applyFill="1" applyAlignment="1">
      <alignment horizontal="right"/>
    </xf>
    <xf numFmtId="164" fontId="4" fillId="0" borderId="10" xfId="0" applyNumberFormat="1" applyFont="1" applyFill="1" applyBorder="1" applyAlignment="1">
      <alignment horizontal="center"/>
    </xf>
    <xf numFmtId="0" fontId="12" fillId="0" borderId="0" xfId="0" applyFont="1" applyFill="1"/>
    <xf numFmtId="14" fontId="0" fillId="0" borderId="0" xfId="0" applyNumberFormat="1" applyFill="1"/>
    <xf numFmtId="164" fontId="3" fillId="0" borderId="0" xfId="1" quotePrefix="1" applyNumberFormat="1" applyFont="1" applyFill="1"/>
    <xf numFmtId="0" fontId="15" fillId="0" borderId="0" xfId="0" applyFont="1" applyFill="1" applyAlignment="1">
      <alignment horizontal="center"/>
    </xf>
    <xf numFmtId="164" fontId="1" fillId="0" borderId="0" xfId="1" applyNumberFormat="1" applyFont="1" applyFill="1"/>
    <xf numFmtId="164" fontId="21" fillId="0" borderId="0" xfId="1" applyNumberFormat="1" applyFont="1" applyFill="1" applyAlignment="1">
      <alignment horizontal="center"/>
    </xf>
    <xf numFmtId="0" fontId="15" fillId="0" borderId="0" xfId="0" applyFont="1" applyFill="1"/>
    <xf numFmtId="0" fontId="2" fillId="0" borderId="0" xfId="0" applyFont="1" applyFill="1" applyAlignment="1">
      <alignment horizontal="left"/>
    </xf>
    <xf numFmtId="164" fontId="15" fillId="0" borderId="0" xfId="1" applyNumberFormat="1" applyFont="1" applyFill="1"/>
    <xf numFmtId="1" fontId="24" fillId="0" borderId="10" xfId="1" applyNumberFormat="1" applyFont="1" applyFill="1" applyBorder="1" applyAlignment="1">
      <alignment horizontal="center"/>
    </xf>
    <xf numFmtId="0" fontId="24" fillId="0" borderId="0" xfId="0" applyFont="1" applyFill="1"/>
    <xf numFmtId="0" fontId="2" fillId="0" borderId="2" xfId="0" applyFont="1" applyFill="1" applyBorder="1"/>
    <xf numFmtId="164" fontId="2" fillId="0" borderId="10" xfId="1" applyNumberFormat="1" applyFont="1" applyFill="1" applyBorder="1" applyAlignment="1">
      <alignment horizontal="center"/>
    </xf>
    <xf numFmtId="164" fontId="24" fillId="0" borderId="10" xfId="1" applyNumberFormat="1" applyFont="1" applyFill="1" applyBorder="1" applyAlignment="1">
      <alignment horizontal="center"/>
    </xf>
    <xf numFmtId="164" fontId="13" fillId="0" borderId="0" xfId="1" applyNumberFormat="1" applyFont="1" applyFill="1"/>
    <xf numFmtId="0" fontId="13" fillId="0" borderId="0" xfId="0" applyFont="1" applyFill="1"/>
    <xf numFmtId="0" fontId="3" fillId="0" borderId="0" xfId="0" applyFont="1" applyFill="1" applyAlignment="1">
      <alignment horizontal="center"/>
    </xf>
    <xf numFmtId="0" fontId="20" fillId="0" borderId="0" xfId="0" applyFont="1" applyFill="1"/>
    <xf numFmtId="164" fontId="20" fillId="0" borderId="0" xfId="1" applyNumberFormat="1" applyFont="1" applyFill="1"/>
    <xf numFmtId="164" fontId="2" fillId="0" borderId="10" xfId="1" applyNumberFormat="1" applyFont="1" applyFill="1" applyBorder="1"/>
    <xf numFmtId="0" fontId="11" fillId="0" borderId="0" xfId="0" applyFont="1" applyFill="1" applyAlignment="1">
      <alignment horizontal="center"/>
    </xf>
    <xf numFmtId="0" fontId="17" fillId="0" borderId="0" xfId="0" applyFont="1" applyFill="1"/>
    <xf numFmtId="0" fontId="3" fillId="0" borderId="0" xfId="0" quotePrefix="1" applyFont="1" applyFill="1"/>
    <xf numFmtId="0" fontId="0" fillId="0" borderId="0" xfId="0" applyFont="1" applyFill="1"/>
    <xf numFmtId="0" fontId="22" fillId="0" borderId="0" xfId="0" applyFont="1" applyFill="1"/>
    <xf numFmtId="0" fontId="19" fillId="0" borderId="0" xfId="0" applyFont="1" applyFill="1"/>
    <xf numFmtId="0" fontId="26" fillId="0" borderId="0" xfId="0" applyFont="1" applyFill="1"/>
    <xf numFmtId="0" fontId="25" fillId="0" borderId="0" xfId="0" applyFont="1" applyFill="1"/>
    <xf numFmtId="0" fontId="18" fillId="0" borderId="0" xfId="0" applyFont="1" applyFill="1"/>
    <xf numFmtId="0" fontId="17" fillId="0" borderId="0" xfId="0" applyFont="1" applyFill="1" applyAlignment="1">
      <alignment horizontal="center"/>
    </xf>
    <xf numFmtId="0" fontId="16" fillId="0" borderId="0" xfId="0" applyFont="1" applyFill="1"/>
    <xf numFmtId="0" fontId="13" fillId="0" borderId="0" xfId="0" quotePrefix="1" applyFont="1" applyFill="1"/>
    <xf numFmtId="0" fontId="30" fillId="0" borderId="0" xfId="0" quotePrefix="1" applyFont="1" applyFill="1"/>
    <xf numFmtId="0" fontId="29" fillId="0" borderId="0" xfId="0" quotePrefix="1" applyFont="1" applyFill="1"/>
    <xf numFmtId="0" fontId="32" fillId="0" borderId="0" xfId="0" quotePrefix="1" applyFont="1" applyFill="1"/>
    <xf numFmtId="0" fontId="24" fillId="0" borderId="0" xfId="1" applyNumberFormat="1" applyFont="1" applyFill="1" applyBorder="1" applyAlignment="1">
      <alignment horizontal="center"/>
    </xf>
    <xf numFmtId="0" fontId="2" fillId="0" borderId="0" xfId="1" quotePrefix="1" applyNumberFormat="1" applyFont="1" applyFill="1" applyBorder="1" applyAlignment="1">
      <alignment horizontal="center"/>
    </xf>
    <xf numFmtId="165" fontId="5" fillId="0" borderId="1" xfId="0" applyNumberFormat="1" applyFont="1" applyFill="1" applyBorder="1"/>
    <xf numFmtId="0" fontId="4" fillId="0" borderId="10" xfId="0" applyFont="1" applyFill="1" applyBorder="1" applyAlignment="1">
      <alignment horizontal="center"/>
    </xf>
    <xf numFmtId="0" fontId="7" fillId="0" borderId="0" xfId="0" applyFont="1" applyFill="1" applyAlignment="1">
      <alignment horizontal="left"/>
    </xf>
    <xf numFmtId="0" fontId="33" fillId="0" borderId="0" xfId="0" applyFont="1" applyFill="1"/>
    <xf numFmtId="167" fontId="5" fillId="0" borderId="0" xfId="2" applyNumberFormat="1" applyFont="1" applyFill="1"/>
    <xf numFmtId="167" fontId="5" fillId="0" borderId="1" xfId="2" applyNumberFormat="1" applyFont="1" applyFill="1" applyBorder="1"/>
    <xf numFmtId="165" fontId="5" fillId="0" borderId="1" xfId="3" applyNumberFormat="1" applyFont="1" applyFill="1" applyBorder="1"/>
    <xf numFmtId="165" fontId="5" fillId="0" borderId="0" xfId="3" applyNumberFormat="1" applyFont="1" applyFill="1"/>
    <xf numFmtId="165" fontId="5" fillId="0" borderId="0" xfId="0" applyNumberFormat="1" applyFont="1" applyFill="1"/>
    <xf numFmtId="43" fontId="5" fillId="0" borderId="0" xfId="1" applyFont="1" applyFill="1"/>
    <xf numFmtId="43" fontId="5" fillId="0" borderId="1" xfId="1" applyFont="1" applyFill="1" applyBorder="1"/>
    <xf numFmtId="164" fontId="0" fillId="0" borderId="10" xfId="1" applyNumberFormat="1" applyFont="1" applyFill="1" applyBorder="1"/>
    <xf numFmtId="168" fontId="0" fillId="0" borderId="1" xfId="1" applyNumberFormat="1" applyFont="1" applyFill="1" applyBorder="1"/>
    <xf numFmtId="164" fontId="0" fillId="0" borderId="0" xfId="0" applyNumberFormat="1" applyFill="1" applyBorder="1"/>
    <xf numFmtId="0" fontId="9" fillId="0" borderId="1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43" fontId="0" fillId="0" borderId="0" xfId="1" applyFont="1" applyFill="1" applyBorder="1"/>
    <xf numFmtId="0" fontId="2" fillId="0" borderId="0" xfId="1" applyNumberFormat="1" applyFont="1" applyFill="1" applyBorder="1" applyAlignment="1">
      <alignment horizontal="center"/>
    </xf>
    <xf numFmtId="0" fontId="11" fillId="0" borderId="0" xfId="0" quotePrefix="1" applyFont="1" applyFill="1" applyBorder="1" applyAlignment="1">
      <alignment horizontal="center"/>
    </xf>
    <xf numFmtId="43" fontId="0" fillId="0" borderId="0" xfId="1" applyNumberFormat="1" applyFont="1" applyFill="1" applyBorder="1"/>
    <xf numFmtId="0" fontId="2" fillId="0" borderId="0" xfId="1" applyNumberFormat="1" applyFont="1" applyFill="1" applyBorder="1"/>
    <xf numFmtId="164" fontId="13" fillId="0" borderId="0" xfId="1" applyNumberFormat="1" applyFont="1" applyFill="1" applyBorder="1" applyAlignment="1">
      <alignment horizontal="left"/>
    </xf>
    <xf numFmtId="164" fontId="1" fillId="0" borderId="0" xfId="1" applyNumberFormat="1" applyFont="1" applyFill="1" applyAlignment="1">
      <alignment horizontal="left"/>
    </xf>
    <xf numFmtId="0" fontId="2" fillId="0" borderId="0" xfId="0" applyFont="1" applyFill="1" applyAlignment="1">
      <alignment horizontal="center"/>
    </xf>
    <xf numFmtId="164" fontId="2" fillId="0" borderId="0" xfId="1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0" fontId="24" fillId="0" borderId="0" xfId="0" applyFont="1" applyFill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10" fontId="4" fillId="0" borderId="9" xfId="0" applyNumberFormat="1" applyFont="1" applyFill="1" applyBorder="1"/>
    <xf numFmtId="10" fontId="4" fillId="0" borderId="10" xfId="3" applyNumberFormat="1" applyFont="1" applyFill="1" applyBorder="1"/>
    <xf numFmtId="166" fontId="4" fillId="0" borderId="11" xfId="1" applyNumberFormat="1" applyFont="1" applyFill="1" applyBorder="1"/>
    <xf numFmtId="164" fontId="5" fillId="0" borderId="1" xfId="1" applyNumberFormat="1" applyFont="1" applyFill="1" applyBorder="1"/>
    <xf numFmtId="164" fontId="5" fillId="0" borderId="0" xfId="0" applyNumberFormat="1" applyFont="1" applyFill="1" applyBorder="1"/>
    <xf numFmtId="10" fontId="4" fillId="0" borderId="10" xfId="0" applyNumberFormat="1" applyFont="1" applyFill="1" applyBorder="1"/>
    <xf numFmtId="14" fontId="5" fillId="0" borderId="0" xfId="0" applyNumberFormat="1" applyFont="1" applyFill="1" applyAlignment="1">
      <alignment horizontal="left"/>
    </xf>
    <xf numFmtId="0" fontId="4" fillId="0" borderId="0" xfId="0" quotePrefix="1" applyFont="1" applyFill="1" applyAlignment="1">
      <alignment horizontal="center"/>
    </xf>
    <xf numFmtId="0" fontId="4" fillId="0" borderId="10" xfId="0" quotePrefix="1" applyFont="1" applyFill="1" applyBorder="1" applyAlignment="1">
      <alignment horizontal="center"/>
    </xf>
    <xf numFmtId="0" fontId="6" fillId="0" borderId="0" xfId="0" applyFont="1" applyFill="1"/>
    <xf numFmtId="0" fontId="6" fillId="0" borderId="0" xfId="0" applyFont="1" applyFill="1" applyBorder="1"/>
    <xf numFmtId="0" fontId="33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7" fillId="0" borderId="0" xfId="0" applyFont="1" applyFill="1" applyAlignment="1">
      <alignment horizontal="center"/>
    </xf>
    <xf numFmtId="0" fontId="14" fillId="0" borderId="0" xfId="0" applyFont="1" applyFill="1"/>
    <xf numFmtId="0" fontId="4" fillId="0" borderId="0" xfId="0" applyFont="1" applyFill="1" applyBorder="1"/>
    <xf numFmtId="0" fontId="4" fillId="0" borderId="0" xfId="0" quotePrefix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4" fontId="5" fillId="0" borderId="0" xfId="1" applyNumberFormat="1" applyFont="1" applyFill="1"/>
    <xf numFmtId="0" fontId="5" fillId="0" borderId="0" xfId="0" quotePrefix="1" applyFont="1" applyFill="1" applyAlignment="1">
      <alignment horizontal="center"/>
    </xf>
    <xf numFmtId="43" fontId="5" fillId="0" borderId="0" xfId="1" applyFont="1" applyFill="1" applyBorder="1"/>
    <xf numFmtId="168" fontId="5" fillId="0" borderId="1" xfId="1" applyNumberFormat="1" applyFont="1" applyFill="1" applyBorder="1"/>
    <xf numFmtId="44" fontId="5" fillId="0" borderId="1" xfId="2" applyFont="1" applyFill="1" applyBorder="1"/>
    <xf numFmtId="0" fontId="30" fillId="0" borderId="0" xfId="0" applyFont="1" applyFill="1"/>
    <xf numFmtId="164" fontId="5" fillId="0" borderId="0" xfId="1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64" fontId="5" fillId="0" borderId="0" xfId="1" applyNumberFormat="1" applyFont="1" applyFill="1" applyBorder="1" applyAlignment="1">
      <alignment horizontal="center"/>
    </xf>
    <xf numFmtId="44" fontId="5" fillId="0" borderId="0" xfId="2" applyFont="1" applyFill="1" applyAlignment="1">
      <alignment horizontal="center"/>
    </xf>
    <xf numFmtId="44" fontId="5" fillId="0" borderId="0" xfId="2" applyFont="1" applyFill="1"/>
    <xf numFmtId="2" fontId="0" fillId="0" borderId="0" xfId="0" applyNumberFormat="1" applyFill="1"/>
    <xf numFmtId="0" fontId="31" fillId="0" borderId="0" xfId="0" applyFont="1" applyFill="1" applyAlignment="1">
      <alignment horizontal="center"/>
    </xf>
    <xf numFmtId="0" fontId="0" fillId="0" borderId="4" xfId="0" applyFill="1" applyBorder="1"/>
    <xf numFmtId="0" fontId="0" fillId="0" borderId="5" xfId="0" applyFill="1" applyBorder="1"/>
    <xf numFmtId="0" fontId="0" fillId="0" borderId="6" xfId="0" applyFill="1" applyBorder="1"/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/>
    <xf numFmtId="0" fontId="0" fillId="0" borderId="8" xfId="0" applyFill="1" applyBorder="1"/>
    <xf numFmtId="10" fontId="0" fillId="0" borderId="12" xfId="3" applyNumberFormat="1" applyFont="1" applyFill="1" applyBorder="1"/>
    <xf numFmtId="166" fontId="0" fillId="0" borderId="2" xfId="1" applyNumberFormat="1" applyFont="1" applyFill="1" applyBorder="1"/>
    <xf numFmtId="165" fontId="0" fillId="0" borderId="9" xfId="0" applyNumberFormat="1" applyFill="1" applyBorder="1"/>
    <xf numFmtId="166" fontId="0" fillId="0" borderId="11" xfId="1" applyNumberFormat="1" applyFont="1" applyFill="1" applyBorder="1"/>
    <xf numFmtId="10" fontId="0" fillId="0" borderId="10" xfId="3" applyNumberFormat="1" applyFont="1" applyFill="1" applyBorder="1"/>
    <xf numFmtId="14" fontId="0" fillId="0" borderId="0" xfId="0" applyNumberFormat="1" applyFill="1" applyAlignment="1">
      <alignment horizontal="center"/>
    </xf>
    <xf numFmtId="10" fontId="0" fillId="0" borderId="9" xfId="0" applyNumberFormat="1" applyFill="1" applyBorder="1"/>
    <xf numFmtId="43" fontId="0" fillId="0" borderId="10" xfId="1" applyFont="1" applyFill="1" applyBorder="1"/>
    <xf numFmtId="0" fontId="4" fillId="0" borderId="10" xfId="0" applyFont="1" applyFill="1" applyBorder="1" applyAlignment="1">
      <alignment horizontal="center"/>
    </xf>
    <xf numFmtId="0" fontId="7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164" fontId="2" fillId="0" borderId="0" xfId="1" applyNumberFormat="1" applyFont="1" applyFill="1" applyBorder="1" applyAlignment="1">
      <alignment horizontal="center"/>
    </xf>
    <xf numFmtId="0" fontId="24" fillId="0" borderId="0" xfId="0" applyFont="1" applyFill="1" applyAlignment="1">
      <alignment horizontal="center"/>
    </xf>
    <xf numFmtId="164" fontId="2" fillId="0" borderId="0" xfId="1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</cellXfs>
  <cellStyles count="5">
    <cellStyle name="Comma" xfId="1" builtinId="3"/>
    <cellStyle name="Comma 2" xfId="4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2"/>
  <sheetViews>
    <sheetView workbookViewId="0">
      <selection activeCell="K15" sqref="K15"/>
    </sheetView>
  </sheetViews>
  <sheetFormatPr defaultColWidth="9.140625" defaultRowHeight="15" x14ac:dyDescent="0.25"/>
  <cols>
    <col min="1" max="1" width="48" style="11" customWidth="1"/>
    <col min="2" max="2" width="0.7109375" style="11" customWidth="1"/>
    <col min="3" max="3" width="11.42578125" style="11" customWidth="1"/>
    <col min="4" max="4" width="10.85546875" style="11" bestFit="1" customWidth="1"/>
    <col min="5" max="5" width="10.5703125" style="11" customWidth="1"/>
    <col min="6" max="6" width="10.85546875" style="11" bestFit="1" customWidth="1"/>
    <col min="7" max="7" width="10.7109375" style="11" customWidth="1"/>
    <col min="8" max="8" width="11.85546875" style="11" customWidth="1"/>
    <col min="9" max="16384" width="9.140625" style="11"/>
  </cols>
  <sheetData>
    <row r="1" spans="1:10" ht="16.5" x14ac:dyDescent="0.25">
      <c r="A1" s="62" t="s">
        <v>172</v>
      </c>
      <c r="B1" s="14"/>
      <c r="C1" s="14"/>
      <c r="E1" s="63"/>
      <c r="H1" s="14" t="s">
        <v>177</v>
      </c>
      <c r="I1" s="14"/>
      <c r="J1" s="14"/>
    </row>
    <row r="2" spans="1:10" ht="16.5" x14ac:dyDescent="0.25">
      <c r="A2" s="62" t="s">
        <v>151</v>
      </c>
      <c r="B2" s="14"/>
      <c r="C2" s="14"/>
      <c r="D2" s="14"/>
      <c r="E2" s="14"/>
      <c r="F2" s="14"/>
      <c r="G2" s="14"/>
      <c r="H2" s="14" t="s">
        <v>122</v>
      </c>
      <c r="I2" s="14"/>
      <c r="J2" s="14"/>
    </row>
    <row r="3" spans="1:10" ht="16.5" x14ac:dyDescent="0.25">
      <c r="A3" s="62"/>
      <c r="B3" s="14"/>
      <c r="C3" s="14"/>
      <c r="D3" s="14"/>
      <c r="E3" s="14"/>
      <c r="F3" s="14"/>
      <c r="G3" s="14"/>
      <c r="H3" s="14"/>
      <c r="I3" s="14"/>
      <c r="J3" s="14"/>
    </row>
    <row r="4" spans="1:10" x14ac:dyDescent="0.25">
      <c r="A4" s="112"/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B5" s="14"/>
      <c r="C5" s="14"/>
      <c r="D5" s="14"/>
      <c r="E5" s="14"/>
      <c r="F5" s="14"/>
      <c r="G5" s="14"/>
      <c r="H5" s="14"/>
      <c r="I5" s="14"/>
      <c r="J5" s="14"/>
    </row>
    <row r="6" spans="1:10" x14ac:dyDescent="0.25">
      <c r="B6" s="14"/>
      <c r="C6" s="14"/>
      <c r="D6" s="14"/>
      <c r="E6" s="14"/>
      <c r="F6" s="14"/>
      <c r="G6" s="14"/>
      <c r="H6" s="15" t="s">
        <v>56</v>
      </c>
      <c r="I6" s="14"/>
      <c r="J6" s="14"/>
    </row>
    <row r="7" spans="1:10" ht="15.75" x14ac:dyDescent="0.25">
      <c r="A7" s="64" t="s">
        <v>87</v>
      </c>
      <c r="B7" s="17"/>
      <c r="C7" s="110">
        <v>2020</v>
      </c>
      <c r="D7" s="110">
        <v>2019</v>
      </c>
      <c r="E7" s="110">
        <v>2018</v>
      </c>
      <c r="F7" s="110">
        <v>2017</v>
      </c>
      <c r="G7" s="69" t="s">
        <v>130</v>
      </c>
      <c r="H7" s="110" t="s">
        <v>39</v>
      </c>
      <c r="I7" s="14"/>
      <c r="J7" s="14"/>
    </row>
    <row r="8" spans="1:10" x14ac:dyDescent="0.25">
      <c r="A8" s="35"/>
      <c r="B8" s="14"/>
      <c r="C8" s="14"/>
      <c r="D8" s="14"/>
      <c r="E8" s="14"/>
      <c r="F8" s="14"/>
      <c r="G8" s="14"/>
      <c r="H8" s="14"/>
      <c r="I8" s="14"/>
      <c r="J8" s="14"/>
    </row>
    <row r="9" spans="1:10" x14ac:dyDescent="0.25">
      <c r="A9" s="65" t="s">
        <v>64</v>
      </c>
      <c r="B9" s="17"/>
      <c r="C9" s="17"/>
      <c r="D9" s="17"/>
      <c r="E9" s="17"/>
      <c r="F9" s="17"/>
      <c r="G9" s="17"/>
      <c r="H9" s="123"/>
      <c r="I9" s="14"/>
      <c r="J9" s="14"/>
    </row>
    <row r="10" spans="1:10" x14ac:dyDescent="0.25">
      <c r="A10" s="5" t="s">
        <v>12</v>
      </c>
      <c r="B10" s="5"/>
      <c r="C10" s="22">
        <f>'Not an Attach.-Proxy Co. Detail'!EP32</f>
        <v>340637.92499999999</v>
      </c>
      <c r="D10" s="22">
        <f>'Not an Attach.-Proxy Co. Detail'!EQ32</f>
        <v>311059.92599999998</v>
      </c>
      <c r="E10" s="22">
        <f>'Not an Attach.-Proxy Co. Detail'!ER32</f>
        <v>280707.92599999998</v>
      </c>
      <c r="F10" s="22">
        <f>'Not an Attach.-Proxy Co. Detail'!ES32</f>
        <v>247360.818</v>
      </c>
      <c r="G10" s="22">
        <f>'Not an Attach.-Proxy Co. Detail'!ET32</f>
        <v>234679.57500000001</v>
      </c>
      <c r="H10" s="113">
        <f>AVERAGE(C10:G10)</f>
        <v>282889.234</v>
      </c>
      <c r="I10" s="70"/>
      <c r="J10" s="14"/>
    </row>
    <row r="11" spans="1:10" x14ac:dyDescent="0.25">
      <c r="A11" s="5" t="s">
        <v>15</v>
      </c>
      <c r="B11" s="14"/>
      <c r="C11" s="19">
        <f>'Not an Attach.-Proxy Co. Detail'!EP33</f>
        <v>34267.800000000003</v>
      </c>
      <c r="D11" s="19">
        <f>'Not an Attach.-Proxy Co. Detail'!EQ33</f>
        <v>21859.5</v>
      </c>
      <c r="E11" s="19">
        <f>'Not an Attach.-Proxy Co. Detail'!ER33</f>
        <v>7374.8</v>
      </c>
      <c r="F11" s="19">
        <f>'Not an Attach.-Proxy Co. Detail'!ES33</f>
        <v>27825.7</v>
      </c>
      <c r="G11" s="19">
        <f>'Not an Attach.-Proxy Co. Detail'!ET33</f>
        <v>7014.2</v>
      </c>
      <c r="H11" s="113">
        <f>AVERAGE(C11:G11)</f>
        <v>19668.400000000001</v>
      </c>
      <c r="I11" s="70"/>
      <c r="J11" s="14"/>
    </row>
    <row r="12" spans="1:10" x14ac:dyDescent="0.25">
      <c r="A12" s="6" t="s">
        <v>13</v>
      </c>
      <c r="B12" s="6"/>
      <c r="C12" s="114">
        <f t="shared" ref="C12" si="0">C10+C11</f>
        <v>374905.72499999998</v>
      </c>
      <c r="D12" s="114">
        <f t="shared" ref="D12:H12" si="1">D10+D11</f>
        <v>332919.42599999998</v>
      </c>
      <c r="E12" s="114">
        <f t="shared" si="1"/>
        <v>288082.72599999997</v>
      </c>
      <c r="F12" s="114">
        <f t="shared" si="1"/>
        <v>275186.51799999998</v>
      </c>
      <c r="G12" s="114">
        <f t="shared" si="1"/>
        <v>241693.77500000002</v>
      </c>
      <c r="H12" s="114">
        <f t="shared" si="1"/>
        <v>302557.63400000002</v>
      </c>
      <c r="I12" s="70"/>
      <c r="J12" s="14"/>
    </row>
    <row r="13" spans="1:10" x14ac:dyDescent="0.25">
      <c r="A13" s="14"/>
      <c r="B13" s="14"/>
      <c r="C13" s="14"/>
      <c r="D13" s="14"/>
      <c r="E13" s="14"/>
      <c r="F13" s="14"/>
      <c r="G13" s="14"/>
      <c r="H13" s="14"/>
      <c r="I13" s="14"/>
      <c r="J13" s="14"/>
    </row>
    <row r="14" spans="1:10" x14ac:dyDescent="0.25">
      <c r="A14" s="14"/>
      <c r="B14" s="14"/>
      <c r="C14" s="14"/>
      <c r="D14" s="14"/>
      <c r="E14" s="14"/>
      <c r="F14" s="14"/>
      <c r="G14" s="14"/>
      <c r="H14" s="14"/>
      <c r="I14" s="14"/>
      <c r="J14" s="14"/>
    </row>
    <row r="15" spans="1:10" x14ac:dyDescent="0.25">
      <c r="A15" s="14"/>
      <c r="B15" s="14"/>
      <c r="C15" s="14"/>
      <c r="D15" s="14"/>
      <c r="E15" s="14"/>
      <c r="F15" s="14"/>
      <c r="G15" s="14"/>
      <c r="H15" s="14"/>
      <c r="I15" s="14"/>
      <c r="J15" s="14"/>
    </row>
    <row r="16" spans="1:10" x14ac:dyDescent="0.25">
      <c r="A16" s="35" t="s">
        <v>65</v>
      </c>
      <c r="B16" s="14"/>
      <c r="C16" s="14"/>
      <c r="D16" s="14"/>
      <c r="E16" s="14"/>
      <c r="F16" s="14"/>
      <c r="G16" s="14"/>
      <c r="H16" s="14"/>
      <c r="I16" s="14"/>
      <c r="J16" s="14"/>
    </row>
    <row r="17" spans="1:10" x14ac:dyDescent="0.25">
      <c r="A17" s="35" t="s">
        <v>75</v>
      </c>
      <c r="B17" s="14"/>
      <c r="C17" s="14"/>
      <c r="D17" s="14"/>
      <c r="E17" s="14"/>
      <c r="F17" s="14"/>
      <c r="G17" s="14"/>
      <c r="H17" s="14"/>
      <c r="I17" s="14"/>
      <c r="J17" s="14"/>
    </row>
    <row r="18" spans="1:10" x14ac:dyDescent="0.25">
      <c r="A18" s="6" t="s">
        <v>101</v>
      </c>
      <c r="B18" s="6"/>
      <c r="C18" s="115">
        <f>'Not an Attach.-Proxy Co. Detail'!EP95</f>
        <v>6.5000000000000002E-2</v>
      </c>
      <c r="D18" s="115">
        <f>'Not an Attach.-Proxy Co. Detail'!EQ95</f>
        <v>9.5000000000000001E-2</v>
      </c>
      <c r="E18" s="115">
        <f>'Not an Attach.-Proxy Co. Detail'!ER95</f>
        <v>0.125</v>
      </c>
      <c r="F18" s="115">
        <f>'Not an Attach.-Proxy Co. Detail'!ES95</f>
        <v>0.1</v>
      </c>
      <c r="G18" s="115">
        <f>'Not an Attach.-Proxy Co. Detail'!ET95</f>
        <v>8.4000000000000005E-2</v>
      </c>
      <c r="H18" s="115">
        <f>ROUND(AVERAGE(C18:G18),3)</f>
        <v>9.4E-2</v>
      </c>
      <c r="I18" s="70"/>
      <c r="J18" s="14"/>
    </row>
    <row r="19" spans="1:10" x14ac:dyDescent="0.25">
      <c r="A19" s="5"/>
      <c r="B19" s="5"/>
      <c r="C19" s="5"/>
      <c r="D19" s="5"/>
      <c r="E19" s="5"/>
      <c r="F19" s="5"/>
      <c r="G19" s="5"/>
      <c r="H19" s="18"/>
      <c r="I19" s="14"/>
      <c r="J19" s="14"/>
    </row>
    <row r="20" spans="1:10" x14ac:dyDescent="0.25">
      <c r="A20" s="14"/>
      <c r="B20" s="14"/>
      <c r="C20" s="14"/>
      <c r="D20" s="14"/>
      <c r="E20" s="136" t="s">
        <v>39</v>
      </c>
      <c r="F20" s="137" t="s">
        <v>40</v>
      </c>
      <c r="G20" s="138" t="s">
        <v>140</v>
      </c>
      <c r="I20" s="14"/>
      <c r="J20" s="14"/>
    </row>
    <row r="21" spans="1:10" x14ac:dyDescent="0.25">
      <c r="A21" s="6" t="s">
        <v>101</v>
      </c>
      <c r="B21" s="6"/>
      <c r="C21" s="6"/>
      <c r="D21" s="6"/>
      <c r="E21" s="139">
        <f>AVERAGE(C18:G18)</f>
        <v>9.3800000000000008E-2</v>
      </c>
      <c r="F21" s="140">
        <f>STDEVP(C18:G18)</f>
        <v>1.9691622584236179E-2</v>
      </c>
      <c r="G21" s="141">
        <f>F21/E21</f>
        <v>0.20993201049292301</v>
      </c>
      <c r="I21" s="70"/>
      <c r="J21" s="14"/>
    </row>
    <row r="22" spans="1:10" x14ac:dyDescent="0.25">
      <c r="A22" s="14"/>
      <c r="B22" s="14"/>
      <c r="C22" s="14"/>
      <c r="D22" s="14"/>
      <c r="E22" s="14"/>
      <c r="F22" s="14"/>
      <c r="G22" s="14"/>
      <c r="H22" s="14"/>
      <c r="I22" s="14"/>
      <c r="J22" s="14"/>
    </row>
    <row r="23" spans="1:10" x14ac:dyDescent="0.25">
      <c r="A23" s="14"/>
      <c r="B23" s="14"/>
      <c r="C23" s="14"/>
      <c r="D23" s="14"/>
      <c r="E23" s="14"/>
      <c r="F23" s="14"/>
      <c r="G23" s="14"/>
      <c r="H23" s="14"/>
      <c r="I23" s="14"/>
      <c r="J23" s="14"/>
    </row>
    <row r="24" spans="1:10" x14ac:dyDescent="0.25">
      <c r="B24" s="14"/>
      <c r="C24" s="14"/>
      <c r="D24" s="14"/>
      <c r="E24" s="14"/>
      <c r="F24" s="14"/>
      <c r="G24" s="14"/>
      <c r="H24" s="15" t="s">
        <v>56</v>
      </c>
      <c r="I24" s="14"/>
      <c r="J24" s="14"/>
    </row>
    <row r="25" spans="1:10" ht="15.75" x14ac:dyDescent="0.25">
      <c r="A25" s="64" t="s">
        <v>69</v>
      </c>
      <c r="B25" s="17"/>
      <c r="C25" s="110">
        <v>2019</v>
      </c>
      <c r="D25" s="110">
        <v>2019</v>
      </c>
      <c r="E25" s="110">
        <v>2018</v>
      </c>
      <c r="F25" s="110">
        <v>2017</v>
      </c>
      <c r="G25" s="71" t="str">
        <f>G7</f>
        <v>2016</v>
      </c>
      <c r="H25" s="110" t="s">
        <v>39</v>
      </c>
      <c r="I25" s="14"/>
      <c r="J25" s="14"/>
    </row>
    <row r="26" spans="1:10" x14ac:dyDescent="0.25">
      <c r="A26" s="14"/>
      <c r="B26" s="14"/>
      <c r="C26" s="14"/>
      <c r="D26" s="14"/>
      <c r="E26" s="14"/>
      <c r="F26" s="14"/>
      <c r="G26" s="14"/>
      <c r="H26" s="14"/>
      <c r="I26" s="14"/>
      <c r="J26" s="14"/>
    </row>
    <row r="27" spans="1:10" x14ac:dyDescent="0.25">
      <c r="A27" s="65" t="s">
        <v>63</v>
      </c>
      <c r="B27" s="17"/>
      <c r="C27" s="17"/>
      <c r="D27" s="17"/>
      <c r="E27" s="17"/>
      <c r="F27" s="17"/>
      <c r="G27" s="17"/>
      <c r="H27" s="17"/>
      <c r="I27" s="14"/>
      <c r="J27" s="14"/>
    </row>
    <row r="28" spans="1:10" x14ac:dyDescent="0.25">
      <c r="A28" s="14" t="s">
        <v>0</v>
      </c>
      <c r="B28" s="14"/>
      <c r="C28" s="116">
        <f>'Not an Attach.-Proxy Co. Detail'!EP39</f>
        <v>0.45300000000000001</v>
      </c>
      <c r="D28" s="116">
        <f>'Not an Attach.-Proxy Co. Detail'!EQ39</f>
        <v>0.45800000000000002</v>
      </c>
      <c r="E28" s="116">
        <f>'Not an Attach.-Proxy Co. Detail'!ER39</f>
        <v>0.45400000000000001</v>
      </c>
      <c r="F28" s="116">
        <f>'Not an Attach.-Proxy Co. Detail'!ES39</f>
        <v>0.46200000000000002</v>
      </c>
      <c r="G28" s="116">
        <f>'Not an Attach.-Proxy Co. Detail'!ET39</f>
        <v>0.48699999999999999</v>
      </c>
      <c r="H28" s="117">
        <f>AVERAGE(C28:G28)</f>
        <v>0.46279999999999999</v>
      </c>
      <c r="I28" s="14"/>
      <c r="J28" s="14"/>
    </row>
    <row r="29" spans="1:10" x14ac:dyDescent="0.25">
      <c r="A29" s="14" t="s">
        <v>3</v>
      </c>
      <c r="B29" s="14"/>
      <c r="C29" s="118">
        <f>'Not an Attach.-Proxy Co. Detail'!EP40</f>
        <v>0</v>
      </c>
      <c r="D29" s="118">
        <f>'Not an Attach.-Proxy Co. Detail'!EQ40</f>
        <v>0</v>
      </c>
      <c r="E29" s="118">
        <f>'Not an Attach.-Proxy Co. Detail'!ER40</f>
        <v>0</v>
      </c>
      <c r="F29" s="118">
        <f>'Not an Attach.-Proxy Co. Detail'!ES40</f>
        <v>0</v>
      </c>
      <c r="G29" s="118">
        <f>'Not an Attach.-Proxy Co. Detail'!ET40</f>
        <v>0</v>
      </c>
      <c r="H29" s="118">
        <f>AVERAGE(C29:G29)</f>
        <v>0</v>
      </c>
      <c r="I29" s="14"/>
      <c r="J29" s="14"/>
    </row>
    <row r="30" spans="1:10" x14ac:dyDescent="0.25">
      <c r="A30" s="14" t="s">
        <v>74</v>
      </c>
      <c r="B30" s="14"/>
      <c r="C30" s="116">
        <f>'Not an Attach.-Proxy Co. Detail'!EP41</f>
        <v>0.54700000000000004</v>
      </c>
      <c r="D30" s="116">
        <f>'Not an Attach.-Proxy Co. Detail'!EQ41</f>
        <v>0.54200000000000004</v>
      </c>
      <c r="E30" s="116">
        <f>'Not an Attach.-Proxy Co. Detail'!ER41</f>
        <v>0.54600000000000004</v>
      </c>
      <c r="F30" s="116">
        <f>'Not an Attach.-Proxy Co. Detail'!ES41</f>
        <v>0.53800000000000003</v>
      </c>
      <c r="G30" s="116">
        <f>'Not an Attach.-Proxy Co. Detail'!ET41</f>
        <v>0.51300000000000001</v>
      </c>
      <c r="H30" s="117">
        <f>AVERAGE(C30:G30)</f>
        <v>0.53720000000000001</v>
      </c>
      <c r="I30" s="14"/>
      <c r="J30" s="14"/>
    </row>
    <row r="31" spans="1:10" x14ac:dyDescent="0.25">
      <c r="A31" s="6" t="s">
        <v>67</v>
      </c>
      <c r="B31" s="6"/>
      <c r="C31" s="109">
        <f t="shared" ref="C31" si="2">C28+C29+C30</f>
        <v>1</v>
      </c>
      <c r="D31" s="109">
        <f t="shared" ref="D31:G31" si="3">D28+D29+D30</f>
        <v>1</v>
      </c>
      <c r="E31" s="109">
        <f t="shared" si="3"/>
        <v>1</v>
      </c>
      <c r="F31" s="109">
        <f t="shared" si="3"/>
        <v>1</v>
      </c>
      <c r="G31" s="109">
        <f t="shared" si="3"/>
        <v>1</v>
      </c>
      <c r="H31" s="109">
        <f t="shared" ref="H31" si="4">H28+H29+H30</f>
        <v>1</v>
      </c>
      <c r="I31" s="70"/>
      <c r="J31" s="14"/>
    </row>
    <row r="32" spans="1:10" x14ac:dyDescent="0.25">
      <c r="A32" s="5"/>
      <c r="B32" s="5"/>
      <c r="C32" s="5"/>
      <c r="D32" s="5"/>
      <c r="E32" s="5"/>
      <c r="F32" s="5"/>
      <c r="G32" s="5"/>
      <c r="H32" s="20"/>
      <c r="I32" s="14"/>
      <c r="J32" s="14"/>
    </row>
    <row r="33" spans="1:10" x14ac:dyDescent="0.25">
      <c r="A33" s="5"/>
      <c r="B33" s="5"/>
      <c r="C33" s="5"/>
      <c r="D33" s="5"/>
      <c r="E33" s="5"/>
      <c r="F33" s="5"/>
      <c r="G33" s="5"/>
      <c r="H33" s="20"/>
      <c r="I33" s="14"/>
      <c r="J33" s="14"/>
    </row>
    <row r="34" spans="1:10" x14ac:dyDescent="0.25">
      <c r="A34" s="14"/>
      <c r="B34" s="14"/>
      <c r="C34" s="14"/>
      <c r="D34" s="14"/>
      <c r="E34" s="14"/>
      <c r="F34" s="14"/>
      <c r="G34" s="14"/>
      <c r="H34" s="14"/>
      <c r="I34" s="14"/>
      <c r="J34" s="14"/>
    </row>
    <row r="35" spans="1:10" x14ac:dyDescent="0.25">
      <c r="A35" s="65" t="s">
        <v>70</v>
      </c>
      <c r="B35" s="8"/>
      <c r="C35" s="8"/>
      <c r="D35" s="8"/>
      <c r="E35" s="8"/>
      <c r="F35" s="8"/>
      <c r="G35" s="8"/>
      <c r="H35" s="8"/>
      <c r="I35" s="14"/>
      <c r="J35" s="14"/>
    </row>
    <row r="36" spans="1:10" x14ac:dyDescent="0.25">
      <c r="A36" s="14" t="s">
        <v>8</v>
      </c>
      <c r="B36" s="14"/>
      <c r="C36" s="116">
        <f>'Not an Attach.-Proxy Co. Detail'!EP46</f>
        <v>0.503</v>
      </c>
      <c r="D36" s="116">
        <f>'Not an Attach.-Proxy Co. Detail'!EQ46</f>
        <v>0.49299999999999999</v>
      </c>
      <c r="E36" s="116">
        <f>'Not an Attach.-Proxy Co. Detail'!ER46</f>
        <v>0.46800000000000003</v>
      </c>
      <c r="F36" s="116">
        <f>'Not an Attach.-Proxy Co. Detail'!ES46</f>
        <v>0.51700000000000002</v>
      </c>
      <c r="G36" s="116">
        <f>'Not an Attach.-Proxy Co. Detail'!ET46</f>
        <v>0.502</v>
      </c>
      <c r="H36" s="117">
        <f>AVERAGE(C36:G36)</f>
        <v>0.49659999999999993</v>
      </c>
      <c r="I36" s="14"/>
      <c r="J36" s="14"/>
    </row>
    <row r="37" spans="1:10" x14ac:dyDescent="0.25">
      <c r="A37" s="14" t="s">
        <v>3</v>
      </c>
      <c r="B37" s="14"/>
      <c r="C37" s="118">
        <f>'Not an Attach.-Proxy Co. Detail'!EP47</f>
        <v>0</v>
      </c>
      <c r="D37" s="118">
        <f>'Not an Attach.-Proxy Co. Detail'!EQ47</f>
        <v>0</v>
      </c>
      <c r="E37" s="118">
        <f>'Not an Attach.-Proxy Co. Detail'!ER47</f>
        <v>0</v>
      </c>
      <c r="F37" s="118">
        <f>'Not an Attach.-Proxy Co. Detail'!ES47</f>
        <v>0</v>
      </c>
      <c r="G37" s="118">
        <f>'Not an Attach.-Proxy Co. Detail'!ET47</f>
        <v>0</v>
      </c>
      <c r="H37" s="118">
        <f>AVERAGE(C37:G37)</f>
        <v>0</v>
      </c>
      <c r="I37" s="14"/>
      <c r="J37" s="14"/>
    </row>
    <row r="38" spans="1:10" x14ac:dyDescent="0.25">
      <c r="A38" s="14" t="s">
        <v>74</v>
      </c>
      <c r="B38" s="14"/>
      <c r="C38" s="116">
        <f>'Not an Attach.-Proxy Co. Detail'!EP48</f>
        <v>0.497</v>
      </c>
      <c r="D38" s="116">
        <f>'Not an Attach.-Proxy Co. Detail'!EQ48</f>
        <v>0.50700000000000001</v>
      </c>
      <c r="E38" s="116">
        <f>'Not an Attach.-Proxy Co. Detail'!ER48</f>
        <v>0.53200000000000003</v>
      </c>
      <c r="F38" s="116">
        <f>'Not an Attach.-Proxy Co. Detail'!ES48</f>
        <v>0.48299999999999998</v>
      </c>
      <c r="G38" s="116">
        <f>'Not an Attach.-Proxy Co. Detail'!ET48</f>
        <v>0.498</v>
      </c>
      <c r="H38" s="117">
        <f>AVERAGE(C38:G38)</f>
        <v>0.50340000000000007</v>
      </c>
      <c r="I38" s="14"/>
      <c r="J38" s="14"/>
    </row>
    <row r="39" spans="1:10" x14ac:dyDescent="0.25">
      <c r="A39" s="6" t="s">
        <v>7</v>
      </c>
      <c r="B39" s="6"/>
      <c r="C39" s="109">
        <f t="shared" ref="C39" si="5">C36+C37+C38</f>
        <v>1</v>
      </c>
      <c r="D39" s="109">
        <f t="shared" ref="D39:G39" si="6">D36+D37+D38</f>
        <v>1</v>
      </c>
      <c r="E39" s="109">
        <f t="shared" si="6"/>
        <v>1</v>
      </c>
      <c r="F39" s="109">
        <f t="shared" si="6"/>
        <v>1</v>
      </c>
      <c r="G39" s="109">
        <f t="shared" si="6"/>
        <v>1</v>
      </c>
      <c r="H39" s="109">
        <f>H36+H37+H38</f>
        <v>1</v>
      </c>
      <c r="I39" s="70"/>
      <c r="J39" s="14"/>
    </row>
    <row r="40" spans="1:10" x14ac:dyDescent="0.25">
      <c r="A40" s="5"/>
      <c r="B40" s="5"/>
      <c r="C40" s="5"/>
      <c r="D40" s="5"/>
      <c r="E40" s="5"/>
      <c r="F40" s="5"/>
      <c r="G40" s="20"/>
      <c r="H40" s="20"/>
      <c r="I40" s="14"/>
      <c r="J40" s="14"/>
    </row>
    <row r="41" spans="1:10" x14ac:dyDescent="0.25">
      <c r="A41" s="14"/>
      <c r="B41" s="14"/>
      <c r="C41" s="14"/>
      <c r="D41" s="14"/>
      <c r="E41" s="14"/>
      <c r="F41" s="14"/>
      <c r="G41" s="14"/>
      <c r="H41" s="14"/>
      <c r="I41" s="14"/>
      <c r="J41" s="14"/>
    </row>
    <row r="43" spans="1:10" x14ac:dyDescent="0.25">
      <c r="A43" s="35" t="s">
        <v>73</v>
      </c>
      <c r="B43" s="14"/>
      <c r="C43" s="14"/>
      <c r="D43" s="14"/>
      <c r="E43" s="14"/>
      <c r="F43" s="14"/>
      <c r="G43" s="14"/>
      <c r="H43" s="14"/>
    </row>
    <row r="44" spans="1:10" x14ac:dyDescent="0.25">
      <c r="A44" s="6" t="s">
        <v>62</v>
      </c>
      <c r="B44" s="6"/>
      <c r="C44" s="119">
        <f>'Not an Attach.-Proxy Co. Detail'!EP63</f>
        <v>4.97</v>
      </c>
      <c r="D44" s="119">
        <f>'Not an Attach.-Proxy Co. Detail'!EQ63</f>
        <v>5.36</v>
      </c>
      <c r="E44" s="119">
        <f>'Not an Attach.-Proxy Co. Detail'!ER63</f>
        <v>6.18</v>
      </c>
      <c r="F44" s="119">
        <f>'Not an Attach.-Proxy Co. Detail'!ES63</f>
        <v>5.47</v>
      </c>
      <c r="G44" s="119">
        <f>'Not an Attach.-Proxy Co. Detail'!ET63</f>
        <v>4.87</v>
      </c>
      <c r="H44" s="119">
        <f>AVERAGE(C44:G44)</f>
        <v>5.3699999999999992</v>
      </c>
      <c r="I44" s="70"/>
    </row>
    <row r="45" spans="1:10" x14ac:dyDescent="0.25">
      <c r="A45" s="35"/>
      <c r="B45" s="14"/>
      <c r="C45" s="14"/>
      <c r="D45" s="14"/>
      <c r="E45" s="14"/>
      <c r="F45" s="14"/>
      <c r="G45" s="14"/>
      <c r="H45" s="14"/>
    </row>
    <row r="46" spans="1:10" x14ac:dyDescent="0.25">
      <c r="A46" s="35"/>
      <c r="B46" s="14"/>
      <c r="C46" s="14"/>
      <c r="D46" s="14"/>
      <c r="E46" s="14"/>
      <c r="F46" s="14"/>
      <c r="G46" s="14"/>
      <c r="H46" s="14"/>
    </row>
    <row r="47" spans="1:10" x14ac:dyDescent="0.25">
      <c r="A47" s="14"/>
      <c r="B47" s="14"/>
      <c r="C47" s="14"/>
      <c r="D47" s="14"/>
      <c r="E47" s="14"/>
      <c r="F47" s="14"/>
      <c r="G47" s="14"/>
      <c r="H47" s="14"/>
    </row>
    <row r="48" spans="1:10" x14ac:dyDescent="0.25">
      <c r="A48" s="35" t="s">
        <v>72</v>
      </c>
      <c r="B48" s="14"/>
      <c r="C48" s="14"/>
      <c r="D48" s="14"/>
      <c r="E48" s="14"/>
      <c r="F48" s="14"/>
      <c r="G48" s="14"/>
      <c r="H48" s="14"/>
    </row>
    <row r="49" spans="1:11" x14ac:dyDescent="0.25">
      <c r="A49" s="6" t="s">
        <v>66</v>
      </c>
      <c r="B49" s="6"/>
      <c r="C49" s="115">
        <f>'Not an Attach.-Proxy Co. Detail'!EP87</f>
        <v>0.157</v>
      </c>
      <c r="D49" s="115">
        <f>'Not an Attach.-Proxy Co. Detail'!EQ87</f>
        <v>0.188</v>
      </c>
      <c r="E49" s="115">
        <f>'Not an Attach.-Proxy Co. Detail'!ER87</f>
        <v>0.28999999999999998</v>
      </c>
      <c r="F49" s="115">
        <f>'Not an Attach.-Proxy Co. Detail'!ES87</f>
        <v>0.20699999999999999</v>
      </c>
      <c r="G49" s="115">
        <f>'Not an Attach.-Proxy Co. Detail'!ET87</f>
        <v>0.21299999999999999</v>
      </c>
      <c r="H49" s="115">
        <f>AVERAGE(C49:G49)</f>
        <v>0.21099999999999999</v>
      </c>
      <c r="I49" s="70"/>
    </row>
    <row r="50" spans="1:11" x14ac:dyDescent="0.25">
      <c r="A50" s="14"/>
      <c r="B50" s="14"/>
      <c r="C50" s="14"/>
      <c r="D50" s="14"/>
      <c r="E50" s="14"/>
      <c r="F50" s="14"/>
      <c r="G50" s="14"/>
      <c r="H50" s="14"/>
    </row>
    <row r="51" spans="1:11" x14ac:dyDescent="0.25">
      <c r="A51" s="14"/>
      <c r="B51" s="14"/>
      <c r="C51" s="14"/>
      <c r="D51" s="14"/>
      <c r="E51" s="14"/>
      <c r="F51" s="14"/>
      <c r="G51" s="14"/>
      <c r="H51" s="14"/>
    </row>
    <row r="53" spans="1:11" x14ac:dyDescent="0.25">
      <c r="A53" s="25" t="s">
        <v>175</v>
      </c>
      <c r="B53" s="66"/>
      <c r="C53" s="66"/>
      <c r="D53" s="66"/>
      <c r="E53" s="66"/>
      <c r="F53" s="66"/>
      <c r="G53" s="66"/>
      <c r="H53" s="66"/>
      <c r="I53" s="51"/>
      <c r="J53" s="51"/>
      <c r="K53" s="51"/>
    </row>
    <row r="54" spans="1:11" x14ac:dyDescent="0.25">
      <c r="A54" s="25" t="s">
        <v>71</v>
      </c>
      <c r="B54" s="66"/>
      <c r="C54" s="66"/>
      <c r="D54" s="66"/>
      <c r="E54" s="66"/>
      <c r="F54" s="66"/>
      <c r="G54" s="66"/>
      <c r="H54" s="66"/>
      <c r="I54" s="51"/>
      <c r="J54" s="51"/>
      <c r="K54" s="51"/>
    </row>
    <row r="55" spans="1:11" x14ac:dyDescent="0.25">
      <c r="A55" s="25" t="s">
        <v>123</v>
      </c>
      <c r="B55" s="66"/>
      <c r="C55" s="66"/>
      <c r="D55" s="66"/>
      <c r="E55" s="66"/>
      <c r="F55" s="66"/>
      <c r="G55" s="66"/>
      <c r="H55" s="66"/>
      <c r="I55" s="51"/>
      <c r="J55" s="67"/>
      <c r="K55" s="51"/>
    </row>
    <row r="56" spans="1:11" x14ac:dyDescent="0.25">
      <c r="A56" s="25" t="s">
        <v>124</v>
      </c>
      <c r="B56" s="66"/>
      <c r="C56" s="66"/>
      <c r="D56" s="66"/>
      <c r="E56" s="66"/>
      <c r="F56" s="66"/>
      <c r="G56" s="66"/>
      <c r="H56" s="66"/>
      <c r="I56" s="51"/>
      <c r="J56" s="67"/>
      <c r="K56" s="51"/>
    </row>
    <row r="57" spans="1:11" x14ac:dyDescent="0.25">
      <c r="A57" s="25" t="s">
        <v>120</v>
      </c>
      <c r="B57" s="67"/>
      <c r="C57" s="67"/>
      <c r="D57" s="67"/>
      <c r="E57" s="67"/>
      <c r="F57" s="67"/>
      <c r="G57" s="67"/>
      <c r="H57" s="67"/>
      <c r="I57" s="67"/>
      <c r="J57" s="67"/>
      <c r="K57" s="51"/>
    </row>
    <row r="58" spans="1:11" x14ac:dyDescent="0.25">
      <c r="A58" s="25"/>
      <c r="B58" s="67"/>
      <c r="C58" s="67"/>
      <c r="D58" s="67"/>
      <c r="E58" s="67"/>
      <c r="F58" s="67"/>
      <c r="G58" s="67"/>
      <c r="H58" s="67"/>
      <c r="I58" s="67"/>
      <c r="J58" s="67"/>
      <c r="K58" s="51"/>
    </row>
    <row r="59" spans="1:11" x14ac:dyDescent="0.25">
      <c r="A59" s="67" t="s">
        <v>173</v>
      </c>
      <c r="B59" s="67"/>
      <c r="C59" s="67"/>
      <c r="D59" s="67"/>
      <c r="E59" s="67"/>
      <c r="F59" s="67"/>
      <c r="G59" s="67"/>
      <c r="H59" s="67"/>
      <c r="I59" s="67"/>
      <c r="J59" s="67"/>
      <c r="K59" s="51"/>
    </row>
    <row r="60" spans="1:11" x14ac:dyDescent="0.25">
      <c r="A60" s="51"/>
      <c r="B60" s="67"/>
      <c r="C60" s="67"/>
      <c r="D60" s="67"/>
      <c r="E60" s="67"/>
      <c r="F60" s="67"/>
      <c r="G60" s="67"/>
      <c r="H60" s="67"/>
      <c r="I60" s="67"/>
      <c r="J60" s="67"/>
      <c r="K60" s="51"/>
    </row>
    <row r="61" spans="1:11" x14ac:dyDescent="0.25">
      <c r="A61" s="51"/>
      <c r="B61" s="67"/>
      <c r="C61" s="67"/>
      <c r="D61" s="67"/>
      <c r="E61" s="67"/>
      <c r="F61" s="67"/>
      <c r="G61" s="67"/>
      <c r="H61" s="67"/>
      <c r="I61" s="67"/>
      <c r="J61" s="67"/>
      <c r="K61" s="51"/>
    </row>
    <row r="62" spans="1:11" x14ac:dyDescent="0.25">
      <c r="B62" s="14"/>
      <c r="C62" s="14"/>
      <c r="D62" s="14"/>
      <c r="E62" s="14"/>
      <c r="F62" s="14"/>
      <c r="G62" s="14"/>
      <c r="H62" s="14"/>
      <c r="I62" s="14"/>
      <c r="J62" s="14"/>
    </row>
    <row r="63" spans="1:11" x14ac:dyDescent="0.25">
      <c r="B63" s="14"/>
      <c r="C63" s="14"/>
      <c r="D63" s="14"/>
      <c r="E63" s="14"/>
      <c r="F63" s="14"/>
      <c r="G63" s="14"/>
      <c r="H63" s="14"/>
      <c r="I63" s="14"/>
      <c r="J63" s="14"/>
    </row>
    <row r="64" spans="1:11" x14ac:dyDescent="0.25">
      <c r="B64" s="14"/>
      <c r="C64" s="14"/>
      <c r="D64" s="14"/>
      <c r="E64" s="14"/>
      <c r="F64" s="14"/>
      <c r="G64" s="14"/>
      <c r="H64" s="14"/>
      <c r="I64" s="14"/>
      <c r="J64" s="14"/>
    </row>
    <row r="65" spans="1:10" x14ac:dyDescent="0.25">
      <c r="B65" s="14"/>
      <c r="C65" s="14"/>
      <c r="D65" s="14"/>
      <c r="E65" s="14"/>
      <c r="F65" s="14"/>
      <c r="G65" s="14"/>
      <c r="H65" s="14"/>
      <c r="I65" s="14"/>
      <c r="J65" s="14"/>
    </row>
    <row r="66" spans="1:10" x14ac:dyDescent="0.25">
      <c r="B66" s="14"/>
      <c r="C66" s="14"/>
      <c r="D66" s="14"/>
      <c r="E66" s="14"/>
      <c r="F66" s="14"/>
      <c r="G66" s="14"/>
      <c r="H66" s="14"/>
      <c r="I66" s="14"/>
      <c r="J66" s="14"/>
    </row>
    <row r="67" spans="1:10" x14ac:dyDescent="0.25">
      <c r="B67" s="14"/>
      <c r="C67" s="14"/>
      <c r="D67" s="14"/>
      <c r="E67" s="14"/>
      <c r="F67" s="14"/>
      <c r="G67" s="14"/>
      <c r="H67" s="14"/>
      <c r="I67" s="14"/>
      <c r="J67" s="14"/>
    </row>
    <row r="68" spans="1:10" x14ac:dyDescent="0.25">
      <c r="A68" s="14"/>
      <c r="B68" s="14"/>
      <c r="C68" s="14"/>
      <c r="D68" s="14"/>
      <c r="E68" s="14"/>
      <c r="F68" s="14"/>
      <c r="G68" s="14"/>
      <c r="H68" s="14"/>
      <c r="I68" s="14"/>
      <c r="J68" s="14"/>
    </row>
    <row r="69" spans="1:10" x14ac:dyDescent="0.25">
      <c r="A69" s="14"/>
      <c r="B69" s="14"/>
      <c r="C69" s="14"/>
      <c r="D69" s="14"/>
      <c r="E69" s="14"/>
      <c r="F69" s="14"/>
      <c r="G69" s="14"/>
      <c r="H69" s="14"/>
      <c r="I69" s="14"/>
      <c r="J69" s="14"/>
    </row>
    <row r="70" spans="1:10" x14ac:dyDescent="0.25">
      <c r="A70" s="14"/>
      <c r="B70" s="14"/>
      <c r="C70" s="14"/>
      <c r="D70" s="14"/>
      <c r="E70" s="14"/>
      <c r="F70" s="14"/>
      <c r="G70" s="14"/>
      <c r="H70" s="14"/>
      <c r="I70" s="14"/>
      <c r="J70" s="14"/>
    </row>
    <row r="71" spans="1:10" x14ac:dyDescent="0.25">
      <c r="A71" s="14"/>
      <c r="B71" s="14"/>
      <c r="C71" s="14"/>
      <c r="D71" s="14"/>
      <c r="E71" s="14"/>
      <c r="F71" s="14"/>
      <c r="G71" s="14"/>
      <c r="H71" s="14"/>
      <c r="I71" s="14"/>
      <c r="J71" s="14"/>
    </row>
    <row r="72" spans="1:10" x14ac:dyDescent="0.25">
      <c r="A72" s="14"/>
      <c r="B72" s="14"/>
      <c r="C72" s="14"/>
      <c r="D72" s="14"/>
      <c r="E72" s="14"/>
      <c r="F72" s="14"/>
      <c r="G72" s="14"/>
      <c r="H72" s="14"/>
      <c r="I72" s="14"/>
      <c r="J72" s="14"/>
    </row>
    <row r="73" spans="1:10" x14ac:dyDescent="0.25">
      <c r="A73" s="14"/>
      <c r="B73" s="14"/>
      <c r="C73" s="14"/>
      <c r="D73" s="14"/>
      <c r="E73" s="14"/>
      <c r="F73" s="14"/>
      <c r="G73" s="14"/>
      <c r="H73" s="14"/>
      <c r="I73" s="14"/>
      <c r="J73" s="14"/>
    </row>
    <row r="74" spans="1:10" x14ac:dyDescent="0.25">
      <c r="A74" s="14"/>
      <c r="B74" s="14"/>
      <c r="C74" s="14"/>
      <c r="D74" s="14"/>
      <c r="E74" s="14"/>
      <c r="F74" s="14"/>
      <c r="G74" s="14"/>
      <c r="H74" s="14"/>
      <c r="I74" s="14"/>
      <c r="J74" s="14"/>
    </row>
    <row r="75" spans="1:10" x14ac:dyDescent="0.25">
      <c r="A75" s="14"/>
      <c r="B75" s="14"/>
      <c r="C75" s="14"/>
      <c r="D75" s="14"/>
      <c r="E75" s="14"/>
      <c r="F75" s="14"/>
      <c r="G75" s="14"/>
      <c r="H75" s="14"/>
      <c r="I75" s="14"/>
      <c r="J75" s="14"/>
    </row>
    <row r="76" spans="1:10" x14ac:dyDescent="0.25">
      <c r="A76" s="14"/>
      <c r="B76" s="14"/>
      <c r="C76" s="14"/>
      <c r="D76" s="14"/>
      <c r="E76" s="14"/>
      <c r="F76" s="14"/>
      <c r="G76" s="14"/>
      <c r="H76" s="14"/>
      <c r="I76" s="14"/>
      <c r="J76" s="14"/>
    </row>
    <row r="77" spans="1:10" x14ac:dyDescent="0.25">
      <c r="A77" s="14"/>
      <c r="B77" s="14"/>
      <c r="C77" s="14"/>
      <c r="D77" s="14"/>
      <c r="E77" s="14"/>
      <c r="F77" s="14"/>
      <c r="G77" s="14"/>
      <c r="H77" s="14"/>
      <c r="I77" s="14"/>
      <c r="J77" s="14"/>
    </row>
    <row r="78" spans="1:10" x14ac:dyDescent="0.25">
      <c r="A78" s="14"/>
      <c r="B78" s="14"/>
      <c r="C78" s="14"/>
      <c r="D78" s="14"/>
      <c r="E78" s="14"/>
      <c r="F78" s="14"/>
      <c r="G78" s="14"/>
      <c r="H78" s="14"/>
      <c r="I78" s="14"/>
      <c r="J78" s="14"/>
    </row>
    <row r="79" spans="1:10" x14ac:dyDescent="0.25">
      <c r="A79" s="14"/>
      <c r="B79" s="14"/>
      <c r="C79" s="14"/>
      <c r="D79" s="14"/>
      <c r="E79" s="14"/>
      <c r="F79" s="14"/>
      <c r="G79" s="14"/>
      <c r="H79" s="14"/>
      <c r="I79" s="14"/>
      <c r="J79" s="14"/>
    </row>
    <row r="80" spans="1:10" x14ac:dyDescent="0.25">
      <c r="A80" s="14"/>
      <c r="B80" s="14"/>
      <c r="C80" s="14"/>
      <c r="D80" s="14"/>
      <c r="E80" s="14"/>
      <c r="F80" s="14"/>
      <c r="G80" s="14"/>
      <c r="H80" s="14"/>
      <c r="I80" s="14"/>
      <c r="J80" s="14"/>
    </row>
    <row r="81" spans="1:10" x14ac:dyDescent="0.25">
      <c r="A81" s="14"/>
      <c r="B81" s="14"/>
      <c r="C81" s="14"/>
      <c r="D81" s="14"/>
      <c r="E81" s="14"/>
      <c r="F81" s="14"/>
      <c r="G81" s="14"/>
      <c r="H81" s="14"/>
      <c r="I81" s="14"/>
      <c r="J81" s="14"/>
    </row>
    <row r="82" spans="1:10" x14ac:dyDescent="0.25">
      <c r="A82" s="14"/>
      <c r="B82" s="14"/>
      <c r="C82" s="14"/>
      <c r="D82" s="14"/>
      <c r="E82" s="14"/>
      <c r="F82" s="14"/>
      <c r="G82" s="14"/>
      <c r="H82" s="14"/>
      <c r="I82" s="14"/>
      <c r="J82" s="14"/>
    </row>
    <row r="83" spans="1:10" x14ac:dyDescent="0.25">
      <c r="A83" s="14"/>
      <c r="B83" s="14"/>
      <c r="C83" s="14"/>
      <c r="D83" s="14"/>
      <c r="E83" s="14"/>
      <c r="F83" s="14"/>
      <c r="G83" s="14"/>
      <c r="H83" s="14"/>
      <c r="I83" s="14"/>
      <c r="J83" s="14"/>
    </row>
    <row r="84" spans="1:10" x14ac:dyDescent="0.25">
      <c r="A84" s="14"/>
      <c r="B84" s="14"/>
      <c r="C84" s="14"/>
      <c r="D84" s="14"/>
      <c r="E84" s="14"/>
      <c r="F84" s="14"/>
      <c r="G84" s="14"/>
      <c r="H84" s="14"/>
      <c r="I84" s="14"/>
      <c r="J84" s="14"/>
    </row>
    <row r="85" spans="1:10" x14ac:dyDescent="0.25">
      <c r="A85" s="14"/>
      <c r="B85" s="14"/>
      <c r="C85" s="14"/>
      <c r="D85" s="14"/>
      <c r="E85" s="14"/>
      <c r="F85" s="14"/>
      <c r="G85" s="14"/>
      <c r="H85" s="14"/>
      <c r="I85" s="14"/>
      <c r="J85" s="14"/>
    </row>
    <row r="86" spans="1:10" x14ac:dyDescent="0.25">
      <c r="A86" s="14"/>
      <c r="B86" s="14"/>
      <c r="C86" s="14"/>
      <c r="D86" s="14"/>
      <c r="E86" s="14"/>
      <c r="F86" s="14"/>
      <c r="G86" s="14"/>
      <c r="H86" s="14"/>
      <c r="I86" s="14"/>
      <c r="J86" s="14"/>
    </row>
    <row r="87" spans="1:10" x14ac:dyDescent="0.25">
      <c r="A87" s="14"/>
      <c r="B87" s="14"/>
      <c r="C87" s="14"/>
      <c r="D87" s="14"/>
      <c r="E87" s="14"/>
      <c r="F87" s="14"/>
      <c r="G87" s="14"/>
      <c r="H87" s="14"/>
      <c r="I87" s="14"/>
      <c r="J87" s="14"/>
    </row>
    <row r="88" spans="1:10" x14ac:dyDescent="0.25">
      <c r="A88" s="14"/>
      <c r="B88" s="14"/>
      <c r="C88" s="14"/>
      <c r="D88" s="14"/>
      <c r="E88" s="14"/>
      <c r="F88" s="14"/>
      <c r="G88" s="14"/>
      <c r="H88" s="14"/>
      <c r="I88" s="14"/>
      <c r="J88" s="14"/>
    </row>
    <row r="89" spans="1:10" x14ac:dyDescent="0.25">
      <c r="A89" s="14"/>
      <c r="B89" s="14"/>
      <c r="C89" s="14"/>
      <c r="D89" s="14"/>
      <c r="E89" s="14"/>
      <c r="F89" s="14"/>
      <c r="G89" s="14"/>
      <c r="H89" s="14"/>
      <c r="I89" s="14"/>
      <c r="J89" s="14"/>
    </row>
    <row r="90" spans="1:10" x14ac:dyDescent="0.25">
      <c r="A90" s="14"/>
      <c r="B90" s="14"/>
      <c r="C90" s="14"/>
      <c r="D90" s="14"/>
      <c r="E90" s="14"/>
      <c r="F90" s="14"/>
      <c r="G90" s="14"/>
      <c r="H90" s="14"/>
      <c r="I90" s="14"/>
      <c r="J90" s="14"/>
    </row>
    <row r="91" spans="1:10" x14ac:dyDescent="0.25">
      <c r="A91" s="14"/>
      <c r="B91" s="14"/>
      <c r="C91" s="14"/>
      <c r="D91" s="14"/>
      <c r="E91" s="14"/>
      <c r="F91" s="14"/>
      <c r="G91" s="14"/>
      <c r="H91" s="14"/>
      <c r="I91" s="14"/>
      <c r="J91" s="14"/>
    </row>
    <row r="92" spans="1:10" x14ac:dyDescent="0.25">
      <c r="A92" s="14"/>
      <c r="B92" s="14"/>
      <c r="C92" s="14"/>
      <c r="D92" s="14"/>
      <c r="E92" s="14"/>
      <c r="F92" s="14"/>
      <c r="G92" s="14"/>
      <c r="H92" s="14"/>
      <c r="I92" s="14"/>
      <c r="J92" s="14"/>
    </row>
    <row r="93" spans="1:10" x14ac:dyDescent="0.25">
      <c r="A93" s="14"/>
      <c r="B93" s="14"/>
      <c r="C93" s="14"/>
      <c r="D93" s="14"/>
      <c r="E93" s="14"/>
      <c r="F93" s="14"/>
      <c r="G93" s="14"/>
      <c r="H93" s="14"/>
      <c r="I93" s="14"/>
      <c r="J93" s="14"/>
    </row>
    <row r="94" spans="1:10" x14ac:dyDescent="0.25">
      <c r="A94" s="14"/>
      <c r="B94" s="14"/>
      <c r="C94" s="14"/>
      <c r="D94" s="14"/>
      <c r="E94" s="14"/>
      <c r="F94" s="14"/>
      <c r="G94" s="14"/>
      <c r="H94" s="14"/>
      <c r="I94" s="14"/>
      <c r="J94" s="14"/>
    </row>
    <row r="95" spans="1:10" x14ac:dyDescent="0.25">
      <c r="A95" s="14"/>
      <c r="B95" s="14"/>
      <c r="C95" s="14"/>
      <c r="D95" s="14"/>
      <c r="E95" s="14"/>
      <c r="F95" s="14"/>
      <c r="G95" s="14"/>
      <c r="H95" s="14"/>
      <c r="I95" s="14"/>
      <c r="J95" s="14"/>
    </row>
    <row r="96" spans="1:10" x14ac:dyDescent="0.25">
      <c r="A96" s="14"/>
      <c r="B96" s="14"/>
      <c r="C96" s="14"/>
      <c r="D96" s="14"/>
      <c r="E96" s="14"/>
      <c r="F96" s="14"/>
      <c r="G96" s="14"/>
      <c r="H96" s="14"/>
      <c r="I96" s="14"/>
      <c r="J96" s="14"/>
    </row>
    <row r="97" spans="1:10" x14ac:dyDescent="0.25">
      <c r="A97" s="14"/>
      <c r="B97" s="14"/>
      <c r="C97" s="14"/>
      <c r="D97" s="14"/>
      <c r="E97" s="14"/>
      <c r="F97" s="14"/>
      <c r="G97" s="14"/>
      <c r="H97" s="14"/>
      <c r="I97" s="14"/>
      <c r="J97" s="14"/>
    </row>
    <row r="98" spans="1:10" x14ac:dyDescent="0.25">
      <c r="A98" s="14"/>
      <c r="B98" s="14"/>
      <c r="C98" s="14"/>
      <c r="D98" s="14"/>
      <c r="E98" s="14"/>
      <c r="F98" s="14"/>
      <c r="G98" s="14"/>
      <c r="H98" s="14"/>
      <c r="I98" s="14"/>
      <c r="J98" s="14"/>
    </row>
    <row r="99" spans="1:10" x14ac:dyDescent="0.25">
      <c r="A99" s="14"/>
      <c r="B99" s="14"/>
      <c r="C99" s="14"/>
      <c r="D99" s="14"/>
      <c r="E99" s="14"/>
      <c r="F99" s="14"/>
      <c r="G99" s="14"/>
      <c r="H99" s="14"/>
      <c r="I99" s="14"/>
      <c r="J99" s="14"/>
    </row>
    <row r="100" spans="1:10" x14ac:dyDescent="0.25">
      <c r="A100" s="14"/>
      <c r="B100" s="14"/>
      <c r="C100" s="14"/>
      <c r="D100" s="14"/>
      <c r="E100" s="14"/>
      <c r="F100" s="14"/>
      <c r="G100" s="14"/>
      <c r="H100" s="14"/>
      <c r="I100" s="14"/>
      <c r="J100" s="14"/>
    </row>
    <row r="101" spans="1:10" x14ac:dyDescent="0.25">
      <c r="A101" s="14"/>
      <c r="B101" s="14"/>
      <c r="C101" s="14"/>
      <c r="D101" s="14"/>
      <c r="E101" s="14"/>
      <c r="F101" s="14"/>
      <c r="G101" s="14"/>
      <c r="H101" s="14"/>
      <c r="I101" s="14"/>
      <c r="J101" s="14"/>
    </row>
    <row r="102" spans="1:10" x14ac:dyDescent="0.25">
      <c r="A102" s="14"/>
      <c r="B102" s="14"/>
      <c r="C102" s="14"/>
      <c r="D102" s="14"/>
      <c r="E102" s="14"/>
      <c r="F102" s="14"/>
      <c r="G102" s="14"/>
      <c r="H102" s="14"/>
      <c r="I102" s="14"/>
      <c r="J102" s="14"/>
    </row>
    <row r="103" spans="1:10" x14ac:dyDescent="0.25">
      <c r="A103" s="14"/>
      <c r="B103" s="14"/>
      <c r="C103" s="14"/>
      <c r="D103" s="14"/>
      <c r="E103" s="14"/>
      <c r="F103" s="14"/>
      <c r="G103" s="14"/>
      <c r="H103" s="14"/>
      <c r="I103" s="14"/>
      <c r="J103" s="14"/>
    </row>
    <row r="104" spans="1:10" x14ac:dyDescent="0.25">
      <c r="A104" s="14"/>
      <c r="B104" s="14"/>
      <c r="C104" s="14"/>
      <c r="D104" s="14"/>
      <c r="E104" s="14"/>
      <c r="F104" s="14"/>
      <c r="G104" s="14"/>
      <c r="H104" s="14"/>
      <c r="I104" s="14"/>
      <c r="J104" s="14"/>
    </row>
    <row r="105" spans="1:10" x14ac:dyDescent="0.25">
      <c r="A105" s="14"/>
      <c r="B105" s="14"/>
      <c r="C105" s="14"/>
      <c r="D105" s="14"/>
      <c r="E105" s="14"/>
      <c r="F105" s="14"/>
      <c r="G105" s="14"/>
      <c r="H105" s="14"/>
      <c r="I105" s="14"/>
      <c r="J105" s="14"/>
    </row>
    <row r="106" spans="1:10" x14ac:dyDescent="0.25">
      <c r="A106" s="14"/>
      <c r="B106" s="14"/>
      <c r="C106" s="14"/>
      <c r="D106" s="14"/>
      <c r="E106" s="14"/>
      <c r="F106" s="14"/>
      <c r="G106" s="14"/>
      <c r="H106" s="14"/>
      <c r="I106" s="14"/>
      <c r="J106" s="14"/>
    </row>
    <row r="107" spans="1:10" x14ac:dyDescent="0.25">
      <c r="A107" s="14"/>
      <c r="B107" s="14"/>
      <c r="C107" s="14"/>
      <c r="D107" s="14"/>
      <c r="E107" s="14"/>
      <c r="F107" s="14"/>
      <c r="G107" s="14"/>
      <c r="H107" s="14"/>
      <c r="I107" s="14"/>
      <c r="J107" s="14"/>
    </row>
    <row r="108" spans="1:10" x14ac:dyDescent="0.25">
      <c r="A108" s="14"/>
      <c r="B108" s="14"/>
      <c r="C108" s="14"/>
      <c r="D108" s="14"/>
      <c r="E108" s="14"/>
      <c r="F108" s="14"/>
      <c r="G108" s="14"/>
      <c r="H108" s="14"/>
      <c r="I108" s="14"/>
      <c r="J108" s="14"/>
    </row>
    <row r="109" spans="1:10" x14ac:dyDescent="0.25">
      <c r="A109" s="14"/>
      <c r="B109" s="14"/>
      <c r="C109" s="14"/>
      <c r="D109" s="14"/>
      <c r="E109" s="14"/>
      <c r="F109" s="14"/>
      <c r="G109" s="14"/>
      <c r="H109" s="14"/>
      <c r="I109" s="14"/>
      <c r="J109" s="14"/>
    </row>
    <row r="110" spans="1:10" x14ac:dyDescent="0.25">
      <c r="A110" s="14"/>
      <c r="B110" s="14"/>
      <c r="C110" s="14"/>
      <c r="D110" s="14"/>
      <c r="E110" s="14"/>
      <c r="F110" s="14"/>
      <c r="G110" s="14"/>
      <c r="H110" s="14"/>
      <c r="I110" s="14"/>
      <c r="J110" s="14"/>
    </row>
    <row r="111" spans="1:10" x14ac:dyDescent="0.25">
      <c r="A111" s="14"/>
      <c r="B111" s="14"/>
      <c r="C111" s="14"/>
      <c r="D111" s="14"/>
      <c r="E111" s="14"/>
      <c r="F111" s="14"/>
      <c r="G111" s="14"/>
      <c r="H111" s="14"/>
      <c r="I111" s="14"/>
      <c r="J111" s="14"/>
    </row>
    <row r="112" spans="1:10" x14ac:dyDescent="0.25">
      <c r="A112" s="14"/>
      <c r="B112" s="14"/>
      <c r="C112" s="14"/>
      <c r="D112" s="14"/>
      <c r="E112" s="14"/>
      <c r="F112" s="14"/>
      <c r="G112" s="14"/>
      <c r="H112" s="14"/>
      <c r="I112" s="14"/>
      <c r="J112" s="14"/>
    </row>
    <row r="113" spans="1:10" x14ac:dyDescent="0.25">
      <c r="A113" s="14"/>
      <c r="B113" s="14"/>
      <c r="C113" s="14"/>
      <c r="D113" s="14"/>
      <c r="E113" s="14"/>
      <c r="F113" s="14"/>
      <c r="G113" s="14"/>
      <c r="H113" s="14"/>
      <c r="I113" s="14"/>
      <c r="J113" s="14"/>
    </row>
    <row r="114" spans="1:10" x14ac:dyDescent="0.25">
      <c r="A114" s="14"/>
      <c r="B114" s="14"/>
      <c r="C114" s="14"/>
      <c r="D114" s="14"/>
      <c r="E114" s="14"/>
      <c r="F114" s="14"/>
      <c r="G114" s="14"/>
      <c r="H114" s="14"/>
      <c r="I114" s="14"/>
      <c r="J114" s="14"/>
    </row>
    <row r="115" spans="1:10" x14ac:dyDescent="0.25">
      <c r="A115" s="14"/>
      <c r="B115" s="14"/>
      <c r="C115" s="14"/>
      <c r="D115" s="14"/>
      <c r="E115" s="14"/>
      <c r="F115" s="14"/>
      <c r="G115" s="14"/>
      <c r="H115" s="14"/>
      <c r="I115" s="14"/>
      <c r="J115" s="14"/>
    </row>
    <row r="116" spans="1:10" x14ac:dyDescent="0.25">
      <c r="A116" s="14"/>
      <c r="B116" s="14"/>
      <c r="C116" s="14"/>
      <c r="D116" s="14"/>
      <c r="E116" s="14"/>
      <c r="F116" s="14"/>
      <c r="G116" s="14"/>
      <c r="H116" s="14"/>
      <c r="I116" s="14"/>
      <c r="J116" s="14"/>
    </row>
    <row r="117" spans="1:10" x14ac:dyDescent="0.25">
      <c r="A117" s="14"/>
      <c r="B117" s="14"/>
      <c r="C117" s="14"/>
      <c r="D117" s="14"/>
      <c r="E117" s="14"/>
      <c r="F117" s="14"/>
      <c r="G117" s="14"/>
      <c r="H117" s="14"/>
      <c r="I117" s="14"/>
      <c r="J117" s="14"/>
    </row>
    <row r="118" spans="1:10" x14ac:dyDescent="0.25">
      <c r="A118" s="14"/>
      <c r="B118" s="14"/>
      <c r="C118" s="14"/>
      <c r="D118" s="14"/>
      <c r="E118" s="14"/>
      <c r="F118" s="14"/>
      <c r="G118" s="14"/>
      <c r="H118" s="14"/>
      <c r="I118" s="14"/>
      <c r="J118" s="14"/>
    </row>
    <row r="119" spans="1:10" x14ac:dyDescent="0.25">
      <c r="A119" s="14"/>
      <c r="B119" s="14"/>
      <c r="C119" s="14"/>
      <c r="D119" s="14"/>
      <c r="E119" s="14"/>
      <c r="F119" s="14"/>
      <c r="G119" s="14"/>
      <c r="H119" s="14"/>
      <c r="I119" s="14"/>
      <c r="J119" s="14"/>
    </row>
    <row r="120" spans="1:10" x14ac:dyDescent="0.25">
      <c r="A120" s="14"/>
      <c r="B120" s="14"/>
      <c r="C120" s="14"/>
      <c r="D120" s="14"/>
      <c r="E120" s="14"/>
      <c r="F120" s="14"/>
      <c r="G120" s="14"/>
      <c r="H120" s="14"/>
      <c r="I120" s="14"/>
      <c r="J120" s="14"/>
    </row>
    <row r="121" spans="1:10" x14ac:dyDescent="0.25">
      <c r="A121" s="14"/>
      <c r="B121" s="14"/>
      <c r="C121" s="14"/>
      <c r="D121" s="14"/>
      <c r="E121" s="14"/>
      <c r="F121" s="14"/>
      <c r="G121" s="14"/>
      <c r="H121" s="14"/>
      <c r="I121" s="14"/>
      <c r="J121" s="14"/>
    </row>
    <row r="122" spans="1:10" x14ac:dyDescent="0.25">
      <c r="A122" s="14"/>
      <c r="B122" s="14"/>
      <c r="C122" s="14"/>
      <c r="D122" s="14"/>
      <c r="E122" s="14"/>
      <c r="F122" s="14"/>
      <c r="G122" s="14"/>
      <c r="H122" s="14"/>
      <c r="I122" s="14"/>
      <c r="J122" s="14"/>
    </row>
    <row r="123" spans="1:10" x14ac:dyDescent="0.25">
      <c r="A123" s="14"/>
      <c r="B123" s="14"/>
      <c r="C123" s="14"/>
      <c r="D123" s="14"/>
      <c r="E123" s="14"/>
      <c r="F123" s="14"/>
      <c r="G123" s="14"/>
      <c r="H123" s="14"/>
      <c r="I123" s="14"/>
      <c r="J123" s="14"/>
    </row>
    <row r="124" spans="1:10" x14ac:dyDescent="0.25">
      <c r="A124" s="14"/>
      <c r="B124" s="14"/>
      <c r="C124" s="14"/>
      <c r="D124" s="14"/>
      <c r="E124" s="14"/>
      <c r="F124" s="14"/>
      <c r="G124" s="14"/>
      <c r="H124" s="14"/>
      <c r="I124" s="14"/>
      <c r="J124" s="14"/>
    </row>
    <row r="125" spans="1:10" x14ac:dyDescent="0.25">
      <c r="A125" s="14"/>
      <c r="B125" s="14"/>
      <c r="C125" s="14"/>
      <c r="D125" s="14"/>
      <c r="E125" s="14"/>
      <c r="F125" s="14"/>
      <c r="G125" s="14"/>
      <c r="H125" s="14"/>
      <c r="I125" s="14"/>
      <c r="J125" s="14"/>
    </row>
    <row r="126" spans="1:10" x14ac:dyDescent="0.25">
      <c r="A126" s="14"/>
      <c r="B126" s="14"/>
      <c r="C126" s="14"/>
      <c r="D126" s="14"/>
      <c r="E126" s="14"/>
      <c r="F126" s="14"/>
      <c r="G126" s="14"/>
      <c r="H126" s="14"/>
      <c r="I126" s="14"/>
      <c r="J126" s="14"/>
    </row>
    <row r="127" spans="1:10" x14ac:dyDescent="0.25">
      <c r="A127" s="14"/>
      <c r="B127" s="14"/>
      <c r="C127" s="14"/>
      <c r="D127" s="14"/>
      <c r="E127" s="14"/>
      <c r="F127" s="14"/>
      <c r="G127" s="14"/>
      <c r="H127" s="14"/>
      <c r="I127" s="14"/>
      <c r="J127" s="14"/>
    </row>
    <row r="128" spans="1:10" x14ac:dyDescent="0.25">
      <c r="A128" s="14"/>
      <c r="B128" s="14"/>
      <c r="C128" s="14"/>
      <c r="D128" s="14"/>
      <c r="E128" s="14"/>
      <c r="F128" s="14"/>
      <c r="G128" s="14"/>
      <c r="H128" s="14"/>
      <c r="I128" s="14"/>
      <c r="J128" s="14"/>
    </row>
    <row r="129" spans="1:10" x14ac:dyDescent="0.25">
      <c r="A129" s="14"/>
      <c r="B129" s="14"/>
      <c r="C129" s="14"/>
      <c r="D129" s="14"/>
      <c r="E129" s="14"/>
      <c r="F129" s="14"/>
      <c r="G129" s="14"/>
      <c r="H129" s="14"/>
      <c r="I129" s="14"/>
      <c r="J129" s="14"/>
    </row>
    <row r="130" spans="1:10" x14ac:dyDescent="0.25">
      <c r="A130" s="14"/>
      <c r="B130" s="14"/>
      <c r="C130" s="14"/>
      <c r="D130" s="14"/>
      <c r="E130" s="14"/>
      <c r="F130" s="14"/>
      <c r="G130" s="14"/>
      <c r="H130" s="14"/>
      <c r="I130" s="14"/>
      <c r="J130" s="14"/>
    </row>
    <row r="131" spans="1:10" x14ac:dyDescent="0.25">
      <c r="A131" s="14"/>
      <c r="B131" s="14"/>
      <c r="C131" s="14"/>
      <c r="D131" s="14"/>
      <c r="E131" s="14"/>
      <c r="F131" s="14"/>
      <c r="G131" s="14"/>
      <c r="H131" s="14"/>
      <c r="I131" s="14"/>
      <c r="J131" s="14"/>
    </row>
    <row r="132" spans="1:10" x14ac:dyDescent="0.25">
      <c r="A132" s="14"/>
      <c r="B132" s="14"/>
      <c r="C132" s="14"/>
      <c r="D132" s="14"/>
      <c r="E132" s="14"/>
      <c r="F132" s="14"/>
      <c r="G132" s="14"/>
      <c r="H132" s="14"/>
      <c r="I132" s="14"/>
      <c r="J132" s="14"/>
    </row>
    <row r="133" spans="1:10" x14ac:dyDescent="0.25">
      <c r="A133" s="14"/>
      <c r="B133" s="14"/>
      <c r="C133" s="14"/>
      <c r="D133" s="14"/>
      <c r="E133" s="14"/>
      <c r="F133" s="14"/>
      <c r="G133" s="14"/>
      <c r="H133" s="14"/>
      <c r="I133" s="14"/>
      <c r="J133" s="14"/>
    </row>
    <row r="134" spans="1:10" x14ac:dyDescent="0.25">
      <c r="A134" s="14"/>
      <c r="B134" s="14"/>
      <c r="C134" s="14"/>
      <c r="D134" s="14"/>
      <c r="E134" s="14"/>
      <c r="F134" s="14"/>
      <c r="G134" s="14"/>
      <c r="H134" s="14"/>
      <c r="I134" s="14"/>
      <c r="J134" s="14"/>
    </row>
    <row r="135" spans="1:10" x14ac:dyDescent="0.25">
      <c r="A135" s="14"/>
      <c r="B135" s="14"/>
      <c r="C135" s="14"/>
      <c r="D135" s="14"/>
      <c r="E135" s="14"/>
      <c r="F135" s="14"/>
      <c r="G135" s="14"/>
      <c r="H135" s="14"/>
      <c r="I135" s="14"/>
      <c r="J135" s="14"/>
    </row>
    <row r="136" spans="1:10" x14ac:dyDescent="0.25">
      <c r="A136" s="14"/>
      <c r="B136" s="14"/>
      <c r="C136" s="14"/>
      <c r="D136" s="14"/>
      <c r="E136" s="14"/>
      <c r="F136" s="14"/>
      <c r="G136" s="14"/>
      <c r="H136" s="14"/>
      <c r="I136" s="14"/>
      <c r="J136" s="14"/>
    </row>
    <row r="137" spans="1:10" x14ac:dyDescent="0.25">
      <c r="A137" s="14"/>
      <c r="B137" s="14"/>
      <c r="C137" s="14"/>
      <c r="D137" s="14"/>
      <c r="E137" s="14"/>
      <c r="F137" s="14"/>
      <c r="G137" s="14"/>
      <c r="H137" s="14"/>
      <c r="I137" s="14"/>
      <c r="J137" s="14"/>
    </row>
    <row r="138" spans="1:10" x14ac:dyDescent="0.25">
      <c r="A138" s="14"/>
      <c r="B138" s="14"/>
      <c r="C138" s="14"/>
      <c r="D138" s="14"/>
      <c r="E138" s="14"/>
      <c r="F138" s="14"/>
      <c r="G138" s="14"/>
      <c r="H138" s="14"/>
      <c r="I138" s="14"/>
      <c r="J138" s="14"/>
    </row>
    <row r="139" spans="1:10" x14ac:dyDescent="0.25">
      <c r="A139" s="14"/>
      <c r="B139" s="14"/>
      <c r="C139" s="14"/>
      <c r="D139" s="14"/>
      <c r="E139" s="14"/>
      <c r="F139" s="14"/>
      <c r="G139" s="14"/>
      <c r="H139" s="14"/>
      <c r="I139" s="14"/>
      <c r="J139" s="14"/>
    </row>
    <row r="140" spans="1:10" x14ac:dyDescent="0.25">
      <c r="A140" s="14"/>
      <c r="B140" s="14"/>
      <c r="C140" s="14"/>
      <c r="D140" s="14"/>
      <c r="E140" s="14"/>
      <c r="F140" s="14"/>
      <c r="G140" s="14"/>
      <c r="H140" s="14"/>
      <c r="I140" s="14"/>
      <c r="J140" s="14"/>
    </row>
    <row r="141" spans="1:10" x14ac:dyDescent="0.25">
      <c r="A141" s="14"/>
      <c r="B141" s="14"/>
      <c r="C141" s="14"/>
      <c r="D141" s="14"/>
      <c r="E141" s="14"/>
      <c r="F141" s="14"/>
      <c r="G141" s="14"/>
      <c r="H141" s="14"/>
      <c r="I141" s="14"/>
      <c r="J141" s="14"/>
    </row>
    <row r="142" spans="1:10" x14ac:dyDescent="0.25">
      <c r="A142" s="14"/>
      <c r="B142" s="14"/>
      <c r="C142" s="14"/>
      <c r="D142" s="14"/>
      <c r="E142" s="14"/>
      <c r="F142" s="14"/>
      <c r="G142" s="14"/>
      <c r="H142" s="14"/>
      <c r="I142" s="14"/>
      <c r="J142" s="14"/>
    </row>
    <row r="143" spans="1:10" x14ac:dyDescent="0.25">
      <c r="A143" s="14"/>
      <c r="B143" s="14"/>
      <c r="C143" s="14"/>
      <c r="D143" s="14"/>
      <c r="E143" s="14"/>
      <c r="F143" s="14"/>
      <c r="G143" s="14"/>
      <c r="H143" s="14"/>
      <c r="I143" s="14"/>
      <c r="J143" s="14"/>
    </row>
    <row r="144" spans="1:10" x14ac:dyDescent="0.25">
      <c r="A144" s="14"/>
      <c r="B144" s="14"/>
      <c r="C144" s="14"/>
      <c r="D144" s="14"/>
      <c r="E144" s="14"/>
      <c r="F144" s="14"/>
      <c r="G144" s="14"/>
      <c r="H144" s="14"/>
      <c r="I144" s="14"/>
      <c r="J144" s="14"/>
    </row>
    <row r="145" spans="1:10" x14ac:dyDescent="0.25">
      <c r="A145" s="14"/>
      <c r="B145" s="14"/>
      <c r="C145" s="14"/>
      <c r="D145" s="14"/>
      <c r="E145" s="14"/>
      <c r="F145" s="14"/>
      <c r="G145" s="14"/>
      <c r="H145" s="14"/>
      <c r="I145" s="14"/>
      <c r="J145" s="14"/>
    </row>
    <row r="146" spans="1:10" x14ac:dyDescent="0.25">
      <c r="A146" s="14"/>
      <c r="B146" s="14"/>
      <c r="C146" s="14"/>
      <c r="D146" s="14"/>
      <c r="E146" s="14"/>
      <c r="F146" s="14"/>
      <c r="G146" s="14"/>
      <c r="H146" s="14"/>
      <c r="I146" s="14"/>
      <c r="J146" s="14"/>
    </row>
    <row r="147" spans="1:10" x14ac:dyDescent="0.25">
      <c r="A147" s="14"/>
      <c r="B147" s="14"/>
      <c r="C147" s="14"/>
      <c r="D147" s="14"/>
      <c r="E147" s="14"/>
      <c r="F147" s="14"/>
      <c r="G147" s="14"/>
      <c r="H147" s="14"/>
      <c r="I147" s="14"/>
      <c r="J147" s="14"/>
    </row>
    <row r="148" spans="1:10" x14ac:dyDescent="0.25">
      <c r="A148" s="14"/>
      <c r="B148" s="14"/>
      <c r="C148" s="14"/>
      <c r="D148" s="14"/>
      <c r="E148" s="14"/>
      <c r="F148" s="14"/>
      <c r="G148" s="14"/>
      <c r="H148" s="14"/>
      <c r="I148" s="14"/>
      <c r="J148" s="14"/>
    </row>
    <row r="149" spans="1:10" x14ac:dyDescent="0.25">
      <c r="A149" s="14"/>
      <c r="B149" s="14"/>
      <c r="C149" s="14"/>
      <c r="D149" s="14"/>
      <c r="E149" s="14"/>
      <c r="F149" s="14"/>
      <c r="G149" s="14"/>
      <c r="H149" s="14"/>
      <c r="I149" s="14"/>
      <c r="J149" s="14"/>
    </row>
    <row r="150" spans="1:10" x14ac:dyDescent="0.25">
      <c r="A150" s="14"/>
      <c r="B150" s="14"/>
      <c r="C150" s="14"/>
      <c r="D150" s="14"/>
      <c r="E150" s="14"/>
      <c r="F150" s="14"/>
      <c r="G150" s="14"/>
      <c r="H150" s="14"/>
      <c r="I150" s="14"/>
      <c r="J150" s="14"/>
    </row>
    <row r="151" spans="1:10" x14ac:dyDescent="0.25">
      <c r="A151" s="14"/>
      <c r="B151" s="14"/>
      <c r="C151" s="14"/>
      <c r="D151" s="14"/>
      <c r="E151" s="14"/>
      <c r="F151" s="14"/>
      <c r="G151" s="14"/>
      <c r="H151" s="14"/>
      <c r="I151" s="14"/>
      <c r="J151" s="14"/>
    </row>
    <row r="152" spans="1:10" x14ac:dyDescent="0.25">
      <c r="A152" s="14"/>
      <c r="B152" s="14"/>
      <c r="C152" s="14"/>
      <c r="D152" s="14"/>
      <c r="E152" s="14"/>
      <c r="F152" s="14"/>
      <c r="G152" s="14"/>
      <c r="H152" s="14"/>
      <c r="I152" s="14"/>
      <c r="J152" s="14"/>
    </row>
    <row r="153" spans="1:10" x14ac:dyDescent="0.25">
      <c r="A153" s="14"/>
      <c r="B153" s="14"/>
      <c r="C153" s="14"/>
      <c r="D153" s="14"/>
      <c r="E153" s="14"/>
      <c r="F153" s="14"/>
      <c r="G153" s="14"/>
      <c r="H153" s="14"/>
      <c r="I153" s="14"/>
      <c r="J153" s="14"/>
    </row>
    <row r="154" spans="1:10" x14ac:dyDescent="0.25">
      <c r="A154" s="14"/>
      <c r="B154" s="14"/>
      <c r="C154" s="14"/>
      <c r="D154" s="14"/>
      <c r="E154" s="14"/>
      <c r="F154" s="14"/>
      <c r="G154" s="14"/>
      <c r="H154" s="14"/>
      <c r="I154" s="14"/>
      <c r="J154" s="14"/>
    </row>
    <row r="155" spans="1:10" x14ac:dyDescent="0.25">
      <c r="A155" s="14"/>
      <c r="B155" s="14"/>
      <c r="C155" s="14"/>
      <c r="D155" s="14"/>
      <c r="E155" s="14"/>
      <c r="F155" s="14"/>
      <c r="G155" s="14"/>
      <c r="H155" s="14"/>
      <c r="I155" s="14"/>
      <c r="J155" s="14"/>
    </row>
    <row r="156" spans="1:10" x14ac:dyDescent="0.25">
      <c r="A156" s="14"/>
      <c r="B156" s="14"/>
      <c r="C156" s="14"/>
      <c r="D156" s="14"/>
      <c r="E156" s="14"/>
      <c r="F156" s="14"/>
      <c r="G156" s="14"/>
      <c r="H156" s="14"/>
      <c r="I156" s="14"/>
      <c r="J156" s="14"/>
    </row>
    <row r="157" spans="1:10" x14ac:dyDescent="0.25">
      <c r="A157" s="14"/>
      <c r="B157" s="14"/>
      <c r="C157" s="14"/>
      <c r="D157" s="14"/>
      <c r="E157" s="14"/>
      <c r="F157" s="14"/>
      <c r="G157" s="14"/>
      <c r="H157" s="14"/>
      <c r="I157" s="14"/>
      <c r="J157" s="14"/>
    </row>
    <row r="158" spans="1:10" x14ac:dyDescent="0.25">
      <c r="A158" s="14"/>
      <c r="B158" s="14"/>
      <c r="C158" s="14"/>
      <c r="D158" s="14"/>
      <c r="E158" s="14"/>
      <c r="F158" s="14"/>
      <c r="G158" s="14"/>
      <c r="H158" s="14"/>
      <c r="I158" s="14"/>
      <c r="J158" s="14"/>
    </row>
    <row r="159" spans="1:10" x14ac:dyDescent="0.25">
      <c r="A159" s="14"/>
      <c r="B159" s="14"/>
      <c r="C159" s="14"/>
      <c r="D159" s="14"/>
      <c r="E159" s="14"/>
      <c r="F159" s="14"/>
      <c r="G159" s="14"/>
      <c r="H159" s="14"/>
      <c r="I159" s="14"/>
      <c r="J159" s="14"/>
    </row>
    <row r="160" spans="1:10" x14ac:dyDescent="0.25">
      <c r="A160" s="14"/>
      <c r="B160" s="14"/>
      <c r="C160" s="14"/>
      <c r="D160" s="14"/>
      <c r="E160" s="14"/>
      <c r="F160" s="14"/>
      <c r="G160" s="14"/>
      <c r="H160" s="14"/>
      <c r="I160" s="14"/>
      <c r="J160" s="14"/>
    </row>
    <row r="161" spans="1:10" x14ac:dyDescent="0.25">
      <c r="A161" s="14"/>
      <c r="B161" s="14"/>
      <c r="C161" s="14"/>
      <c r="D161" s="14"/>
      <c r="E161" s="14"/>
      <c r="F161" s="14"/>
      <c r="G161" s="14"/>
      <c r="H161" s="14"/>
      <c r="I161" s="14"/>
      <c r="J161" s="14"/>
    </row>
    <row r="162" spans="1:10" x14ac:dyDescent="0.25">
      <c r="A162" s="14"/>
      <c r="B162" s="14"/>
      <c r="C162" s="14"/>
      <c r="D162" s="14"/>
      <c r="E162" s="14"/>
      <c r="F162" s="14"/>
      <c r="G162" s="14"/>
      <c r="H162" s="14"/>
      <c r="I162" s="14"/>
      <c r="J162" s="14"/>
    </row>
    <row r="163" spans="1:10" x14ac:dyDescent="0.25">
      <c r="A163" s="14"/>
      <c r="B163" s="14"/>
      <c r="C163" s="14"/>
      <c r="D163" s="14"/>
      <c r="E163" s="14"/>
      <c r="F163" s="14"/>
      <c r="G163" s="14"/>
      <c r="H163" s="14"/>
      <c r="I163" s="14"/>
      <c r="J163" s="14"/>
    </row>
    <row r="164" spans="1:10" x14ac:dyDescent="0.25">
      <c r="A164" s="14"/>
      <c r="B164" s="14"/>
      <c r="C164" s="14"/>
      <c r="D164" s="14"/>
      <c r="E164" s="14"/>
      <c r="F164" s="14"/>
      <c r="G164" s="14"/>
      <c r="H164" s="14"/>
      <c r="I164" s="14"/>
      <c r="J164" s="14"/>
    </row>
    <row r="165" spans="1:10" x14ac:dyDescent="0.25">
      <c r="A165" s="14"/>
      <c r="B165" s="14"/>
      <c r="C165" s="14"/>
      <c r="D165" s="14"/>
      <c r="E165" s="14"/>
      <c r="F165" s="14"/>
      <c r="G165" s="14"/>
      <c r="H165" s="14"/>
      <c r="I165" s="14"/>
      <c r="J165" s="14"/>
    </row>
    <row r="166" spans="1:10" x14ac:dyDescent="0.25">
      <c r="A166" s="14"/>
      <c r="B166" s="14"/>
      <c r="C166" s="14"/>
      <c r="D166" s="14"/>
      <c r="E166" s="14"/>
      <c r="F166" s="14"/>
      <c r="G166" s="14"/>
      <c r="H166" s="14"/>
      <c r="I166" s="14"/>
      <c r="J166" s="14"/>
    </row>
    <row r="167" spans="1:10" x14ac:dyDescent="0.25">
      <c r="A167" s="14"/>
      <c r="B167" s="14"/>
      <c r="C167" s="14"/>
      <c r="D167" s="14"/>
      <c r="E167" s="14"/>
      <c r="F167" s="14"/>
      <c r="G167" s="14"/>
      <c r="H167" s="14"/>
      <c r="I167" s="14"/>
      <c r="J167" s="14"/>
    </row>
    <row r="168" spans="1:10" x14ac:dyDescent="0.25">
      <c r="A168" s="14"/>
      <c r="B168" s="14"/>
      <c r="C168" s="14"/>
      <c r="D168" s="14"/>
      <c r="E168" s="14"/>
      <c r="F168" s="14"/>
      <c r="G168" s="14"/>
      <c r="H168" s="14"/>
      <c r="I168" s="14"/>
      <c r="J168" s="14"/>
    </row>
    <row r="169" spans="1:10" x14ac:dyDescent="0.25">
      <c r="A169" s="14"/>
      <c r="B169" s="14"/>
      <c r="C169" s="14"/>
      <c r="D169" s="14"/>
      <c r="E169" s="14"/>
      <c r="F169" s="14"/>
      <c r="G169" s="14"/>
      <c r="H169" s="14"/>
      <c r="I169" s="14"/>
      <c r="J169" s="14"/>
    </row>
    <row r="170" spans="1:10" x14ac:dyDescent="0.25">
      <c r="A170" s="14"/>
      <c r="B170" s="14"/>
      <c r="C170" s="14"/>
      <c r="D170" s="14"/>
      <c r="E170" s="14"/>
      <c r="F170" s="14"/>
      <c r="G170" s="14"/>
      <c r="H170" s="14"/>
      <c r="I170" s="14"/>
      <c r="J170" s="14"/>
    </row>
    <row r="171" spans="1:10" x14ac:dyDescent="0.25">
      <c r="A171" s="14"/>
      <c r="B171" s="14"/>
      <c r="C171" s="14"/>
      <c r="D171" s="14"/>
      <c r="E171" s="14"/>
      <c r="F171" s="14"/>
      <c r="G171" s="14"/>
      <c r="H171" s="14"/>
      <c r="I171" s="14"/>
      <c r="J171" s="14"/>
    </row>
    <row r="172" spans="1:10" x14ac:dyDescent="0.25">
      <c r="A172" s="14"/>
      <c r="B172" s="14"/>
      <c r="C172" s="14"/>
      <c r="D172" s="14"/>
      <c r="E172" s="14"/>
      <c r="F172" s="14"/>
      <c r="G172" s="14"/>
      <c r="H172" s="14"/>
      <c r="I172" s="14"/>
      <c r="J172" s="14"/>
    </row>
    <row r="173" spans="1:10" x14ac:dyDescent="0.25">
      <c r="A173" s="14"/>
      <c r="B173" s="14"/>
      <c r="C173" s="14"/>
      <c r="D173" s="14"/>
      <c r="E173" s="14"/>
      <c r="F173" s="14"/>
      <c r="G173" s="14"/>
      <c r="H173" s="14"/>
      <c r="I173" s="14"/>
      <c r="J173" s="14"/>
    </row>
    <row r="174" spans="1:10" x14ac:dyDescent="0.25">
      <c r="A174" s="14"/>
      <c r="B174" s="14"/>
      <c r="C174" s="14"/>
      <c r="D174" s="14"/>
      <c r="E174" s="14"/>
      <c r="F174" s="14"/>
      <c r="G174" s="14"/>
      <c r="H174" s="14"/>
      <c r="I174" s="14"/>
      <c r="J174" s="14"/>
    </row>
    <row r="175" spans="1:10" x14ac:dyDescent="0.25">
      <c r="A175" s="14"/>
      <c r="B175" s="14"/>
      <c r="C175" s="14"/>
      <c r="D175" s="14"/>
      <c r="E175" s="14"/>
      <c r="F175" s="14"/>
      <c r="G175" s="14"/>
      <c r="H175" s="14"/>
      <c r="I175" s="14"/>
      <c r="J175" s="14"/>
    </row>
    <row r="176" spans="1:10" x14ac:dyDescent="0.25">
      <c r="A176" s="14"/>
      <c r="B176" s="14"/>
      <c r="C176" s="14"/>
      <c r="D176" s="14"/>
      <c r="E176" s="14"/>
      <c r="F176" s="14"/>
      <c r="G176" s="14"/>
      <c r="H176" s="14"/>
      <c r="I176" s="14"/>
      <c r="J176" s="14"/>
    </row>
    <row r="177" spans="1:10" x14ac:dyDescent="0.25">
      <c r="A177" s="14"/>
      <c r="B177" s="14"/>
      <c r="C177" s="14"/>
      <c r="D177" s="14"/>
      <c r="E177" s="14"/>
      <c r="F177" s="14"/>
      <c r="G177" s="14"/>
      <c r="H177" s="14"/>
      <c r="I177" s="14"/>
      <c r="J177" s="14"/>
    </row>
    <row r="178" spans="1:10" x14ac:dyDescent="0.25">
      <c r="A178" s="14"/>
      <c r="B178" s="14"/>
      <c r="C178" s="14"/>
      <c r="D178" s="14"/>
      <c r="E178" s="14"/>
      <c r="F178" s="14"/>
      <c r="G178" s="14"/>
      <c r="H178" s="14"/>
      <c r="I178" s="14"/>
      <c r="J178" s="14"/>
    </row>
    <row r="179" spans="1:10" x14ac:dyDescent="0.25">
      <c r="A179" s="14"/>
      <c r="B179" s="14"/>
      <c r="C179" s="14"/>
      <c r="D179" s="14"/>
      <c r="E179" s="14"/>
      <c r="F179" s="14"/>
      <c r="G179" s="14"/>
      <c r="H179" s="14"/>
      <c r="I179" s="14"/>
      <c r="J179" s="14"/>
    </row>
    <row r="180" spans="1:10" x14ac:dyDescent="0.25">
      <c r="A180" s="14"/>
      <c r="B180" s="14"/>
      <c r="C180" s="14"/>
      <c r="D180" s="14"/>
      <c r="E180" s="14"/>
      <c r="F180" s="14"/>
      <c r="G180" s="14"/>
      <c r="H180" s="14"/>
      <c r="I180" s="14"/>
      <c r="J180" s="14"/>
    </row>
    <row r="181" spans="1:10" x14ac:dyDescent="0.25">
      <c r="A181" s="14"/>
      <c r="B181" s="14"/>
      <c r="C181" s="14"/>
      <c r="D181" s="14"/>
      <c r="E181" s="14"/>
      <c r="F181" s="14"/>
      <c r="G181" s="14"/>
      <c r="H181" s="14"/>
      <c r="I181" s="14"/>
      <c r="J181" s="14"/>
    </row>
    <row r="182" spans="1:10" x14ac:dyDescent="0.25">
      <c r="A182" s="14"/>
      <c r="B182" s="14"/>
      <c r="C182" s="14"/>
      <c r="D182" s="14"/>
      <c r="E182" s="14"/>
      <c r="F182" s="14"/>
      <c r="G182" s="14"/>
      <c r="H182" s="14"/>
      <c r="I182" s="14"/>
      <c r="J182" s="14"/>
    </row>
    <row r="183" spans="1:10" x14ac:dyDescent="0.25">
      <c r="A183" s="14"/>
      <c r="B183" s="14"/>
      <c r="C183" s="14"/>
      <c r="D183" s="14"/>
      <c r="E183" s="14"/>
      <c r="F183" s="14"/>
      <c r="G183" s="14"/>
      <c r="H183" s="14"/>
      <c r="I183" s="14"/>
      <c r="J183" s="14"/>
    </row>
    <row r="184" spans="1:10" x14ac:dyDescent="0.25">
      <c r="A184" s="14"/>
      <c r="B184" s="14"/>
      <c r="C184" s="14"/>
      <c r="D184" s="14"/>
      <c r="E184" s="14"/>
      <c r="F184" s="14"/>
      <c r="G184" s="14"/>
      <c r="H184" s="14"/>
      <c r="I184" s="14"/>
      <c r="J184" s="14"/>
    </row>
    <row r="185" spans="1:10" x14ac:dyDescent="0.25">
      <c r="A185" s="14"/>
      <c r="B185" s="14"/>
      <c r="C185" s="14"/>
      <c r="D185" s="14"/>
      <c r="E185" s="14"/>
      <c r="F185" s="14"/>
      <c r="G185" s="14"/>
      <c r="H185" s="14"/>
      <c r="I185" s="14"/>
      <c r="J185" s="14"/>
    </row>
    <row r="186" spans="1:10" x14ac:dyDescent="0.25">
      <c r="A186" s="14"/>
      <c r="B186" s="14"/>
      <c r="C186" s="14"/>
      <c r="D186" s="14"/>
      <c r="E186" s="14"/>
      <c r="F186" s="14"/>
      <c r="G186" s="14"/>
      <c r="H186" s="14"/>
      <c r="I186" s="14"/>
      <c r="J186" s="14"/>
    </row>
    <row r="187" spans="1:10" x14ac:dyDescent="0.25">
      <c r="A187" s="14"/>
      <c r="B187" s="14"/>
      <c r="C187" s="14"/>
      <c r="D187" s="14"/>
      <c r="E187" s="14"/>
      <c r="F187" s="14"/>
      <c r="G187" s="14"/>
      <c r="H187" s="14"/>
      <c r="I187" s="14"/>
      <c r="J187" s="14"/>
    </row>
    <row r="188" spans="1:10" x14ac:dyDescent="0.25">
      <c r="A188" s="14"/>
      <c r="B188" s="14"/>
      <c r="C188" s="14"/>
      <c r="D188" s="14"/>
      <c r="E188" s="14"/>
      <c r="F188" s="14"/>
      <c r="G188" s="14"/>
      <c r="H188" s="14"/>
      <c r="I188" s="14"/>
      <c r="J188" s="14"/>
    </row>
    <row r="189" spans="1:10" x14ac:dyDescent="0.25">
      <c r="A189" s="14"/>
      <c r="B189" s="14"/>
      <c r="C189" s="14"/>
      <c r="D189" s="14"/>
      <c r="E189" s="14"/>
      <c r="F189" s="14"/>
      <c r="G189" s="14"/>
      <c r="H189" s="14"/>
      <c r="I189" s="14"/>
      <c r="J189" s="14"/>
    </row>
    <row r="190" spans="1:10" x14ac:dyDescent="0.25">
      <c r="A190" s="14"/>
      <c r="B190" s="14"/>
      <c r="C190" s="14"/>
      <c r="D190" s="14"/>
      <c r="E190" s="14"/>
      <c r="F190" s="14"/>
      <c r="G190" s="14"/>
      <c r="H190" s="14"/>
      <c r="I190" s="14"/>
      <c r="J190" s="14"/>
    </row>
    <row r="191" spans="1:10" x14ac:dyDescent="0.25">
      <c r="A191" s="14"/>
      <c r="B191" s="14"/>
      <c r="C191" s="14"/>
      <c r="D191" s="14"/>
      <c r="E191" s="14"/>
      <c r="F191" s="14"/>
      <c r="G191" s="14"/>
      <c r="H191" s="14"/>
      <c r="I191" s="14"/>
      <c r="J191" s="14"/>
    </row>
    <row r="192" spans="1:10" x14ac:dyDescent="0.25">
      <c r="A192" s="14"/>
      <c r="B192" s="14"/>
      <c r="C192" s="14"/>
      <c r="D192" s="14"/>
      <c r="E192" s="14"/>
      <c r="F192" s="14"/>
      <c r="G192" s="14"/>
      <c r="H192" s="14"/>
      <c r="I192" s="14"/>
      <c r="J192" s="14"/>
    </row>
  </sheetData>
  <phoneticPr fontId="23" type="noConversion"/>
  <pageMargins left="0.75" right="0.2" top="0.75" bottom="1" header="0.3" footer="0.3"/>
  <pageSetup scale="75" orientation="portrait" r:id="rId1"/>
  <ignoredErrors>
    <ignoredError sqref="G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197"/>
  <sheetViews>
    <sheetView workbookViewId="0">
      <selection activeCell="L15" sqref="L15"/>
    </sheetView>
  </sheetViews>
  <sheetFormatPr defaultColWidth="9.140625" defaultRowHeight="15" x14ac:dyDescent="0.25"/>
  <cols>
    <col min="1" max="1" width="44.28515625" style="11" customWidth="1"/>
    <col min="2" max="2" width="0.7109375" style="11" customWidth="1"/>
    <col min="3" max="3" width="12.28515625" style="11" customWidth="1"/>
    <col min="4" max="4" width="12.140625" style="11" customWidth="1"/>
    <col min="5" max="6" width="12.5703125" style="11" bestFit="1" customWidth="1"/>
    <col min="7" max="7" width="12.28515625" style="11" customWidth="1"/>
    <col min="8" max="8" width="12.85546875" style="11" customWidth="1"/>
    <col min="9" max="16384" width="9.140625" style="11"/>
  </cols>
  <sheetData>
    <row r="1" spans="1:74" x14ac:dyDescent="0.25">
      <c r="D1" s="82"/>
      <c r="E1" s="82"/>
      <c r="F1" s="82"/>
      <c r="H1" s="14" t="s">
        <v>177</v>
      </c>
      <c r="I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74" ht="16.5" x14ac:dyDescent="0.25">
      <c r="A2" s="62" t="s">
        <v>102</v>
      </c>
      <c r="C2" s="73"/>
      <c r="E2" s="63"/>
      <c r="H2" s="14" t="s">
        <v>125</v>
      </c>
      <c r="I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74" ht="16.5" x14ac:dyDescent="0.25">
      <c r="A3" s="62" t="s">
        <v>151</v>
      </c>
      <c r="B3" s="14"/>
      <c r="C3" s="14"/>
      <c r="D3" s="14"/>
      <c r="E3" s="14"/>
      <c r="F3" s="14"/>
      <c r="G3" s="14"/>
      <c r="H3" s="14"/>
      <c r="I3" s="5"/>
      <c r="J3" s="5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</row>
    <row r="4" spans="1:74" x14ac:dyDescent="0.25">
      <c r="B4" s="14"/>
      <c r="C4" s="14"/>
      <c r="D4" s="14"/>
      <c r="E4" s="14"/>
      <c r="F4" s="14"/>
      <c r="G4" s="14"/>
      <c r="H4" s="14"/>
      <c r="I4" s="5"/>
      <c r="J4" s="5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</row>
    <row r="5" spans="1:74" ht="16.5" x14ac:dyDescent="0.25">
      <c r="A5" s="62"/>
      <c r="B5" s="14"/>
      <c r="C5" s="14"/>
      <c r="D5" s="14"/>
      <c r="E5" s="14"/>
      <c r="F5" s="14"/>
      <c r="G5" s="14"/>
      <c r="H5" s="14"/>
      <c r="I5" s="5"/>
      <c r="J5" s="5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</row>
    <row r="6" spans="1:74" ht="16.5" x14ac:dyDescent="0.25">
      <c r="A6" s="62"/>
      <c r="B6" s="14"/>
      <c r="C6" s="14"/>
      <c r="D6" s="14"/>
      <c r="E6" s="14"/>
      <c r="F6" s="14"/>
      <c r="G6" s="14"/>
      <c r="H6" s="14"/>
      <c r="I6" s="5"/>
      <c r="J6" s="5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</row>
    <row r="7" spans="1:74" x14ac:dyDescent="0.25">
      <c r="B7" s="14"/>
      <c r="C7" s="14"/>
      <c r="D7" s="14"/>
      <c r="E7" s="14"/>
      <c r="F7" s="14"/>
      <c r="G7" s="14"/>
      <c r="H7" s="15" t="s">
        <v>56</v>
      </c>
      <c r="I7" s="5"/>
      <c r="J7" s="5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</row>
    <row r="8" spans="1:74" ht="15.75" x14ac:dyDescent="0.25">
      <c r="A8" s="64" t="s">
        <v>86</v>
      </c>
      <c r="B8" s="17"/>
      <c r="C8" s="110">
        <v>2020</v>
      </c>
      <c r="D8" s="110">
        <v>2019</v>
      </c>
      <c r="E8" s="110">
        <v>2018</v>
      </c>
      <c r="F8" s="110">
        <v>2017</v>
      </c>
      <c r="G8" s="110">
        <v>2016</v>
      </c>
      <c r="H8" s="110" t="s">
        <v>39</v>
      </c>
      <c r="I8" s="5"/>
      <c r="J8" s="5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</row>
    <row r="9" spans="1:74" x14ac:dyDescent="0.25">
      <c r="A9" s="35"/>
      <c r="B9" s="14"/>
      <c r="C9" s="14"/>
      <c r="D9" s="14"/>
      <c r="E9" s="14"/>
      <c r="F9" s="14"/>
      <c r="G9" s="14"/>
      <c r="H9" s="14"/>
      <c r="I9" s="5"/>
      <c r="J9" s="5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</row>
    <row r="10" spans="1:74" x14ac:dyDescent="0.25">
      <c r="A10" s="65" t="s">
        <v>68</v>
      </c>
      <c r="B10" s="17"/>
      <c r="C10" s="17"/>
      <c r="D10" s="17"/>
      <c r="E10" s="17"/>
      <c r="F10" s="17"/>
      <c r="G10" s="17"/>
      <c r="H10" s="123"/>
      <c r="I10" s="5"/>
      <c r="J10" s="5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</row>
    <row r="11" spans="1:74" x14ac:dyDescent="0.25">
      <c r="A11" s="5" t="s">
        <v>12</v>
      </c>
      <c r="B11" s="5"/>
      <c r="C11" s="19">
        <f>'Not an Attach.-Proxy Co. Detail'!B32</f>
        <v>5149304.1428571427</v>
      </c>
      <c r="D11" s="19">
        <f>'Not an Attach.-Proxy Co. Detail'!C32</f>
        <v>4381382.2857142854</v>
      </c>
      <c r="E11" s="22">
        <f>'Not an Attach.-Proxy Co. Detail'!D32</f>
        <v>3818401.7142857141</v>
      </c>
      <c r="F11" s="22">
        <f>'Not an Attach.-Proxy Co. Detail'!E32</f>
        <v>3413942.8571428573</v>
      </c>
      <c r="G11" s="22">
        <f>'Not an Attach.-Proxy Co. Detail'!F32</f>
        <v>3099940.8571428573</v>
      </c>
      <c r="H11" s="113">
        <f>AVERAGE(C11:G11)</f>
        <v>3972594.3714285716</v>
      </c>
      <c r="I11" s="5"/>
      <c r="J11" s="5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</row>
    <row r="12" spans="1:74" x14ac:dyDescent="0.25">
      <c r="A12" s="5" t="s">
        <v>15</v>
      </c>
      <c r="B12" s="14"/>
      <c r="C12" s="19">
        <f>'Not an Attach.-Proxy Co. Detail'!B33</f>
        <v>366554.14285714284</v>
      </c>
      <c r="D12" s="19">
        <f>'Not an Attach.-Proxy Co. Detail'!C33</f>
        <v>532402</v>
      </c>
      <c r="E12" s="19">
        <f>'Not an Attach.-Proxy Co. Detail'!D33</f>
        <v>555993.28571428568</v>
      </c>
      <c r="F12" s="19">
        <f>'Not an Attach.-Proxy Co. Detail'!E33</f>
        <v>373513.28571428574</v>
      </c>
      <c r="G12" s="19">
        <f>'Not an Attach.-Proxy Co. Detail'!F33</f>
        <v>389724.14285714284</v>
      </c>
      <c r="H12" s="113">
        <f>AVERAGE(C12:G12)</f>
        <v>443637.37142857147</v>
      </c>
      <c r="I12" s="5"/>
      <c r="J12" s="5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</row>
    <row r="13" spans="1:74" x14ac:dyDescent="0.25">
      <c r="A13" s="6" t="s">
        <v>13</v>
      </c>
      <c r="B13" s="6"/>
      <c r="C13" s="142">
        <f t="shared" ref="C13" si="0">C11+C12</f>
        <v>5515858.2857142854</v>
      </c>
      <c r="D13" s="142">
        <f t="shared" ref="D13:G13" si="1">D11+D12</f>
        <v>4913784.2857142854</v>
      </c>
      <c r="E13" s="114">
        <f t="shared" si="1"/>
        <v>4374395</v>
      </c>
      <c r="F13" s="114">
        <f t="shared" si="1"/>
        <v>3787456.1428571432</v>
      </c>
      <c r="G13" s="114">
        <f t="shared" si="1"/>
        <v>3489665</v>
      </c>
      <c r="H13" s="114">
        <f>H11+H12</f>
        <v>4416231.7428571433</v>
      </c>
      <c r="I13" s="5"/>
      <c r="J13" s="2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</row>
    <row r="14" spans="1:74" x14ac:dyDescent="0.25">
      <c r="A14" s="5"/>
      <c r="B14" s="5"/>
      <c r="C14" s="5"/>
      <c r="D14" s="5"/>
      <c r="E14" s="5"/>
      <c r="F14" s="5"/>
      <c r="G14" s="5"/>
      <c r="H14" s="143"/>
      <c r="I14" s="5"/>
      <c r="J14" s="5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</row>
    <row r="15" spans="1:74" x14ac:dyDescent="0.25">
      <c r="A15" s="14"/>
      <c r="B15" s="14"/>
      <c r="C15" s="14"/>
      <c r="D15" s="14"/>
      <c r="E15" s="14"/>
      <c r="F15" s="14"/>
      <c r="G15" s="14"/>
      <c r="H15" s="14"/>
      <c r="I15" s="5"/>
      <c r="J15" s="5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</row>
    <row r="16" spans="1:74" x14ac:dyDescent="0.25">
      <c r="A16" s="35" t="s">
        <v>65</v>
      </c>
      <c r="B16" s="14"/>
      <c r="C16" s="14"/>
      <c r="D16" s="14"/>
      <c r="E16" s="14"/>
      <c r="F16" s="14"/>
      <c r="G16" s="14"/>
      <c r="H16" s="14"/>
      <c r="I16" s="5"/>
      <c r="J16" s="5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</row>
    <row r="17" spans="1:74" x14ac:dyDescent="0.25">
      <c r="A17" s="35" t="s">
        <v>75</v>
      </c>
      <c r="B17" s="14"/>
      <c r="C17" s="14"/>
      <c r="D17" s="14"/>
      <c r="E17" s="14"/>
      <c r="F17" s="14"/>
      <c r="G17" s="14"/>
      <c r="H17" s="14"/>
      <c r="I17" s="5"/>
      <c r="J17" s="5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</row>
    <row r="18" spans="1:74" x14ac:dyDescent="0.25">
      <c r="A18" s="6" t="s">
        <v>94</v>
      </c>
      <c r="B18" s="6"/>
      <c r="C18" s="115">
        <f>'Not an Attach.-Proxy Co. Detail'!B89</f>
        <v>9.5285714285714279E-2</v>
      </c>
      <c r="D18" s="115">
        <f>'Not an Attach.-Proxy Co. Detail'!C89</f>
        <v>8.7999999999999981E-2</v>
      </c>
      <c r="E18" s="115">
        <f>'Not an Attach.-Proxy Co. Detail'!D89</f>
        <v>9.5571428571428557E-2</v>
      </c>
      <c r="F18" s="115">
        <f>'Not an Attach.-Proxy Co. Detail'!E89</f>
        <v>9.4142857142857125E-2</v>
      </c>
      <c r="G18" s="115">
        <f>'Not an Attach.-Proxy Co. Detail'!F89</f>
        <v>9.1428571428571428E-2</v>
      </c>
      <c r="H18" s="115">
        <f>ROUND(AVERAGE(C18:G18),3)</f>
        <v>9.2999999999999999E-2</v>
      </c>
      <c r="I18" s="5"/>
      <c r="J18" s="2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</row>
    <row r="19" spans="1:74" x14ac:dyDescent="0.25">
      <c r="A19" s="5"/>
      <c r="B19" s="5"/>
      <c r="C19" s="5"/>
      <c r="D19" s="5"/>
      <c r="E19" s="5"/>
      <c r="F19" s="5"/>
      <c r="G19" s="5"/>
      <c r="H19" s="18"/>
      <c r="I19" s="5"/>
      <c r="J19" s="5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</row>
    <row r="20" spans="1:74" x14ac:dyDescent="0.25">
      <c r="A20" s="14"/>
      <c r="B20" s="14"/>
      <c r="C20" s="14"/>
      <c r="D20" s="14"/>
      <c r="E20" s="136" t="s">
        <v>39</v>
      </c>
      <c r="F20" s="137" t="s">
        <v>40</v>
      </c>
      <c r="G20" s="138" t="s">
        <v>41</v>
      </c>
      <c r="H20" s="14"/>
      <c r="I20" s="5"/>
      <c r="J20" s="5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</row>
    <row r="21" spans="1:74" x14ac:dyDescent="0.25">
      <c r="A21" s="6" t="s">
        <v>94</v>
      </c>
      <c r="B21" s="6"/>
      <c r="C21" s="6"/>
      <c r="D21" s="6"/>
      <c r="E21" s="139">
        <f>'Not an Attach.-Proxy Co. Detail'!F93</f>
        <v>9.289E-2</v>
      </c>
      <c r="F21" s="144">
        <f>'Not an Attach.-Proxy Co. Detail'!G93</f>
        <v>6.3899999999999998E-3</v>
      </c>
      <c r="G21" s="141">
        <f>'Not an Attach.-Proxy Co. Detail'!H93</f>
        <v>7.102E-2</v>
      </c>
      <c r="H21" s="14"/>
      <c r="I21" s="5"/>
      <c r="J21" s="2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</row>
    <row r="22" spans="1:74" ht="16.5" x14ac:dyDescent="0.25">
      <c r="A22" s="62"/>
      <c r="B22" s="14"/>
      <c r="C22" s="14"/>
      <c r="D22" s="14"/>
      <c r="E22" s="14"/>
      <c r="F22" s="14"/>
      <c r="G22" s="14"/>
      <c r="H22" s="14"/>
      <c r="I22" s="5"/>
      <c r="J22" s="5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</row>
    <row r="23" spans="1:74" x14ac:dyDescent="0.25">
      <c r="A23" s="14"/>
      <c r="B23" s="14"/>
      <c r="C23" s="14"/>
      <c r="D23" s="14"/>
      <c r="E23" s="14"/>
      <c r="F23" s="14"/>
      <c r="G23" s="14"/>
      <c r="H23" s="15" t="s">
        <v>56</v>
      </c>
      <c r="I23" s="5"/>
      <c r="J23" s="5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</row>
    <row r="24" spans="1:74" ht="15.75" x14ac:dyDescent="0.25">
      <c r="A24" s="64" t="s">
        <v>69</v>
      </c>
      <c r="B24" s="17"/>
      <c r="C24" s="110">
        <v>2020</v>
      </c>
      <c r="D24" s="110">
        <v>2019</v>
      </c>
      <c r="E24" s="110">
        <v>2018</v>
      </c>
      <c r="F24" s="110">
        <v>2017</v>
      </c>
      <c r="G24" s="110">
        <f>G8</f>
        <v>2016</v>
      </c>
      <c r="H24" s="110" t="s">
        <v>39</v>
      </c>
      <c r="I24" s="5"/>
      <c r="J24" s="5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</row>
    <row r="25" spans="1:74" x14ac:dyDescent="0.25">
      <c r="A25" s="14"/>
      <c r="B25" s="14"/>
      <c r="C25" s="14"/>
      <c r="D25" s="14"/>
      <c r="E25" s="14"/>
      <c r="F25" s="14"/>
      <c r="G25" s="14"/>
      <c r="H25" s="14"/>
      <c r="I25" s="5"/>
      <c r="J25" s="5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</row>
    <row r="26" spans="1:74" x14ac:dyDescent="0.25">
      <c r="A26" s="65" t="s">
        <v>63</v>
      </c>
      <c r="B26" s="17"/>
      <c r="C26" s="17"/>
      <c r="D26" s="17"/>
      <c r="E26" s="17"/>
      <c r="F26" s="17"/>
      <c r="G26" s="17"/>
      <c r="H26" s="17"/>
      <c r="I26" s="5"/>
      <c r="J26" s="5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</row>
    <row r="27" spans="1:74" x14ac:dyDescent="0.25">
      <c r="A27" s="14" t="s">
        <v>0</v>
      </c>
      <c r="B27" s="14"/>
      <c r="C27" s="116">
        <f>'Attach. 3, p3'!C53</f>
        <v>0.49297999999999997</v>
      </c>
      <c r="D27" s="116">
        <f>'Attach. 3, p3'!D53</f>
        <v>0.46154000000000001</v>
      </c>
      <c r="E27" s="116">
        <f>'Attach. 3, p3'!E53</f>
        <v>0.45867999999999998</v>
      </c>
      <c r="F27" s="116">
        <f>'Attach. 3, p3'!F53</f>
        <v>0.45752999999999999</v>
      </c>
      <c r="G27" s="116">
        <f>'Attach. 3, p3'!G53</f>
        <v>0.43435000000000001</v>
      </c>
      <c r="H27" s="117">
        <f>ROUND(AVERAGE(C27:G27),5)</f>
        <v>0.46101999999999999</v>
      </c>
      <c r="I27" s="5"/>
      <c r="J27" s="5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</row>
    <row r="28" spans="1:74" x14ac:dyDescent="0.25">
      <c r="A28" s="14" t="s">
        <v>3</v>
      </c>
      <c r="B28" s="14"/>
      <c r="C28" s="116">
        <f>'Attach. 3, p3'!C54</f>
        <v>7.0000000000000001E-3</v>
      </c>
      <c r="D28" s="116">
        <f>'Attach. 3, p3'!D54</f>
        <v>7.43E-3</v>
      </c>
      <c r="E28" s="116">
        <f>'Attach. 3, p3'!E54</f>
        <v>0</v>
      </c>
      <c r="F28" s="116">
        <f>'Attach. 3, p3'!F54</f>
        <v>0</v>
      </c>
      <c r="G28" s="116">
        <f>'Attach. 3, p3'!G54</f>
        <v>0</v>
      </c>
      <c r="H28" s="117">
        <f t="shared" ref="H28:H29" si="2">ROUND(AVERAGE(C28:G28),5)</f>
        <v>2.8900000000000002E-3</v>
      </c>
      <c r="I28" s="5"/>
      <c r="J28" s="5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</row>
    <row r="29" spans="1:74" x14ac:dyDescent="0.25">
      <c r="A29" s="14" t="s">
        <v>74</v>
      </c>
      <c r="B29" s="14"/>
      <c r="C29" s="116">
        <f>'Attach. 3, p3'!C55</f>
        <v>0.50002000000000002</v>
      </c>
      <c r="D29" s="116">
        <f>'Attach. 3, p3'!D55</f>
        <v>0.53103</v>
      </c>
      <c r="E29" s="116">
        <f>'Attach. 3, p3'!E55</f>
        <v>0.54132000000000002</v>
      </c>
      <c r="F29" s="116">
        <f>'Attach. 3, p3'!F55</f>
        <v>0.54247000000000001</v>
      </c>
      <c r="G29" s="116">
        <f>'Attach. 3, p3'!G55</f>
        <v>0.56564999999999999</v>
      </c>
      <c r="H29" s="117">
        <f t="shared" si="2"/>
        <v>0.53610000000000002</v>
      </c>
      <c r="I29" s="5"/>
      <c r="J29" s="5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</row>
    <row r="30" spans="1:74" x14ac:dyDescent="0.25">
      <c r="A30" s="6" t="s">
        <v>67</v>
      </c>
      <c r="B30" s="6"/>
      <c r="C30" s="109">
        <f t="shared" ref="C30" si="3">ROUND(C27+C28+C29,3)</f>
        <v>1</v>
      </c>
      <c r="D30" s="109">
        <f t="shared" ref="D30:G30" si="4">ROUND(D27+D28+D29,3)</f>
        <v>1</v>
      </c>
      <c r="E30" s="109">
        <f t="shared" si="4"/>
        <v>1</v>
      </c>
      <c r="F30" s="109">
        <f t="shared" si="4"/>
        <v>1</v>
      </c>
      <c r="G30" s="109">
        <f t="shared" si="4"/>
        <v>1</v>
      </c>
      <c r="H30" s="109">
        <f>ROUND(H27+H28+H29,3)</f>
        <v>1</v>
      </c>
      <c r="I30" s="5"/>
      <c r="J30" s="2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</row>
    <row r="31" spans="1:74" x14ac:dyDescent="0.25">
      <c r="A31" s="14"/>
      <c r="B31" s="14"/>
      <c r="C31" s="14"/>
      <c r="D31" s="14"/>
      <c r="E31" s="14"/>
      <c r="F31" s="14"/>
      <c r="G31" s="14"/>
      <c r="H31" s="14"/>
      <c r="I31" s="5"/>
      <c r="J31" s="5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</row>
    <row r="32" spans="1:74" x14ac:dyDescent="0.25">
      <c r="A32" s="5"/>
      <c r="B32" s="5"/>
      <c r="C32" s="5"/>
      <c r="D32" s="5"/>
      <c r="E32" s="5"/>
      <c r="F32" s="5"/>
      <c r="G32" s="5"/>
      <c r="H32" s="20"/>
      <c r="I32" s="5"/>
      <c r="J32" s="5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</row>
    <row r="33" spans="1:74" x14ac:dyDescent="0.25">
      <c r="A33" s="65" t="s">
        <v>70</v>
      </c>
      <c r="B33" s="17"/>
      <c r="C33" s="17"/>
      <c r="D33" s="17"/>
      <c r="E33" s="17"/>
      <c r="F33" s="17"/>
      <c r="G33" s="17"/>
      <c r="H33" s="17"/>
      <c r="I33" s="5"/>
      <c r="J33" s="5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</row>
    <row r="34" spans="1:74" x14ac:dyDescent="0.25">
      <c r="A34" s="14" t="s">
        <v>8</v>
      </c>
      <c r="B34" s="14"/>
      <c r="C34" s="116">
        <f>'Attach. 3, p4'!C53</f>
        <v>0.53595000000000004</v>
      </c>
      <c r="D34" s="116">
        <f>'Attach. 3, p4'!D53</f>
        <v>0.51995000000000002</v>
      </c>
      <c r="E34" s="116">
        <f>'Attach. 3, p4'!E53</f>
        <v>0.52378000000000002</v>
      </c>
      <c r="F34" s="116">
        <f>'Attach. 3, p4'!F53</f>
        <v>0.51585000000000003</v>
      </c>
      <c r="G34" s="116">
        <f>'Attach. 3, p4'!G53</f>
        <v>0.49186000000000002</v>
      </c>
      <c r="H34" s="117">
        <f>ROUND(AVERAGE(C34:G34),5)</f>
        <v>0.51748000000000005</v>
      </c>
      <c r="I34" s="5"/>
      <c r="J34" s="5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</row>
    <row r="35" spans="1:74" x14ac:dyDescent="0.25">
      <c r="A35" s="14" t="s">
        <v>3</v>
      </c>
      <c r="B35" s="14"/>
      <c r="C35" s="116">
        <f>'Attach. 3, p4'!C54</f>
        <v>6.0000000000000001E-3</v>
      </c>
      <c r="D35" s="116">
        <f>'Attach. 3, p4'!D54</f>
        <v>6.2899999999999996E-3</v>
      </c>
      <c r="E35" s="116">
        <f>'Attach. 3, p4'!E54</f>
        <v>0</v>
      </c>
      <c r="F35" s="116">
        <f>'Attach. 3, p4'!F54</f>
        <v>0</v>
      </c>
      <c r="G35" s="116">
        <f>'Attach. 3, p4'!G54</f>
        <v>0</v>
      </c>
      <c r="H35" s="117">
        <f t="shared" ref="H35:H36" si="5">ROUND(AVERAGE(C35:G35),5)</f>
        <v>2.4599999999999999E-3</v>
      </c>
      <c r="I35" s="5"/>
      <c r="J35" s="5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</row>
    <row r="36" spans="1:74" x14ac:dyDescent="0.25">
      <c r="A36" s="14" t="s">
        <v>74</v>
      </c>
      <c r="B36" s="14"/>
      <c r="C36" s="116">
        <f>'Attach. 3, p4'!C55</f>
        <v>0.45818999999999999</v>
      </c>
      <c r="D36" s="116">
        <f>'Attach. 3, p4'!D55</f>
        <v>0.47376000000000001</v>
      </c>
      <c r="E36" s="116">
        <f>'Attach. 3, p4'!E55</f>
        <v>0.47621999999999998</v>
      </c>
      <c r="F36" s="116">
        <f>'Attach. 3, p4'!F55</f>
        <v>0.48415000000000002</v>
      </c>
      <c r="G36" s="116">
        <f>'Attach. 3, p4'!G55</f>
        <v>0.50814000000000004</v>
      </c>
      <c r="H36" s="117">
        <f t="shared" si="5"/>
        <v>0.48009000000000002</v>
      </c>
      <c r="I36" s="5"/>
      <c r="J36" s="5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</row>
    <row r="37" spans="1:74" x14ac:dyDescent="0.25">
      <c r="A37" s="6" t="s">
        <v>7</v>
      </c>
      <c r="B37" s="6"/>
      <c r="C37" s="115">
        <f t="shared" ref="C37" si="6">ROUND(C34+C35+C36,3)</f>
        <v>1</v>
      </c>
      <c r="D37" s="115">
        <f t="shared" ref="D37:G37" si="7">ROUND(D34+D35+D36,3)</f>
        <v>1</v>
      </c>
      <c r="E37" s="115">
        <f t="shared" si="7"/>
        <v>1</v>
      </c>
      <c r="F37" s="115">
        <f t="shared" si="7"/>
        <v>1</v>
      </c>
      <c r="G37" s="115">
        <f t="shared" si="7"/>
        <v>1</v>
      </c>
      <c r="H37" s="109">
        <f>ROUND(H34+H35+H36,3)</f>
        <v>1</v>
      </c>
      <c r="I37" s="5"/>
      <c r="J37" s="2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</row>
    <row r="38" spans="1:74" x14ac:dyDescent="0.25">
      <c r="I38" s="5"/>
      <c r="J38" s="5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</row>
    <row r="39" spans="1:74" x14ac:dyDescent="0.25">
      <c r="I39" s="5"/>
      <c r="J39" s="5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</row>
    <row r="40" spans="1:74" x14ac:dyDescent="0.25">
      <c r="A40" s="35" t="s">
        <v>73</v>
      </c>
      <c r="B40" s="14"/>
      <c r="C40" s="14"/>
      <c r="D40" s="14"/>
      <c r="E40" s="14"/>
      <c r="F40" s="14"/>
      <c r="G40" s="14"/>
      <c r="H40" s="14"/>
      <c r="I40" s="5"/>
      <c r="J40" s="5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</row>
    <row r="41" spans="1:74" x14ac:dyDescent="0.25">
      <c r="A41" s="6" t="s">
        <v>155</v>
      </c>
      <c r="B41" s="6"/>
      <c r="C41" s="119">
        <f>'Not an Attach.-Proxy Co. Detail'!B62</f>
        <v>7.0657142857142867</v>
      </c>
      <c r="D41" s="119">
        <f>'Not an Attach.-Proxy Co. Detail'!C62</f>
        <v>6.1685714285714282</v>
      </c>
      <c r="E41" s="119">
        <f>'Not an Attach.-Proxy Co. Detail'!D62</f>
        <v>6.4914285714285711</v>
      </c>
      <c r="F41" s="119">
        <f>'Not an Attach.-Proxy Co. Detail'!E62</f>
        <v>6.8128571428571423</v>
      </c>
      <c r="G41" s="119">
        <f>'Not an Attach.-Proxy Co. Detail'!F62</f>
        <v>7.8042857142857134</v>
      </c>
      <c r="H41" s="119">
        <f>AVERAGE(C41:G41)</f>
        <v>6.8685714285714283</v>
      </c>
      <c r="I41" s="5"/>
      <c r="J41" s="2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</row>
    <row r="42" spans="1:74" x14ac:dyDescent="0.25">
      <c r="A42" s="35"/>
      <c r="B42" s="14"/>
      <c r="C42" s="14"/>
      <c r="D42" s="14"/>
      <c r="E42" s="14"/>
      <c r="F42" s="14"/>
      <c r="G42" s="14"/>
      <c r="H42" s="14"/>
      <c r="I42" s="5"/>
      <c r="J42" s="5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</row>
    <row r="43" spans="1:74" x14ac:dyDescent="0.25">
      <c r="A43" s="14"/>
      <c r="B43" s="14"/>
      <c r="C43" s="14"/>
      <c r="D43" s="14"/>
      <c r="E43" s="14"/>
      <c r="F43" s="14"/>
      <c r="G43" s="14"/>
      <c r="H43" s="14"/>
      <c r="I43" s="5"/>
      <c r="J43" s="5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</row>
    <row r="44" spans="1:74" x14ac:dyDescent="0.25">
      <c r="A44" s="35" t="s">
        <v>72</v>
      </c>
      <c r="B44" s="14"/>
      <c r="C44" s="14"/>
      <c r="D44" s="14"/>
      <c r="E44" s="14"/>
      <c r="F44" s="14"/>
      <c r="G44" s="14"/>
      <c r="H44" s="14"/>
      <c r="I44" s="5"/>
      <c r="J44" s="5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</row>
    <row r="45" spans="1:74" x14ac:dyDescent="0.25">
      <c r="A45" s="6" t="s">
        <v>156</v>
      </c>
      <c r="B45" s="6"/>
      <c r="C45" s="115">
        <f>'Not an Attach.-Proxy Co. Detail'!B81</f>
        <v>0.15700000000000003</v>
      </c>
      <c r="D45" s="115">
        <f>'Not an Attach.-Proxy Co. Detail'!C81</f>
        <v>0.15185714285714288</v>
      </c>
      <c r="E45" s="115">
        <f>'Not an Attach.-Proxy Co. Detail'!D81</f>
        <v>0.16585714285714287</v>
      </c>
      <c r="F45" s="115">
        <f>'Not an Attach.-Proxy Co. Detail'!E81</f>
        <v>0.18628571428571425</v>
      </c>
      <c r="G45" s="115">
        <f>'Not an Attach.-Proxy Co. Detail'!F81</f>
        <v>0.19714285714285715</v>
      </c>
      <c r="H45" s="115">
        <f>AVERAGE(C45:G45)</f>
        <v>0.17162857142857144</v>
      </c>
      <c r="I45" s="5"/>
      <c r="J45" s="2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</row>
    <row r="46" spans="1:74" x14ac:dyDescent="0.25">
      <c r="I46" s="5"/>
      <c r="J46" s="5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</row>
    <row r="47" spans="1:74" x14ac:dyDescent="0.25">
      <c r="I47" s="5"/>
      <c r="J47" s="5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</row>
    <row r="48" spans="1:74" x14ac:dyDescent="0.25">
      <c r="A48" s="25" t="s">
        <v>154</v>
      </c>
      <c r="B48" s="66"/>
      <c r="C48" s="66"/>
      <c r="D48" s="66"/>
      <c r="E48" s="66"/>
      <c r="F48" s="66"/>
      <c r="G48" s="66"/>
      <c r="H48" s="66"/>
      <c r="I48" s="50"/>
      <c r="J48" s="50"/>
      <c r="K48" s="66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</row>
    <row r="49" spans="1:74" x14ac:dyDescent="0.25">
      <c r="A49" s="25" t="s">
        <v>160</v>
      </c>
      <c r="B49" s="66"/>
      <c r="C49" s="66"/>
      <c r="D49" s="66"/>
      <c r="E49" s="66"/>
      <c r="F49" s="66"/>
      <c r="G49" s="66"/>
      <c r="H49" s="66"/>
      <c r="I49" s="50"/>
      <c r="J49" s="50"/>
      <c r="K49" s="66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</row>
    <row r="50" spans="1:74" x14ac:dyDescent="0.25">
      <c r="A50" s="25" t="s">
        <v>157</v>
      </c>
      <c r="B50" s="51"/>
      <c r="C50" s="51"/>
      <c r="D50" s="51"/>
      <c r="E50" s="51"/>
      <c r="F50" s="51"/>
      <c r="G50" s="51"/>
      <c r="H50" s="51"/>
      <c r="I50" s="50"/>
      <c r="J50" s="50"/>
      <c r="K50" s="66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</row>
    <row r="51" spans="1:74" x14ac:dyDescent="0.25">
      <c r="A51" s="25" t="s">
        <v>158</v>
      </c>
      <c r="B51" s="67"/>
      <c r="C51" s="67"/>
      <c r="D51" s="67"/>
      <c r="E51" s="67"/>
      <c r="F51" s="67"/>
      <c r="G51" s="67"/>
      <c r="H51" s="67"/>
      <c r="I51" s="50"/>
      <c r="J51" s="50"/>
      <c r="K51" s="66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</row>
    <row r="52" spans="1:74" x14ac:dyDescent="0.25">
      <c r="A52" s="25" t="s">
        <v>159</v>
      </c>
      <c r="B52" s="67"/>
      <c r="C52" s="67"/>
      <c r="D52" s="67"/>
      <c r="E52" s="67"/>
      <c r="F52" s="67"/>
      <c r="G52" s="67"/>
      <c r="H52" s="67"/>
      <c r="I52" s="50"/>
      <c r="J52" s="50"/>
      <c r="K52" s="66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</row>
    <row r="53" spans="1:74" x14ac:dyDescent="0.25">
      <c r="A53" s="25"/>
      <c r="B53" s="67"/>
      <c r="C53" s="67"/>
      <c r="D53" s="67"/>
      <c r="E53" s="67"/>
      <c r="F53" s="67"/>
      <c r="G53" s="67"/>
      <c r="H53" s="67"/>
      <c r="I53" s="50"/>
      <c r="J53" s="50"/>
      <c r="K53" s="66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</row>
    <row r="54" spans="1:74" x14ac:dyDescent="0.25">
      <c r="A54" s="51"/>
      <c r="B54" s="67"/>
      <c r="C54" s="67"/>
      <c r="D54" s="67"/>
      <c r="E54" s="67"/>
      <c r="F54" s="67"/>
      <c r="G54" s="67"/>
      <c r="H54" s="67"/>
      <c r="I54" s="50"/>
      <c r="J54" s="50"/>
      <c r="K54" s="66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</row>
    <row r="55" spans="1:74" x14ac:dyDescent="0.25">
      <c r="A55" s="67" t="s">
        <v>153</v>
      </c>
      <c r="B55" s="67"/>
      <c r="C55" s="67"/>
      <c r="D55" s="67"/>
      <c r="E55" s="67"/>
      <c r="F55" s="67"/>
      <c r="G55" s="67"/>
      <c r="H55" s="67"/>
      <c r="I55" s="50"/>
      <c r="J55" s="50"/>
      <c r="K55" s="66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</row>
    <row r="56" spans="1:74" x14ac:dyDescent="0.25">
      <c r="A56" s="51"/>
      <c r="B56" s="67"/>
      <c r="C56" s="67"/>
      <c r="D56" s="67"/>
      <c r="E56" s="67"/>
      <c r="F56" s="67"/>
      <c r="G56" s="67"/>
      <c r="H56" s="67"/>
      <c r="I56" s="50"/>
      <c r="J56" s="50"/>
      <c r="K56" s="66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</row>
    <row r="57" spans="1:74" x14ac:dyDescent="0.25">
      <c r="B57" s="14"/>
      <c r="C57" s="14"/>
      <c r="D57" s="14"/>
      <c r="E57" s="14"/>
      <c r="F57" s="14"/>
      <c r="G57" s="14"/>
      <c r="H57" s="14"/>
      <c r="I57" s="5"/>
      <c r="J57" s="5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</row>
    <row r="58" spans="1:74" x14ac:dyDescent="0.25">
      <c r="B58" s="14"/>
      <c r="C58" s="14"/>
      <c r="D58" s="14"/>
      <c r="E58" s="14"/>
      <c r="F58" s="14"/>
      <c r="G58" s="14"/>
      <c r="H58" s="14"/>
      <c r="I58" s="5"/>
      <c r="J58" s="5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</row>
    <row r="59" spans="1:74" x14ac:dyDescent="0.25">
      <c r="A59" s="68"/>
      <c r="H59" s="14"/>
      <c r="I59" s="5"/>
      <c r="J59" s="5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</row>
    <row r="60" spans="1:74" x14ac:dyDescent="0.25">
      <c r="A60" s="68"/>
      <c r="B60" s="14"/>
      <c r="C60" s="14"/>
      <c r="D60" s="14"/>
      <c r="E60" s="14"/>
      <c r="F60" s="14"/>
      <c r="G60" s="14"/>
      <c r="H60" s="14"/>
      <c r="I60" s="5"/>
      <c r="J60" s="5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</row>
    <row r="61" spans="1:74" x14ac:dyDescent="0.25">
      <c r="B61" s="14"/>
      <c r="C61" s="14"/>
      <c r="D61" s="14"/>
      <c r="E61" s="14"/>
      <c r="F61" s="14"/>
      <c r="G61" s="14"/>
      <c r="H61" s="14"/>
      <c r="I61" s="5"/>
      <c r="J61" s="5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</row>
    <row r="62" spans="1:74" x14ac:dyDescent="0.25">
      <c r="B62" s="14"/>
      <c r="C62" s="14"/>
      <c r="D62" s="14"/>
      <c r="E62" s="14"/>
      <c r="F62" s="14"/>
      <c r="G62" s="14"/>
      <c r="H62" s="14"/>
      <c r="I62" s="5"/>
      <c r="J62" s="5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</row>
    <row r="63" spans="1:74" x14ac:dyDescent="0.25">
      <c r="B63" s="14"/>
      <c r="C63" s="14"/>
      <c r="D63" s="14"/>
      <c r="E63" s="14"/>
      <c r="F63" s="14"/>
      <c r="G63" s="14"/>
      <c r="H63" s="14"/>
      <c r="I63" s="5"/>
      <c r="J63" s="5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</row>
    <row r="64" spans="1:74" x14ac:dyDescent="0.25">
      <c r="A64" s="14"/>
      <c r="B64" s="14"/>
      <c r="C64" s="14"/>
      <c r="D64" s="14"/>
      <c r="E64" s="14"/>
      <c r="F64" s="14"/>
      <c r="G64" s="14"/>
      <c r="H64" s="14"/>
      <c r="I64" s="5"/>
      <c r="J64" s="5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</row>
    <row r="65" spans="1:74" x14ac:dyDescent="0.25">
      <c r="A65" s="14"/>
      <c r="B65" s="14"/>
      <c r="C65" s="14"/>
      <c r="D65" s="14"/>
      <c r="E65" s="14"/>
      <c r="F65" s="14"/>
      <c r="G65" s="14"/>
      <c r="H65" s="14"/>
      <c r="I65" s="5"/>
      <c r="J65" s="5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</row>
    <row r="66" spans="1:74" x14ac:dyDescent="0.25">
      <c r="A66" s="14"/>
      <c r="B66" s="14"/>
      <c r="C66" s="14"/>
      <c r="D66" s="14"/>
      <c r="E66" s="14"/>
      <c r="F66" s="14"/>
      <c r="G66" s="14"/>
      <c r="H66" s="14"/>
      <c r="I66" s="5"/>
      <c r="J66" s="5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</row>
    <row r="67" spans="1:74" x14ac:dyDescent="0.25">
      <c r="A67" s="14"/>
      <c r="B67" s="14"/>
      <c r="C67" s="14"/>
      <c r="D67" s="14"/>
      <c r="E67" s="14"/>
      <c r="F67" s="14"/>
      <c r="G67" s="14"/>
      <c r="H67" s="14"/>
      <c r="I67" s="5"/>
      <c r="J67" s="5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</row>
    <row r="68" spans="1:74" x14ac:dyDescent="0.25">
      <c r="A68" s="14"/>
      <c r="B68" s="14"/>
      <c r="C68" s="14"/>
      <c r="D68" s="14"/>
      <c r="E68" s="14"/>
      <c r="F68" s="14"/>
      <c r="G68" s="14"/>
      <c r="H68" s="14"/>
      <c r="I68" s="5"/>
      <c r="J68" s="5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</row>
    <row r="69" spans="1:74" x14ac:dyDescent="0.25">
      <c r="A69" s="14"/>
      <c r="B69" s="14"/>
      <c r="C69" s="14"/>
      <c r="D69" s="14"/>
      <c r="E69" s="14"/>
      <c r="F69" s="14"/>
      <c r="G69" s="14"/>
      <c r="H69" s="14"/>
      <c r="I69" s="5"/>
      <c r="J69" s="5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</row>
    <row r="70" spans="1:74" x14ac:dyDescent="0.25">
      <c r="A70" s="14"/>
      <c r="B70" s="14"/>
      <c r="C70" s="14"/>
      <c r="D70" s="14"/>
      <c r="E70" s="14"/>
      <c r="F70" s="14"/>
      <c r="G70" s="14"/>
      <c r="H70" s="14"/>
      <c r="I70" s="5"/>
      <c r="J70" s="5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</row>
    <row r="71" spans="1:74" x14ac:dyDescent="0.25">
      <c r="A71" s="14"/>
      <c r="B71" s="14"/>
      <c r="C71" s="14"/>
      <c r="D71" s="14"/>
      <c r="E71" s="14"/>
      <c r="F71" s="14"/>
      <c r="G71" s="14"/>
      <c r="H71" s="14"/>
      <c r="I71" s="5"/>
      <c r="J71" s="5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</row>
    <row r="72" spans="1:74" x14ac:dyDescent="0.25">
      <c r="A72" s="14"/>
      <c r="B72" s="14"/>
      <c r="C72" s="14"/>
      <c r="D72" s="14"/>
      <c r="E72" s="14"/>
      <c r="F72" s="14"/>
      <c r="G72" s="14"/>
      <c r="H72" s="14"/>
      <c r="I72" s="5"/>
      <c r="J72" s="5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</row>
    <row r="73" spans="1:74" x14ac:dyDescent="0.25">
      <c r="A73" s="14"/>
      <c r="B73" s="14"/>
      <c r="C73" s="14"/>
      <c r="D73" s="14"/>
      <c r="E73" s="14"/>
      <c r="F73" s="14"/>
      <c r="G73" s="14"/>
      <c r="H73" s="14"/>
      <c r="I73" s="5"/>
      <c r="J73" s="5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</row>
    <row r="74" spans="1:74" x14ac:dyDescent="0.25">
      <c r="A74" s="14"/>
      <c r="B74" s="14"/>
      <c r="C74" s="14"/>
      <c r="D74" s="14"/>
      <c r="E74" s="14"/>
      <c r="F74" s="14"/>
      <c r="G74" s="14"/>
      <c r="H74" s="14"/>
      <c r="I74" s="5"/>
      <c r="J74" s="5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</row>
    <row r="75" spans="1:74" x14ac:dyDescent="0.25">
      <c r="A75" s="14"/>
      <c r="B75" s="14"/>
      <c r="C75" s="14"/>
      <c r="D75" s="14"/>
      <c r="E75" s="14"/>
      <c r="F75" s="14"/>
      <c r="G75" s="14"/>
      <c r="H75" s="14"/>
      <c r="I75" s="5"/>
      <c r="J75" s="5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</row>
    <row r="76" spans="1:74" x14ac:dyDescent="0.25">
      <c r="A76" s="14"/>
      <c r="B76" s="14"/>
      <c r="C76" s="14"/>
      <c r="D76" s="14"/>
      <c r="E76" s="14"/>
      <c r="F76" s="14"/>
      <c r="G76" s="14"/>
      <c r="H76" s="14"/>
      <c r="I76" s="5"/>
      <c r="J76" s="5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</row>
    <row r="77" spans="1:74" x14ac:dyDescent="0.25">
      <c r="A77" s="14"/>
      <c r="B77" s="14"/>
      <c r="C77" s="14"/>
      <c r="D77" s="14"/>
      <c r="E77" s="14"/>
      <c r="F77" s="14"/>
      <c r="G77" s="14"/>
      <c r="H77" s="14"/>
      <c r="I77" s="5"/>
      <c r="J77" s="5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</row>
    <row r="78" spans="1:74" x14ac:dyDescent="0.25">
      <c r="A78" s="14"/>
      <c r="B78" s="14"/>
      <c r="C78" s="14"/>
      <c r="D78" s="14"/>
      <c r="E78" s="14"/>
      <c r="F78" s="14"/>
      <c r="G78" s="14"/>
      <c r="H78" s="14"/>
      <c r="I78" s="5"/>
      <c r="J78" s="5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</row>
    <row r="79" spans="1:74" x14ac:dyDescent="0.25">
      <c r="A79" s="14"/>
      <c r="B79" s="14"/>
      <c r="C79" s="14"/>
      <c r="D79" s="14"/>
      <c r="E79" s="14"/>
      <c r="F79" s="14"/>
      <c r="G79" s="14"/>
      <c r="H79" s="14"/>
      <c r="I79" s="5"/>
      <c r="J79" s="5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</row>
    <row r="80" spans="1:74" x14ac:dyDescent="0.25">
      <c r="A80" s="14"/>
      <c r="B80" s="14"/>
      <c r="C80" s="14"/>
      <c r="D80" s="14"/>
      <c r="E80" s="14"/>
      <c r="F80" s="14"/>
      <c r="G80" s="14"/>
      <c r="H80" s="14"/>
      <c r="I80" s="5"/>
      <c r="J80" s="5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</row>
    <row r="81" spans="1:74" x14ac:dyDescent="0.25">
      <c r="A81" s="14"/>
      <c r="B81" s="14"/>
      <c r="C81" s="14"/>
      <c r="D81" s="14"/>
      <c r="E81" s="14"/>
      <c r="F81" s="14"/>
      <c r="G81" s="14"/>
      <c r="H81" s="14"/>
      <c r="I81" s="5"/>
      <c r="J81" s="5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</row>
    <row r="82" spans="1:74" x14ac:dyDescent="0.25">
      <c r="A82" s="14"/>
      <c r="B82" s="14"/>
      <c r="C82" s="14"/>
      <c r="D82" s="14"/>
      <c r="E82" s="14"/>
      <c r="F82" s="14"/>
      <c r="G82" s="14"/>
      <c r="H82" s="14"/>
      <c r="I82" s="5"/>
      <c r="J82" s="5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</row>
    <row r="83" spans="1:74" x14ac:dyDescent="0.25">
      <c r="A83" s="14"/>
      <c r="B83" s="14"/>
      <c r="C83" s="14"/>
      <c r="D83" s="14"/>
      <c r="E83" s="14"/>
      <c r="F83" s="14"/>
      <c r="G83" s="14"/>
      <c r="H83" s="14"/>
      <c r="I83" s="5"/>
      <c r="J83" s="5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</row>
    <row r="84" spans="1:74" x14ac:dyDescent="0.25">
      <c r="A84" s="14"/>
      <c r="B84" s="14"/>
      <c r="C84" s="14"/>
      <c r="D84" s="14"/>
      <c r="E84" s="14"/>
      <c r="F84" s="14"/>
      <c r="G84" s="14"/>
      <c r="H84" s="14"/>
      <c r="I84" s="5"/>
      <c r="J84" s="5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</row>
    <row r="85" spans="1:74" x14ac:dyDescent="0.25">
      <c r="A85" s="14"/>
      <c r="B85" s="14"/>
      <c r="C85" s="14"/>
      <c r="D85" s="14"/>
      <c r="E85" s="14"/>
      <c r="F85" s="14"/>
      <c r="G85" s="14"/>
      <c r="H85" s="14"/>
      <c r="I85" s="5"/>
      <c r="J85" s="5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</row>
    <row r="86" spans="1:74" x14ac:dyDescent="0.25">
      <c r="A86" s="14"/>
      <c r="B86" s="14"/>
      <c r="C86" s="14"/>
      <c r="D86" s="14"/>
      <c r="E86" s="14"/>
      <c r="F86" s="14"/>
      <c r="G86" s="14"/>
      <c r="H86" s="14"/>
      <c r="I86" s="5"/>
      <c r="J86" s="5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</row>
    <row r="87" spans="1:74" x14ac:dyDescent="0.25">
      <c r="A87" s="14"/>
      <c r="B87" s="14"/>
      <c r="C87" s="14"/>
      <c r="D87" s="14"/>
      <c r="E87" s="14"/>
      <c r="F87" s="14"/>
      <c r="G87" s="14"/>
      <c r="H87" s="14"/>
      <c r="I87" s="5"/>
      <c r="J87" s="5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</row>
    <row r="88" spans="1:74" x14ac:dyDescent="0.25">
      <c r="A88" s="14"/>
      <c r="B88" s="14"/>
      <c r="C88" s="14"/>
      <c r="D88" s="14"/>
      <c r="E88" s="14"/>
      <c r="F88" s="14"/>
      <c r="G88" s="14"/>
      <c r="H88" s="14"/>
      <c r="I88" s="5"/>
      <c r="J88" s="5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</row>
    <row r="89" spans="1:74" x14ac:dyDescent="0.25">
      <c r="A89" s="14"/>
      <c r="B89" s="14"/>
      <c r="C89" s="14"/>
      <c r="D89" s="14"/>
      <c r="E89" s="14"/>
      <c r="F89" s="14"/>
      <c r="G89" s="14"/>
      <c r="H89" s="14"/>
      <c r="I89" s="5"/>
      <c r="J89" s="5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</row>
    <row r="90" spans="1:74" x14ac:dyDescent="0.25">
      <c r="A90" s="14"/>
      <c r="B90" s="14"/>
      <c r="C90" s="14"/>
      <c r="D90" s="14"/>
      <c r="E90" s="14"/>
      <c r="F90" s="14"/>
      <c r="G90" s="14"/>
      <c r="H90" s="14"/>
      <c r="I90" s="5"/>
      <c r="J90" s="5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</row>
    <row r="91" spans="1:74" x14ac:dyDescent="0.25">
      <c r="A91" s="14"/>
      <c r="B91" s="14"/>
      <c r="C91" s="14"/>
      <c r="D91" s="14"/>
      <c r="E91" s="14"/>
      <c r="F91" s="14"/>
      <c r="G91" s="14"/>
      <c r="H91" s="14"/>
      <c r="I91" s="5"/>
      <c r="J91" s="5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</row>
    <row r="92" spans="1:74" x14ac:dyDescent="0.25">
      <c r="A92" s="14"/>
      <c r="B92" s="14"/>
      <c r="C92" s="14"/>
      <c r="D92" s="14"/>
      <c r="E92" s="14"/>
      <c r="F92" s="14"/>
      <c r="G92" s="14"/>
      <c r="H92" s="14"/>
      <c r="I92" s="5"/>
      <c r="J92" s="5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</row>
    <row r="93" spans="1:74" x14ac:dyDescent="0.25">
      <c r="A93" s="14"/>
      <c r="B93" s="14"/>
      <c r="C93" s="14"/>
      <c r="D93" s="14"/>
      <c r="E93" s="14"/>
      <c r="F93" s="14"/>
      <c r="G93" s="14"/>
      <c r="H93" s="14"/>
      <c r="I93" s="5"/>
      <c r="J93" s="5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</row>
    <row r="94" spans="1:74" x14ac:dyDescent="0.25">
      <c r="A94" s="14"/>
      <c r="B94" s="14"/>
      <c r="C94" s="14"/>
      <c r="D94" s="14"/>
      <c r="E94" s="14"/>
      <c r="F94" s="14"/>
      <c r="G94" s="14"/>
      <c r="H94" s="14"/>
      <c r="I94" s="5"/>
      <c r="J94" s="5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</row>
    <row r="95" spans="1:74" x14ac:dyDescent="0.25">
      <c r="A95" s="14"/>
      <c r="B95" s="14"/>
      <c r="C95" s="14"/>
      <c r="D95" s="14"/>
      <c r="E95" s="14"/>
      <c r="F95" s="14"/>
      <c r="G95" s="14"/>
      <c r="H95" s="14"/>
      <c r="I95" s="5"/>
      <c r="J95" s="5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</row>
    <row r="96" spans="1:74" x14ac:dyDescent="0.25">
      <c r="A96" s="14"/>
      <c r="B96" s="14"/>
      <c r="C96" s="14"/>
      <c r="D96" s="14"/>
      <c r="E96" s="14"/>
      <c r="F96" s="14"/>
      <c r="G96" s="14"/>
      <c r="H96" s="14"/>
      <c r="I96" s="5"/>
      <c r="J96" s="5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</row>
    <row r="97" spans="1:74" x14ac:dyDescent="0.25">
      <c r="A97" s="14"/>
      <c r="B97" s="14"/>
      <c r="C97" s="14"/>
      <c r="D97" s="14"/>
      <c r="E97" s="14"/>
      <c r="F97" s="14"/>
      <c r="G97" s="14"/>
      <c r="H97" s="14"/>
      <c r="I97" s="5"/>
      <c r="J97" s="5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</row>
    <row r="98" spans="1:74" x14ac:dyDescent="0.25">
      <c r="A98" s="14"/>
      <c r="B98" s="14"/>
      <c r="C98" s="14"/>
      <c r="D98" s="14"/>
      <c r="E98" s="14"/>
      <c r="F98" s="14"/>
      <c r="G98" s="14"/>
      <c r="H98" s="14"/>
      <c r="I98" s="5"/>
      <c r="J98" s="5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</row>
    <row r="99" spans="1:74" x14ac:dyDescent="0.25">
      <c r="A99" s="14"/>
      <c r="B99" s="14"/>
      <c r="C99" s="14"/>
      <c r="D99" s="14"/>
      <c r="E99" s="14"/>
      <c r="F99" s="14"/>
      <c r="G99" s="14"/>
      <c r="H99" s="14"/>
      <c r="I99" s="5"/>
      <c r="J99" s="5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</row>
    <row r="100" spans="1:74" x14ac:dyDescent="0.25">
      <c r="A100" s="14"/>
      <c r="B100" s="14"/>
      <c r="C100" s="14"/>
      <c r="D100" s="14"/>
      <c r="E100" s="14"/>
      <c r="F100" s="14"/>
      <c r="G100" s="14"/>
      <c r="H100" s="14"/>
      <c r="I100" s="5"/>
      <c r="J100" s="5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</row>
    <row r="101" spans="1:74" x14ac:dyDescent="0.25">
      <c r="A101" s="14"/>
      <c r="B101" s="14"/>
      <c r="C101" s="14"/>
      <c r="D101" s="14"/>
      <c r="E101" s="14"/>
      <c r="F101" s="14"/>
      <c r="G101" s="14"/>
      <c r="H101" s="14"/>
      <c r="I101" s="5"/>
      <c r="J101" s="5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</row>
    <row r="102" spans="1:74" x14ac:dyDescent="0.25">
      <c r="A102" s="14"/>
      <c r="B102" s="14"/>
      <c r="C102" s="14"/>
      <c r="D102" s="14"/>
      <c r="E102" s="14"/>
      <c r="F102" s="14"/>
      <c r="G102" s="14"/>
      <c r="H102" s="14"/>
      <c r="I102" s="5"/>
      <c r="J102" s="5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</row>
    <row r="103" spans="1:74" x14ac:dyDescent="0.25">
      <c r="A103" s="14"/>
      <c r="B103" s="14"/>
      <c r="C103" s="14"/>
      <c r="D103" s="14"/>
      <c r="E103" s="14"/>
      <c r="F103" s="14"/>
      <c r="G103" s="14"/>
      <c r="H103" s="14"/>
      <c r="I103" s="5"/>
      <c r="J103" s="5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</row>
    <row r="104" spans="1:74" x14ac:dyDescent="0.25">
      <c r="A104" s="14"/>
      <c r="B104" s="14"/>
      <c r="C104" s="14"/>
      <c r="D104" s="14"/>
      <c r="E104" s="14"/>
      <c r="F104" s="14"/>
      <c r="G104" s="14"/>
      <c r="H104" s="14"/>
      <c r="I104" s="5"/>
      <c r="J104" s="5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</row>
    <row r="105" spans="1:74" x14ac:dyDescent="0.25">
      <c r="A105" s="14"/>
      <c r="B105" s="14"/>
      <c r="C105" s="14"/>
      <c r="D105" s="14"/>
      <c r="E105" s="14"/>
      <c r="F105" s="14"/>
      <c r="G105" s="14"/>
      <c r="H105" s="14"/>
      <c r="I105" s="5"/>
      <c r="J105" s="5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</row>
    <row r="106" spans="1:74" x14ac:dyDescent="0.25">
      <c r="A106" s="14"/>
      <c r="B106" s="14"/>
      <c r="C106" s="14"/>
      <c r="D106" s="14"/>
      <c r="E106" s="14"/>
      <c r="F106" s="14"/>
      <c r="G106" s="14"/>
      <c r="H106" s="14"/>
      <c r="I106" s="5"/>
      <c r="J106" s="5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</row>
    <row r="107" spans="1:74" x14ac:dyDescent="0.25">
      <c r="A107" s="14"/>
      <c r="B107" s="14"/>
      <c r="C107" s="14"/>
      <c r="D107" s="14"/>
      <c r="E107" s="14"/>
      <c r="F107" s="14"/>
      <c r="G107" s="14"/>
      <c r="H107" s="14"/>
      <c r="I107" s="5"/>
      <c r="J107" s="5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</row>
    <row r="108" spans="1:74" x14ac:dyDescent="0.25">
      <c r="A108" s="14"/>
      <c r="B108" s="14"/>
      <c r="C108" s="14"/>
      <c r="D108" s="14"/>
      <c r="E108" s="14"/>
      <c r="F108" s="14"/>
      <c r="G108" s="14"/>
      <c r="H108" s="14"/>
      <c r="I108" s="5"/>
      <c r="J108" s="5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</row>
    <row r="109" spans="1:74" x14ac:dyDescent="0.25">
      <c r="A109" s="14"/>
      <c r="B109" s="14"/>
      <c r="C109" s="14"/>
      <c r="D109" s="14"/>
      <c r="E109" s="14"/>
      <c r="F109" s="14"/>
      <c r="G109" s="14"/>
      <c r="H109" s="14"/>
      <c r="I109" s="5"/>
      <c r="J109" s="5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</row>
    <row r="110" spans="1:74" x14ac:dyDescent="0.25">
      <c r="A110" s="14"/>
      <c r="B110" s="14"/>
      <c r="C110" s="14"/>
      <c r="D110" s="14"/>
      <c r="E110" s="14"/>
      <c r="F110" s="14"/>
      <c r="G110" s="14"/>
      <c r="H110" s="14"/>
      <c r="I110" s="5"/>
      <c r="J110" s="5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</row>
    <row r="111" spans="1:74" x14ac:dyDescent="0.25">
      <c r="A111" s="14"/>
      <c r="B111" s="14"/>
      <c r="C111" s="14"/>
      <c r="D111" s="14"/>
      <c r="E111" s="14"/>
      <c r="F111" s="14"/>
      <c r="G111" s="14"/>
      <c r="H111" s="14"/>
      <c r="I111" s="5"/>
      <c r="J111" s="5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</row>
    <row r="112" spans="1:74" x14ac:dyDescent="0.25">
      <c r="A112" s="14"/>
      <c r="B112" s="14"/>
      <c r="C112" s="14"/>
      <c r="D112" s="14"/>
      <c r="E112" s="14"/>
      <c r="F112" s="14"/>
      <c r="G112" s="14"/>
      <c r="H112" s="14"/>
      <c r="I112" s="5"/>
      <c r="J112" s="5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</row>
    <row r="113" spans="1:74" x14ac:dyDescent="0.25">
      <c r="A113" s="14"/>
      <c r="B113" s="14"/>
      <c r="C113" s="14"/>
      <c r="D113" s="14"/>
      <c r="E113" s="14"/>
      <c r="F113" s="14"/>
      <c r="G113" s="14"/>
      <c r="H113" s="14"/>
      <c r="I113" s="5"/>
      <c r="J113" s="5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</row>
    <row r="114" spans="1:74" x14ac:dyDescent="0.25">
      <c r="A114" s="14"/>
      <c r="B114" s="14"/>
      <c r="C114" s="14"/>
      <c r="D114" s="14"/>
      <c r="E114" s="14"/>
      <c r="F114" s="14"/>
      <c r="G114" s="14"/>
      <c r="H114" s="14"/>
      <c r="I114" s="5"/>
      <c r="J114" s="5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</row>
    <row r="115" spans="1:74" x14ac:dyDescent="0.25">
      <c r="A115" s="14"/>
      <c r="B115" s="14"/>
      <c r="C115" s="14"/>
      <c r="D115" s="14"/>
      <c r="E115" s="14"/>
      <c r="F115" s="14"/>
      <c r="G115" s="14"/>
      <c r="H115" s="14"/>
      <c r="I115" s="5"/>
      <c r="J115" s="5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</row>
    <row r="116" spans="1:74" x14ac:dyDescent="0.25">
      <c r="A116" s="14"/>
      <c r="B116" s="14"/>
      <c r="C116" s="14"/>
      <c r="D116" s="14"/>
      <c r="E116" s="14"/>
      <c r="F116" s="14"/>
      <c r="G116" s="14"/>
      <c r="H116" s="14"/>
      <c r="I116" s="5"/>
      <c r="J116" s="5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</row>
    <row r="117" spans="1:74" x14ac:dyDescent="0.25">
      <c r="A117" s="14"/>
      <c r="B117" s="14"/>
      <c r="C117" s="14"/>
      <c r="D117" s="14"/>
      <c r="E117" s="14"/>
      <c r="F117" s="14"/>
      <c r="G117" s="14"/>
      <c r="H117" s="14"/>
      <c r="I117" s="5"/>
      <c r="J117" s="5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</row>
    <row r="118" spans="1:74" x14ac:dyDescent="0.25">
      <c r="A118" s="14"/>
      <c r="B118" s="14"/>
      <c r="C118" s="14"/>
      <c r="D118" s="14"/>
      <c r="E118" s="14"/>
      <c r="F118" s="14"/>
      <c r="G118" s="14"/>
      <c r="H118" s="14"/>
      <c r="I118" s="5"/>
      <c r="J118" s="5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</row>
    <row r="119" spans="1:74" x14ac:dyDescent="0.25">
      <c r="A119" s="14"/>
      <c r="B119" s="14"/>
      <c r="C119" s="14"/>
      <c r="D119" s="14"/>
      <c r="E119" s="14"/>
      <c r="F119" s="14"/>
      <c r="G119" s="14"/>
      <c r="H119" s="14"/>
      <c r="I119" s="5"/>
      <c r="J119" s="5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</row>
    <row r="120" spans="1:74" x14ac:dyDescent="0.25">
      <c r="A120" s="14"/>
      <c r="B120" s="14"/>
      <c r="C120" s="14"/>
      <c r="D120" s="14"/>
      <c r="E120" s="14"/>
      <c r="F120" s="14"/>
      <c r="G120" s="14"/>
      <c r="H120" s="14"/>
      <c r="I120" s="5"/>
      <c r="J120" s="5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</row>
    <row r="121" spans="1:74" x14ac:dyDescent="0.25">
      <c r="A121" s="14"/>
      <c r="B121" s="14"/>
      <c r="C121" s="14"/>
      <c r="D121" s="14"/>
      <c r="E121" s="14"/>
      <c r="F121" s="14"/>
      <c r="G121" s="14"/>
      <c r="H121" s="14"/>
      <c r="I121" s="5"/>
      <c r="J121" s="5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</row>
    <row r="122" spans="1:74" x14ac:dyDescent="0.25">
      <c r="A122" s="14"/>
      <c r="B122" s="14"/>
      <c r="C122" s="14"/>
      <c r="D122" s="14"/>
      <c r="E122" s="14"/>
      <c r="F122" s="14"/>
      <c r="G122" s="14"/>
      <c r="H122" s="14"/>
      <c r="I122" s="5"/>
      <c r="J122" s="5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</row>
    <row r="123" spans="1:74" x14ac:dyDescent="0.25">
      <c r="A123" s="14"/>
      <c r="B123" s="14"/>
      <c r="C123" s="14"/>
      <c r="D123" s="14"/>
      <c r="E123" s="14"/>
      <c r="F123" s="14"/>
      <c r="G123" s="14"/>
      <c r="H123" s="14"/>
      <c r="I123" s="5"/>
      <c r="J123" s="5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</row>
    <row r="124" spans="1:74" x14ac:dyDescent="0.25">
      <c r="A124" s="14"/>
      <c r="B124" s="14"/>
      <c r="C124" s="14"/>
      <c r="D124" s="14"/>
      <c r="E124" s="14"/>
      <c r="F124" s="14"/>
      <c r="G124" s="14"/>
      <c r="H124" s="14"/>
      <c r="I124" s="5"/>
      <c r="J124" s="5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</row>
    <row r="125" spans="1:74" x14ac:dyDescent="0.25">
      <c r="A125" s="14"/>
      <c r="B125" s="14"/>
      <c r="C125" s="14"/>
      <c r="D125" s="14"/>
      <c r="E125" s="14"/>
      <c r="F125" s="14"/>
      <c r="G125" s="14"/>
      <c r="H125" s="14"/>
      <c r="I125" s="5"/>
      <c r="J125" s="5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</row>
    <row r="126" spans="1:74" x14ac:dyDescent="0.25">
      <c r="A126" s="14"/>
      <c r="B126" s="14"/>
      <c r="C126" s="14"/>
      <c r="D126" s="14"/>
      <c r="E126" s="14"/>
      <c r="F126" s="14"/>
      <c r="G126" s="14"/>
      <c r="H126" s="14"/>
      <c r="I126" s="5"/>
      <c r="J126" s="5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</row>
    <row r="127" spans="1:74" x14ac:dyDescent="0.25">
      <c r="A127" s="14"/>
      <c r="B127" s="14"/>
      <c r="C127" s="14"/>
      <c r="D127" s="14"/>
      <c r="E127" s="14"/>
      <c r="F127" s="14"/>
      <c r="G127" s="14"/>
      <c r="H127" s="14"/>
      <c r="I127" s="5"/>
      <c r="J127" s="5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</row>
    <row r="128" spans="1:74" x14ac:dyDescent="0.25">
      <c r="A128" s="14"/>
      <c r="B128" s="14"/>
      <c r="C128" s="14"/>
      <c r="D128" s="14"/>
      <c r="E128" s="14"/>
      <c r="F128" s="14"/>
      <c r="G128" s="14"/>
      <c r="H128" s="14"/>
      <c r="I128" s="5"/>
      <c r="J128" s="5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</row>
    <row r="129" spans="1:74" x14ac:dyDescent="0.25">
      <c r="A129" s="14"/>
      <c r="B129" s="14"/>
      <c r="C129" s="14"/>
      <c r="D129" s="14"/>
      <c r="E129" s="14"/>
      <c r="F129" s="14"/>
      <c r="G129" s="14"/>
      <c r="H129" s="14"/>
      <c r="I129" s="5"/>
      <c r="J129" s="5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</row>
    <row r="130" spans="1:74" x14ac:dyDescent="0.25">
      <c r="A130" s="14"/>
      <c r="B130" s="14"/>
      <c r="C130" s="14"/>
      <c r="D130" s="14"/>
      <c r="E130" s="14"/>
      <c r="F130" s="14"/>
      <c r="G130" s="14"/>
      <c r="H130" s="14"/>
      <c r="I130" s="5"/>
      <c r="J130" s="5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</row>
    <row r="131" spans="1:74" x14ac:dyDescent="0.25">
      <c r="A131" s="14"/>
      <c r="B131" s="14"/>
      <c r="C131" s="14"/>
      <c r="D131" s="14"/>
      <c r="E131" s="14"/>
      <c r="F131" s="14"/>
      <c r="G131" s="14"/>
      <c r="H131" s="14"/>
      <c r="I131" s="5"/>
      <c r="J131" s="5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</row>
    <row r="132" spans="1:74" x14ac:dyDescent="0.25">
      <c r="A132" s="14"/>
      <c r="B132" s="14"/>
      <c r="C132" s="14"/>
      <c r="D132" s="14"/>
      <c r="E132" s="14"/>
      <c r="F132" s="14"/>
      <c r="G132" s="14"/>
      <c r="H132" s="14"/>
      <c r="I132" s="5"/>
      <c r="J132" s="5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</row>
    <row r="133" spans="1:74" x14ac:dyDescent="0.25">
      <c r="A133" s="14"/>
      <c r="B133" s="14"/>
      <c r="C133" s="14"/>
      <c r="D133" s="14"/>
      <c r="E133" s="14"/>
      <c r="F133" s="14"/>
      <c r="G133" s="14"/>
      <c r="H133" s="14"/>
      <c r="I133" s="5"/>
      <c r="J133" s="5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</row>
    <row r="134" spans="1:74" x14ac:dyDescent="0.25">
      <c r="A134" s="14"/>
      <c r="B134" s="14"/>
      <c r="C134" s="14"/>
      <c r="D134" s="14"/>
      <c r="E134" s="14"/>
      <c r="F134" s="14"/>
      <c r="G134" s="14"/>
      <c r="H134" s="14"/>
      <c r="I134" s="5"/>
      <c r="J134" s="5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</row>
    <row r="135" spans="1:74" x14ac:dyDescent="0.25">
      <c r="A135" s="14"/>
      <c r="B135" s="14"/>
      <c r="C135" s="14"/>
      <c r="D135" s="14"/>
      <c r="E135" s="14"/>
      <c r="F135" s="14"/>
      <c r="G135" s="14"/>
      <c r="H135" s="14"/>
      <c r="I135" s="5"/>
      <c r="J135" s="5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</row>
    <row r="136" spans="1:74" x14ac:dyDescent="0.25">
      <c r="A136" s="14"/>
      <c r="B136" s="14"/>
      <c r="C136" s="14"/>
      <c r="D136" s="14"/>
      <c r="E136" s="14"/>
      <c r="F136" s="14"/>
      <c r="G136" s="14"/>
      <c r="H136" s="14"/>
      <c r="I136" s="5"/>
      <c r="J136" s="5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</row>
    <row r="137" spans="1:74" x14ac:dyDescent="0.25">
      <c r="A137" s="14"/>
      <c r="B137" s="14"/>
      <c r="C137" s="14"/>
      <c r="D137" s="14"/>
      <c r="E137" s="14"/>
      <c r="F137" s="14"/>
      <c r="G137" s="14"/>
      <c r="H137" s="14"/>
      <c r="I137" s="5"/>
      <c r="J137" s="5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</row>
    <row r="138" spans="1:74" x14ac:dyDescent="0.25">
      <c r="A138" s="14"/>
      <c r="B138" s="14"/>
      <c r="C138" s="14"/>
      <c r="D138" s="14"/>
      <c r="E138" s="14"/>
      <c r="F138" s="14"/>
      <c r="G138" s="14"/>
      <c r="H138" s="14"/>
      <c r="I138" s="5"/>
      <c r="J138" s="5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</row>
    <row r="139" spans="1:74" x14ac:dyDescent="0.25">
      <c r="A139" s="14"/>
      <c r="B139" s="14"/>
      <c r="C139" s="14"/>
      <c r="D139" s="14"/>
      <c r="E139" s="14"/>
      <c r="F139" s="14"/>
      <c r="G139" s="14"/>
      <c r="H139" s="14"/>
      <c r="I139" s="5"/>
      <c r="J139" s="5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</row>
    <row r="140" spans="1:74" x14ac:dyDescent="0.25">
      <c r="A140" s="14"/>
      <c r="B140" s="14"/>
      <c r="C140" s="14"/>
      <c r="D140" s="14"/>
      <c r="E140" s="14"/>
      <c r="F140" s="14"/>
      <c r="G140" s="14"/>
      <c r="H140" s="14"/>
      <c r="I140" s="5"/>
      <c r="J140" s="5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</row>
    <row r="141" spans="1:74" x14ac:dyDescent="0.25">
      <c r="A141" s="14"/>
      <c r="B141" s="14"/>
      <c r="C141" s="14"/>
      <c r="D141" s="14"/>
      <c r="E141" s="14"/>
      <c r="F141" s="14"/>
      <c r="G141" s="14"/>
      <c r="H141" s="14"/>
      <c r="I141" s="5"/>
      <c r="J141" s="5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</row>
    <row r="142" spans="1:74" x14ac:dyDescent="0.25">
      <c r="A142" s="14"/>
      <c r="B142" s="14"/>
      <c r="C142" s="14"/>
      <c r="D142" s="14"/>
      <c r="E142" s="14"/>
      <c r="F142" s="14"/>
      <c r="G142" s="14"/>
      <c r="H142" s="14"/>
      <c r="I142" s="5"/>
      <c r="J142" s="5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</row>
    <row r="143" spans="1:74" x14ac:dyDescent="0.25">
      <c r="A143" s="14"/>
      <c r="B143" s="14"/>
      <c r="C143" s="14"/>
      <c r="D143" s="14"/>
      <c r="E143" s="14"/>
      <c r="F143" s="14"/>
      <c r="G143" s="14"/>
      <c r="H143" s="14"/>
      <c r="I143" s="5"/>
      <c r="J143" s="5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</row>
    <row r="144" spans="1:74" x14ac:dyDescent="0.25">
      <c r="A144" s="14"/>
      <c r="B144" s="14"/>
      <c r="C144" s="14"/>
      <c r="D144" s="14"/>
      <c r="E144" s="14"/>
      <c r="F144" s="14"/>
      <c r="G144" s="14"/>
      <c r="H144" s="14"/>
      <c r="I144" s="5"/>
      <c r="J144" s="5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</row>
    <row r="145" spans="1:74" x14ac:dyDescent="0.25">
      <c r="A145" s="14"/>
      <c r="B145" s="14"/>
      <c r="C145" s="14"/>
      <c r="D145" s="14"/>
      <c r="E145" s="14"/>
      <c r="F145" s="14"/>
      <c r="G145" s="14"/>
      <c r="H145" s="14"/>
      <c r="I145" s="5"/>
      <c r="J145" s="5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</row>
    <row r="146" spans="1:74" x14ac:dyDescent="0.25">
      <c r="A146" s="14"/>
      <c r="B146" s="14"/>
      <c r="C146" s="14"/>
      <c r="D146" s="14"/>
      <c r="E146" s="14"/>
      <c r="F146" s="14"/>
      <c r="G146" s="14"/>
      <c r="H146" s="14"/>
      <c r="I146" s="5"/>
      <c r="J146" s="5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</row>
    <row r="147" spans="1:74" x14ac:dyDescent="0.25">
      <c r="A147" s="14"/>
      <c r="B147" s="14"/>
      <c r="C147" s="14"/>
      <c r="D147" s="14"/>
      <c r="E147" s="14"/>
      <c r="F147" s="14"/>
      <c r="G147" s="14"/>
      <c r="H147" s="14"/>
      <c r="I147" s="5"/>
      <c r="J147" s="5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</row>
    <row r="148" spans="1:74" x14ac:dyDescent="0.25">
      <c r="A148" s="14"/>
      <c r="B148" s="14"/>
      <c r="C148" s="14"/>
      <c r="D148" s="14"/>
      <c r="E148" s="14"/>
      <c r="F148" s="14"/>
      <c r="G148" s="14"/>
      <c r="H148" s="14"/>
      <c r="I148" s="5"/>
      <c r="J148" s="5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</row>
    <row r="149" spans="1:74" x14ac:dyDescent="0.25">
      <c r="A149" s="14"/>
      <c r="B149" s="14"/>
      <c r="C149" s="14"/>
      <c r="D149" s="14"/>
      <c r="E149" s="14"/>
      <c r="F149" s="14"/>
      <c r="G149" s="14"/>
      <c r="H149" s="14"/>
      <c r="I149" s="5"/>
      <c r="J149" s="5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</row>
    <row r="150" spans="1:74" x14ac:dyDescent="0.25">
      <c r="A150" s="14"/>
      <c r="B150" s="14"/>
      <c r="C150" s="14"/>
      <c r="D150" s="14"/>
      <c r="E150" s="14"/>
      <c r="F150" s="14"/>
      <c r="G150" s="14"/>
      <c r="H150" s="14"/>
      <c r="I150" s="5"/>
      <c r="J150" s="5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</row>
    <row r="151" spans="1:74" x14ac:dyDescent="0.25">
      <c r="A151" s="14"/>
      <c r="B151" s="14"/>
      <c r="C151" s="14"/>
      <c r="D151" s="14"/>
      <c r="E151" s="14"/>
      <c r="F151" s="14"/>
      <c r="G151" s="14"/>
      <c r="H151" s="14"/>
      <c r="I151" s="5"/>
      <c r="J151" s="5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</row>
    <row r="152" spans="1:74" x14ac:dyDescent="0.25">
      <c r="A152" s="14"/>
      <c r="B152" s="14"/>
      <c r="C152" s="14"/>
      <c r="D152" s="14"/>
      <c r="E152" s="14"/>
      <c r="F152" s="14"/>
      <c r="G152" s="14"/>
      <c r="H152" s="14"/>
      <c r="I152" s="5"/>
      <c r="J152" s="5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</row>
    <row r="153" spans="1:74" x14ac:dyDescent="0.25">
      <c r="A153" s="14"/>
      <c r="B153" s="14"/>
      <c r="C153" s="14"/>
      <c r="D153" s="14"/>
      <c r="E153" s="14"/>
      <c r="F153" s="14"/>
      <c r="G153" s="14"/>
      <c r="H153" s="14"/>
      <c r="I153" s="5"/>
      <c r="J153" s="5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</row>
    <row r="154" spans="1:74" x14ac:dyDescent="0.25">
      <c r="A154" s="14"/>
      <c r="B154" s="14"/>
      <c r="C154" s="14"/>
      <c r="D154" s="14"/>
      <c r="E154" s="14"/>
      <c r="F154" s="14"/>
      <c r="G154" s="14"/>
      <c r="H154" s="14"/>
      <c r="I154" s="5"/>
      <c r="J154" s="5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</row>
    <row r="155" spans="1:74" x14ac:dyDescent="0.25">
      <c r="A155" s="14"/>
      <c r="B155" s="14"/>
      <c r="C155" s="14"/>
      <c r="D155" s="14"/>
      <c r="E155" s="14"/>
      <c r="F155" s="14"/>
      <c r="G155" s="14"/>
      <c r="H155" s="14"/>
      <c r="I155" s="5"/>
      <c r="J155" s="5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</row>
    <row r="156" spans="1:74" x14ac:dyDescent="0.25">
      <c r="A156" s="14"/>
      <c r="B156" s="14"/>
      <c r="C156" s="14"/>
      <c r="D156" s="14"/>
      <c r="E156" s="14"/>
      <c r="F156" s="14"/>
      <c r="G156" s="14"/>
      <c r="H156" s="14"/>
      <c r="I156" s="5"/>
      <c r="J156" s="5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</row>
    <row r="157" spans="1:74" x14ac:dyDescent="0.25">
      <c r="A157" s="14"/>
      <c r="B157" s="14"/>
      <c r="C157" s="14"/>
      <c r="D157" s="14"/>
      <c r="E157" s="14"/>
      <c r="F157" s="14"/>
      <c r="G157" s="14"/>
      <c r="H157" s="14"/>
      <c r="I157" s="5"/>
      <c r="J157" s="5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</row>
    <row r="158" spans="1:74" x14ac:dyDescent="0.25">
      <c r="A158" s="14"/>
      <c r="B158" s="14"/>
      <c r="C158" s="14"/>
      <c r="D158" s="14"/>
      <c r="E158" s="14"/>
      <c r="F158" s="14"/>
      <c r="G158" s="14"/>
      <c r="H158" s="14"/>
      <c r="I158" s="5"/>
      <c r="J158" s="5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</row>
    <row r="159" spans="1:74" x14ac:dyDescent="0.25">
      <c r="A159" s="14"/>
      <c r="B159" s="14"/>
      <c r="C159" s="14"/>
      <c r="D159" s="14"/>
      <c r="E159" s="14"/>
      <c r="F159" s="14"/>
      <c r="G159" s="14"/>
      <c r="H159" s="14"/>
      <c r="I159" s="5"/>
      <c r="J159" s="5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</row>
    <row r="160" spans="1:74" x14ac:dyDescent="0.25">
      <c r="A160" s="14"/>
      <c r="B160" s="14"/>
      <c r="C160" s="14"/>
      <c r="D160" s="14"/>
      <c r="E160" s="14"/>
      <c r="F160" s="14"/>
      <c r="G160" s="14"/>
      <c r="H160" s="14"/>
      <c r="I160" s="5"/>
      <c r="J160" s="5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</row>
    <row r="161" spans="1:74" x14ac:dyDescent="0.25">
      <c r="A161" s="14"/>
      <c r="B161" s="14"/>
      <c r="C161" s="14"/>
      <c r="D161" s="14"/>
      <c r="E161" s="14"/>
      <c r="F161" s="14"/>
      <c r="G161" s="14"/>
      <c r="H161" s="14"/>
      <c r="I161" s="5"/>
      <c r="J161" s="5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</row>
    <row r="162" spans="1:74" x14ac:dyDescent="0.25">
      <c r="A162" s="14"/>
      <c r="B162" s="14"/>
      <c r="C162" s="14"/>
      <c r="D162" s="14"/>
      <c r="E162" s="14"/>
      <c r="F162" s="14"/>
      <c r="G162" s="14"/>
      <c r="H162" s="14"/>
      <c r="I162" s="5"/>
      <c r="J162" s="5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</row>
    <row r="163" spans="1:74" x14ac:dyDescent="0.25">
      <c r="A163" s="14"/>
      <c r="B163" s="14"/>
      <c r="C163" s="14"/>
      <c r="D163" s="14"/>
      <c r="E163" s="14"/>
      <c r="F163" s="14"/>
      <c r="G163" s="14"/>
      <c r="H163" s="14"/>
      <c r="I163" s="5"/>
      <c r="J163" s="5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</row>
    <row r="164" spans="1:74" x14ac:dyDescent="0.25">
      <c r="A164" s="14"/>
      <c r="B164" s="14"/>
      <c r="C164" s="14"/>
      <c r="D164" s="14"/>
      <c r="E164" s="14"/>
      <c r="F164" s="14"/>
      <c r="G164" s="14"/>
      <c r="H164" s="14"/>
      <c r="I164" s="5"/>
      <c r="J164" s="5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</row>
    <row r="165" spans="1:74" x14ac:dyDescent="0.25">
      <c r="A165" s="14"/>
      <c r="B165" s="14"/>
      <c r="C165" s="14"/>
      <c r="D165" s="14"/>
      <c r="E165" s="14"/>
      <c r="F165" s="14"/>
      <c r="G165" s="14"/>
      <c r="H165" s="14"/>
      <c r="I165" s="5"/>
      <c r="J165" s="5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</row>
    <row r="166" spans="1:74" x14ac:dyDescent="0.25">
      <c r="A166" s="14"/>
      <c r="B166" s="14"/>
      <c r="C166" s="14"/>
      <c r="D166" s="14"/>
      <c r="E166" s="14"/>
      <c r="F166" s="14"/>
      <c r="G166" s="14"/>
      <c r="H166" s="14"/>
      <c r="I166" s="5"/>
      <c r="J166" s="5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</row>
    <row r="167" spans="1:74" x14ac:dyDescent="0.25">
      <c r="A167" s="14"/>
      <c r="B167" s="14"/>
      <c r="C167" s="14"/>
      <c r="D167" s="14"/>
      <c r="E167" s="14"/>
      <c r="F167" s="14"/>
      <c r="G167" s="14"/>
      <c r="H167" s="14"/>
      <c r="I167" s="5"/>
      <c r="J167" s="5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</row>
    <row r="168" spans="1:74" x14ac:dyDescent="0.25">
      <c r="A168" s="14"/>
      <c r="B168" s="14"/>
      <c r="C168" s="14"/>
      <c r="D168" s="14"/>
      <c r="E168" s="14"/>
      <c r="F168" s="14"/>
      <c r="G168" s="14"/>
      <c r="H168" s="14"/>
      <c r="I168" s="5"/>
      <c r="J168" s="5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</row>
    <row r="169" spans="1:74" x14ac:dyDescent="0.25">
      <c r="A169" s="14"/>
      <c r="B169" s="14"/>
      <c r="C169" s="14"/>
      <c r="D169" s="14"/>
      <c r="E169" s="14"/>
      <c r="F169" s="14"/>
      <c r="G169" s="14"/>
      <c r="H169" s="14"/>
      <c r="I169" s="5"/>
      <c r="J169" s="5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</row>
    <row r="170" spans="1:74" x14ac:dyDescent="0.25">
      <c r="A170" s="14"/>
      <c r="B170" s="14"/>
      <c r="C170" s="14"/>
      <c r="D170" s="14"/>
      <c r="E170" s="14"/>
      <c r="F170" s="14"/>
      <c r="G170" s="14"/>
      <c r="H170" s="14"/>
      <c r="I170" s="5"/>
      <c r="J170" s="5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</row>
    <row r="171" spans="1:74" x14ac:dyDescent="0.25">
      <c r="A171" s="14"/>
      <c r="B171" s="14"/>
      <c r="C171" s="14"/>
      <c r="D171" s="14"/>
      <c r="E171" s="14"/>
      <c r="F171" s="14"/>
      <c r="G171" s="14"/>
      <c r="H171" s="14"/>
      <c r="I171" s="5"/>
      <c r="J171" s="5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</row>
    <row r="172" spans="1:74" x14ac:dyDescent="0.25">
      <c r="A172" s="14"/>
      <c r="B172" s="14"/>
      <c r="C172" s="14"/>
      <c r="D172" s="14"/>
      <c r="E172" s="14"/>
      <c r="F172" s="14"/>
      <c r="G172" s="14"/>
      <c r="H172" s="14"/>
      <c r="I172" s="5"/>
      <c r="J172" s="5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</row>
    <row r="173" spans="1:74" x14ac:dyDescent="0.25">
      <c r="A173" s="14"/>
      <c r="B173" s="14"/>
      <c r="C173" s="14"/>
      <c r="D173" s="14"/>
      <c r="E173" s="14"/>
      <c r="F173" s="14"/>
      <c r="G173" s="14"/>
      <c r="H173" s="14"/>
      <c r="I173" s="5"/>
      <c r="J173" s="5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</row>
    <row r="174" spans="1:74" x14ac:dyDescent="0.25">
      <c r="A174" s="14"/>
      <c r="B174" s="14"/>
      <c r="C174" s="14"/>
      <c r="D174" s="14"/>
      <c r="E174" s="14"/>
      <c r="F174" s="14"/>
      <c r="G174" s="14"/>
      <c r="H174" s="14"/>
      <c r="I174" s="5"/>
      <c r="J174" s="5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</row>
    <row r="175" spans="1:74" x14ac:dyDescent="0.25">
      <c r="A175" s="14"/>
      <c r="B175" s="14"/>
      <c r="C175" s="14"/>
      <c r="D175" s="14"/>
      <c r="E175" s="14"/>
      <c r="F175" s="14"/>
      <c r="G175" s="14"/>
      <c r="H175" s="14"/>
      <c r="I175" s="5"/>
      <c r="J175" s="5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</row>
    <row r="176" spans="1:74" x14ac:dyDescent="0.25">
      <c r="A176" s="14"/>
      <c r="B176" s="14"/>
      <c r="C176" s="14"/>
      <c r="D176" s="14"/>
      <c r="E176" s="14"/>
      <c r="F176" s="14"/>
      <c r="G176" s="14"/>
      <c r="H176" s="14"/>
      <c r="I176" s="5"/>
      <c r="J176" s="5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</row>
    <row r="177" spans="1:74" x14ac:dyDescent="0.25">
      <c r="A177" s="14"/>
      <c r="B177" s="14"/>
      <c r="C177" s="14"/>
      <c r="D177" s="14"/>
      <c r="E177" s="14"/>
      <c r="F177" s="14"/>
      <c r="G177" s="14"/>
      <c r="H177" s="14"/>
      <c r="I177" s="5"/>
      <c r="J177" s="5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</row>
    <row r="178" spans="1:74" x14ac:dyDescent="0.25">
      <c r="A178" s="14"/>
      <c r="B178" s="14"/>
      <c r="C178" s="14"/>
      <c r="D178" s="14"/>
      <c r="E178" s="14"/>
      <c r="F178" s="14"/>
      <c r="G178" s="14"/>
      <c r="H178" s="14"/>
      <c r="I178" s="5"/>
      <c r="J178" s="5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</row>
    <row r="179" spans="1:74" x14ac:dyDescent="0.25">
      <c r="A179" s="14"/>
      <c r="B179" s="14"/>
      <c r="C179" s="14"/>
      <c r="D179" s="14"/>
      <c r="E179" s="14"/>
      <c r="F179" s="14"/>
      <c r="G179" s="14"/>
      <c r="H179" s="14"/>
      <c r="I179" s="5"/>
      <c r="J179" s="5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</row>
    <row r="180" spans="1:74" x14ac:dyDescent="0.25">
      <c r="A180" s="14"/>
      <c r="B180" s="14"/>
      <c r="C180" s="14"/>
      <c r="D180" s="14"/>
      <c r="E180" s="14"/>
      <c r="F180" s="14"/>
      <c r="G180" s="14"/>
      <c r="H180" s="14"/>
      <c r="I180" s="5"/>
      <c r="J180" s="5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</row>
    <row r="181" spans="1:74" x14ac:dyDescent="0.25">
      <c r="A181" s="14"/>
      <c r="B181" s="14"/>
      <c r="C181" s="14"/>
      <c r="D181" s="14"/>
      <c r="E181" s="14"/>
      <c r="F181" s="14"/>
      <c r="G181" s="14"/>
      <c r="H181" s="14"/>
      <c r="I181" s="5"/>
      <c r="J181" s="5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</row>
    <row r="182" spans="1:74" x14ac:dyDescent="0.25">
      <c r="A182" s="14"/>
      <c r="B182" s="14"/>
      <c r="C182" s="14"/>
      <c r="D182" s="14"/>
      <c r="E182" s="14"/>
      <c r="F182" s="14"/>
      <c r="G182" s="14"/>
      <c r="H182" s="14"/>
      <c r="I182" s="5"/>
      <c r="J182" s="5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</row>
    <row r="183" spans="1:74" x14ac:dyDescent="0.25">
      <c r="A183" s="14"/>
      <c r="B183" s="14"/>
      <c r="C183" s="14"/>
      <c r="D183" s="14"/>
      <c r="E183" s="14"/>
      <c r="F183" s="14"/>
      <c r="G183" s="14"/>
      <c r="H183" s="14"/>
      <c r="I183" s="5"/>
      <c r="J183" s="5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</row>
    <row r="184" spans="1:74" x14ac:dyDescent="0.25">
      <c r="A184" s="14"/>
      <c r="B184" s="14"/>
      <c r="C184" s="14"/>
      <c r="D184" s="14"/>
      <c r="E184" s="14"/>
      <c r="F184" s="14"/>
      <c r="G184" s="14"/>
      <c r="H184" s="14"/>
      <c r="I184" s="5"/>
      <c r="J184" s="5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</row>
    <row r="185" spans="1:74" x14ac:dyDescent="0.25">
      <c r="A185" s="14"/>
      <c r="B185" s="14"/>
      <c r="C185" s="14"/>
      <c r="D185" s="14"/>
      <c r="E185" s="14"/>
      <c r="F185" s="14"/>
      <c r="G185" s="14"/>
      <c r="H185" s="14"/>
      <c r="I185" s="5"/>
      <c r="J185" s="5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</row>
    <row r="186" spans="1:74" x14ac:dyDescent="0.25">
      <c r="A186" s="14"/>
      <c r="B186" s="14"/>
      <c r="C186" s="14"/>
      <c r="D186" s="14"/>
      <c r="E186" s="14"/>
      <c r="F186" s="14"/>
      <c r="G186" s="14"/>
      <c r="H186" s="14"/>
      <c r="I186" s="5"/>
      <c r="J186" s="5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</row>
    <row r="187" spans="1:74" x14ac:dyDescent="0.25">
      <c r="A187" s="14"/>
      <c r="B187" s="14"/>
      <c r="C187" s="14"/>
      <c r="D187" s="14"/>
      <c r="E187" s="14"/>
      <c r="F187" s="14"/>
      <c r="G187" s="14"/>
      <c r="H187" s="14"/>
      <c r="I187" s="5"/>
      <c r="J187" s="5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</row>
    <row r="188" spans="1:74" x14ac:dyDescent="0.25">
      <c r="A188" s="14"/>
      <c r="B188" s="14"/>
      <c r="C188" s="14"/>
      <c r="D188" s="14"/>
      <c r="E188" s="14"/>
      <c r="F188" s="14"/>
      <c r="G188" s="14"/>
      <c r="H188" s="14"/>
      <c r="I188" s="5"/>
      <c r="J188" s="5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</row>
    <row r="189" spans="1:74" x14ac:dyDescent="0.25">
      <c r="A189" s="14"/>
      <c r="B189" s="14"/>
      <c r="C189" s="14"/>
      <c r="D189" s="14"/>
      <c r="E189" s="14"/>
      <c r="F189" s="14"/>
      <c r="G189" s="14"/>
      <c r="H189" s="14"/>
      <c r="I189" s="5"/>
      <c r="J189" s="5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</row>
    <row r="190" spans="1:74" x14ac:dyDescent="0.25">
      <c r="A190" s="14"/>
      <c r="B190" s="14"/>
      <c r="C190" s="14"/>
      <c r="D190" s="14"/>
      <c r="E190" s="14"/>
      <c r="F190" s="14"/>
      <c r="G190" s="14"/>
      <c r="H190" s="14"/>
      <c r="I190" s="5"/>
      <c r="J190" s="5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</row>
    <row r="191" spans="1:74" x14ac:dyDescent="0.25">
      <c r="A191" s="14"/>
      <c r="B191" s="14"/>
      <c r="C191" s="14"/>
      <c r="D191" s="14"/>
      <c r="E191" s="14"/>
      <c r="F191" s="14"/>
      <c r="G191" s="14"/>
      <c r="H191" s="14"/>
      <c r="I191" s="5"/>
      <c r="J191" s="5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</row>
    <row r="192" spans="1:74" x14ac:dyDescent="0.25">
      <c r="A192" s="14"/>
      <c r="B192" s="14"/>
      <c r="C192" s="14"/>
      <c r="D192" s="14"/>
      <c r="E192" s="14"/>
      <c r="F192" s="14"/>
      <c r="G192" s="14"/>
      <c r="H192" s="14"/>
      <c r="I192" s="5"/>
      <c r="J192" s="5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</row>
    <row r="193" spans="1:74" x14ac:dyDescent="0.25">
      <c r="A193" s="14"/>
      <c r="B193" s="14"/>
      <c r="C193" s="14"/>
      <c r="D193" s="14"/>
      <c r="E193" s="14"/>
      <c r="F193" s="14"/>
      <c r="G193" s="14"/>
      <c r="H193" s="14"/>
      <c r="I193" s="5"/>
      <c r="J193" s="5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</row>
    <row r="194" spans="1:74" x14ac:dyDescent="0.25">
      <c r="A194" s="14"/>
      <c r="B194" s="14"/>
      <c r="C194" s="14"/>
      <c r="D194" s="14"/>
      <c r="E194" s="14"/>
      <c r="F194" s="14"/>
      <c r="G194" s="14"/>
      <c r="H194" s="14"/>
      <c r="I194" s="14"/>
      <c r="J194" s="14"/>
    </row>
    <row r="195" spans="1:74" x14ac:dyDescent="0.25">
      <c r="A195" s="14"/>
      <c r="B195" s="14"/>
      <c r="C195" s="14"/>
      <c r="D195" s="14"/>
      <c r="E195" s="14"/>
      <c r="F195" s="14"/>
      <c r="G195" s="14"/>
      <c r="H195" s="14"/>
      <c r="I195" s="14"/>
      <c r="J195" s="14"/>
    </row>
    <row r="196" spans="1:74" x14ac:dyDescent="0.25">
      <c r="A196" s="14"/>
      <c r="B196" s="14"/>
      <c r="C196" s="14"/>
      <c r="D196" s="14"/>
      <c r="E196" s="14"/>
      <c r="F196" s="14"/>
      <c r="G196" s="14"/>
      <c r="H196" s="14"/>
      <c r="I196" s="14"/>
      <c r="J196" s="14"/>
    </row>
    <row r="197" spans="1:74" x14ac:dyDescent="0.25">
      <c r="A197" s="14"/>
      <c r="B197" s="14"/>
      <c r="C197" s="14"/>
      <c r="D197" s="14"/>
      <c r="E197" s="14"/>
      <c r="F197" s="14"/>
      <c r="G197" s="14"/>
      <c r="H197" s="14"/>
      <c r="I197" s="14"/>
      <c r="J197" s="14"/>
    </row>
  </sheetData>
  <phoneticPr fontId="23" type="noConversion"/>
  <pageMargins left="0.7" right="0.2" top="0.75" bottom="0" header="0.3" footer="0.3"/>
  <pageSetup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81"/>
  <sheetViews>
    <sheetView workbookViewId="0">
      <selection activeCell="O23" sqref="O23"/>
    </sheetView>
  </sheetViews>
  <sheetFormatPr defaultColWidth="9.140625" defaultRowHeight="15" x14ac:dyDescent="0.25"/>
  <cols>
    <col min="1" max="1" width="28.42578125" style="11" customWidth="1"/>
    <col min="2" max="2" width="3.28515625" style="11" customWidth="1"/>
    <col min="3" max="4" width="10" style="11" customWidth="1"/>
    <col min="5" max="5" width="10.140625" style="11" customWidth="1"/>
    <col min="6" max="6" width="9.85546875" style="11" customWidth="1"/>
    <col min="7" max="7" width="9.7109375" style="11" customWidth="1"/>
    <col min="8" max="8" width="10.42578125" style="11" customWidth="1"/>
    <col min="9" max="16384" width="9.140625" style="11"/>
  </cols>
  <sheetData>
    <row r="1" spans="1:32" ht="15.75" x14ac:dyDescent="0.25">
      <c r="A1" s="111" t="s">
        <v>59</v>
      </c>
      <c r="B1" s="111"/>
      <c r="C1" s="111"/>
      <c r="D1" s="111"/>
      <c r="E1" s="111"/>
      <c r="F1" s="111"/>
      <c r="G1" s="111"/>
      <c r="H1" s="13" t="s">
        <v>115</v>
      </c>
      <c r="I1" s="13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15.75" x14ac:dyDescent="0.25">
      <c r="A2" s="111" t="s">
        <v>152</v>
      </c>
      <c r="B2" s="111"/>
      <c r="C2" s="111"/>
      <c r="D2" s="111"/>
      <c r="E2" s="111"/>
      <c r="F2" s="111"/>
      <c r="G2" s="111"/>
      <c r="H2" s="13" t="s">
        <v>177</v>
      </c>
      <c r="I2" s="13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ht="15.75" x14ac:dyDescent="0.25">
      <c r="B3" s="111"/>
      <c r="C3" s="111"/>
      <c r="D3" s="111"/>
      <c r="E3" s="111"/>
      <c r="F3" s="111"/>
      <c r="G3" s="111"/>
      <c r="H3" s="13" t="s">
        <v>116</v>
      </c>
      <c r="I3" s="13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32" x14ac:dyDescent="0.25">
      <c r="B4" s="14"/>
      <c r="C4" s="14"/>
      <c r="D4" s="14"/>
      <c r="E4" s="14"/>
      <c r="F4" s="14"/>
      <c r="G4" s="14"/>
      <c r="I4" s="13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1:32" x14ac:dyDescent="0.25">
      <c r="A5" s="35"/>
      <c r="B5" s="14"/>
      <c r="C5" s="14"/>
      <c r="D5" s="14"/>
      <c r="E5" s="14"/>
      <c r="F5" s="14"/>
      <c r="G5" s="14"/>
      <c r="H5" s="14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1:32" x14ac:dyDescent="0.25">
      <c r="A6" s="145"/>
      <c r="B6" s="14"/>
      <c r="C6" s="14"/>
      <c r="D6" s="14"/>
      <c r="E6" s="14"/>
      <c r="F6" s="14"/>
      <c r="G6" s="14"/>
      <c r="H6" s="146" t="s">
        <v>56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32" x14ac:dyDescent="0.25">
      <c r="A7" s="17"/>
      <c r="B7" s="17"/>
      <c r="C7" s="110">
        <v>2020</v>
      </c>
      <c r="D7" s="110">
        <v>2019</v>
      </c>
      <c r="E7" s="110">
        <v>2018</v>
      </c>
      <c r="F7" s="147">
        <v>2017</v>
      </c>
      <c r="G7" s="110">
        <v>2016</v>
      </c>
      <c r="H7" s="110" t="s">
        <v>39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</row>
    <row r="8" spans="1:32" x14ac:dyDescent="0.25">
      <c r="A8" s="5"/>
      <c r="B8" s="5"/>
      <c r="C8" s="5"/>
      <c r="D8" s="5"/>
      <c r="E8" s="5"/>
      <c r="F8" s="5"/>
      <c r="G8" s="5"/>
      <c r="H8" s="14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1:32" x14ac:dyDescent="0.25">
      <c r="A9" s="148" t="s">
        <v>49</v>
      </c>
      <c r="B9" s="14"/>
      <c r="C9" s="14"/>
      <c r="D9" s="14"/>
      <c r="E9" s="14"/>
      <c r="F9" s="14"/>
      <c r="G9" s="14"/>
      <c r="H9" s="14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</row>
    <row r="10" spans="1:32" x14ac:dyDescent="0.25">
      <c r="A10" s="14" t="s">
        <v>0</v>
      </c>
      <c r="B10" s="14"/>
      <c r="C10" s="116">
        <f>'Not an Attach.-Proxy Co. Detail'!BB39</f>
        <v>0.39800000000000002</v>
      </c>
      <c r="D10" s="116">
        <f>'Not an Attach.-Proxy Co. Detail'!BC39</f>
        <v>0.376</v>
      </c>
      <c r="E10" s="116">
        <f>'Not an Attach.-Proxy Co. Detail'!BD39</f>
        <v>0.33900000000000002</v>
      </c>
      <c r="F10" s="116">
        <f>'Not an Attach.-Proxy Co. Detail'!BE39</f>
        <v>0.434</v>
      </c>
      <c r="G10" s="116">
        <f>'Not an Attach.-Proxy Co. Detail'!BF39</f>
        <v>0.375</v>
      </c>
      <c r="H10" s="117">
        <f>AVERAGE(C10:G10)</f>
        <v>0.38439999999999996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spans="1:32" x14ac:dyDescent="0.25">
      <c r="A11" s="14" t="s">
        <v>3</v>
      </c>
      <c r="B11" s="14"/>
      <c r="C11" s="118">
        <f>'Not an Attach.-Proxy Co. Detail'!BB40</f>
        <v>0</v>
      </c>
      <c r="D11" s="118">
        <f>'Not an Attach.-Proxy Co. Detail'!BC40</f>
        <v>0</v>
      </c>
      <c r="E11" s="118">
        <f>'Not an Attach.-Proxy Co. Detail'!BD40</f>
        <v>0</v>
      </c>
      <c r="F11" s="118">
        <f>'Not an Attach.-Proxy Co. Detail'!BE40</f>
        <v>0</v>
      </c>
      <c r="G11" s="118">
        <f>'Not an Attach.-Proxy Co. Detail'!BF40</f>
        <v>0</v>
      </c>
      <c r="H11" s="118">
        <f>AVERAGE(C11:G11)</f>
        <v>0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</row>
    <row r="12" spans="1:32" x14ac:dyDescent="0.25">
      <c r="A12" s="14" t="s">
        <v>19</v>
      </c>
      <c r="B12" s="14"/>
      <c r="C12" s="116">
        <f>'Not an Attach.-Proxy Co. Detail'!BB41</f>
        <v>0.60199999999999998</v>
      </c>
      <c r="D12" s="116">
        <f>'Not an Attach.-Proxy Co. Detail'!BC41</f>
        <v>0.624</v>
      </c>
      <c r="E12" s="116">
        <f>'Not an Attach.-Proxy Co. Detail'!BD41</f>
        <v>0.66100000000000003</v>
      </c>
      <c r="F12" s="116">
        <f>'Not an Attach.-Proxy Co. Detail'!BE41</f>
        <v>0.56599999999999995</v>
      </c>
      <c r="G12" s="116">
        <f>'Not an Attach.-Proxy Co. Detail'!BF41</f>
        <v>0.625</v>
      </c>
      <c r="H12" s="117">
        <f>AVERAGE(C12:G12)</f>
        <v>0.61559999999999993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</row>
    <row r="13" spans="1:32" x14ac:dyDescent="0.25">
      <c r="A13" s="6" t="s">
        <v>67</v>
      </c>
      <c r="B13" s="6"/>
      <c r="C13" s="109">
        <f t="shared" ref="C13:H13" si="0">C10+C11+C12</f>
        <v>1</v>
      </c>
      <c r="D13" s="109">
        <f t="shared" si="0"/>
        <v>1</v>
      </c>
      <c r="E13" s="109">
        <f t="shared" si="0"/>
        <v>1</v>
      </c>
      <c r="F13" s="109">
        <f t="shared" si="0"/>
        <v>1</v>
      </c>
      <c r="G13" s="109">
        <f t="shared" si="0"/>
        <v>1</v>
      </c>
      <c r="H13" s="109">
        <f t="shared" si="0"/>
        <v>0.99999999999999989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</row>
    <row r="14" spans="1:32" x14ac:dyDescent="0.25">
      <c r="A14" s="5"/>
      <c r="B14" s="14"/>
      <c r="C14" s="14"/>
      <c r="D14" s="14"/>
      <c r="E14" s="14"/>
      <c r="F14" s="14"/>
      <c r="G14" s="14"/>
      <c r="H14" s="14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</row>
    <row r="15" spans="1:32" x14ac:dyDescent="0.25">
      <c r="A15" s="148" t="s">
        <v>55</v>
      </c>
      <c r="B15" s="14"/>
      <c r="C15" s="14"/>
      <c r="D15" s="14"/>
      <c r="E15" s="14"/>
      <c r="F15" s="14"/>
      <c r="G15" s="14"/>
      <c r="H15" s="14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</row>
    <row r="16" spans="1:32" x14ac:dyDescent="0.25">
      <c r="A16" s="14" t="s">
        <v>0</v>
      </c>
      <c r="B16" s="14"/>
      <c r="C16" s="116">
        <f>'Not an Attach.-Proxy Co. Detail'!P39</f>
        <v>0.54500000000000004</v>
      </c>
      <c r="D16" s="116">
        <f>'Not an Attach.-Proxy Co. Detail'!Q39</f>
        <v>0.49299999999999999</v>
      </c>
      <c r="E16" s="116">
        <f>'Not an Attach.-Proxy Co. Detail'!R39</f>
        <v>0.45200000000000001</v>
      </c>
      <c r="F16" s="116">
        <f>'Not an Attach.-Proxy Co. Detail'!S39</f>
        <v>0.44600000000000001</v>
      </c>
      <c r="G16" s="116">
        <f>'Not an Attach.-Proxy Co. Detail'!T39</f>
        <v>0.47399999999999998</v>
      </c>
      <c r="H16" s="117">
        <f>AVERAGE(C16:G16)</f>
        <v>0.48200000000000004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</row>
    <row r="17" spans="1:32" x14ac:dyDescent="0.25">
      <c r="A17" s="14" t="s">
        <v>3</v>
      </c>
      <c r="B17" s="14"/>
      <c r="C17" s="118">
        <f>'Not an Attach.-Proxy Co. Detail'!P40</f>
        <v>0</v>
      </c>
      <c r="D17" s="118">
        <f>'Not an Attach.-Proxy Co. Detail'!Q40</f>
        <v>0</v>
      </c>
      <c r="E17" s="118">
        <f>'Not an Attach.-Proxy Co. Detail'!R40</f>
        <v>0</v>
      </c>
      <c r="F17" s="118">
        <f>'Not an Attach.-Proxy Co. Detail'!S40</f>
        <v>0</v>
      </c>
      <c r="G17" s="118">
        <f>'Not an Attach.-Proxy Co. Detail'!T40</f>
        <v>0</v>
      </c>
      <c r="H17" s="118">
        <f>AVERAGE(C17:G17)</f>
        <v>0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</row>
    <row r="18" spans="1:32" x14ac:dyDescent="0.25">
      <c r="A18" s="14" t="s">
        <v>19</v>
      </c>
      <c r="B18" s="14"/>
      <c r="C18" s="116">
        <f>'Not an Attach.-Proxy Co. Detail'!P41</f>
        <v>0.45500000000000002</v>
      </c>
      <c r="D18" s="116">
        <f>'Not an Attach.-Proxy Co. Detail'!Q41</f>
        <v>0.50700000000000001</v>
      </c>
      <c r="E18" s="116">
        <f>'Not an Attach.-Proxy Co. Detail'!R41</f>
        <v>0.54800000000000004</v>
      </c>
      <c r="F18" s="116">
        <f>'Not an Attach.-Proxy Co. Detail'!S41</f>
        <v>0.55400000000000005</v>
      </c>
      <c r="G18" s="116">
        <f>'Not an Attach.-Proxy Co. Detail'!T41</f>
        <v>0.52600000000000002</v>
      </c>
      <c r="H18" s="117">
        <f>AVERAGE(C18:G18)</f>
        <v>0.51800000000000002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</row>
    <row r="19" spans="1:32" x14ac:dyDescent="0.25">
      <c r="A19" s="6" t="s">
        <v>67</v>
      </c>
      <c r="B19" s="6"/>
      <c r="C19" s="109">
        <f t="shared" ref="C19:H19" si="1">C16+C17+C18</f>
        <v>1</v>
      </c>
      <c r="D19" s="109">
        <f t="shared" si="1"/>
        <v>1</v>
      </c>
      <c r="E19" s="109">
        <f t="shared" si="1"/>
        <v>1</v>
      </c>
      <c r="F19" s="109">
        <f t="shared" si="1"/>
        <v>1</v>
      </c>
      <c r="G19" s="109">
        <f t="shared" si="1"/>
        <v>1</v>
      </c>
      <c r="H19" s="109">
        <f t="shared" si="1"/>
        <v>1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</row>
    <row r="20" spans="1:32" x14ac:dyDescent="0.25">
      <c r="A20" s="5"/>
      <c r="B20" s="5"/>
      <c r="C20" s="5"/>
      <c r="D20" s="5"/>
      <c r="E20" s="5"/>
      <c r="F20" s="5"/>
      <c r="G20" s="20"/>
      <c r="H20" s="20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</row>
    <row r="21" spans="1:32" x14ac:dyDescent="0.25">
      <c r="A21" s="148" t="s">
        <v>48</v>
      </c>
      <c r="B21" s="14"/>
      <c r="C21" s="14"/>
      <c r="D21" s="14"/>
      <c r="E21" s="14"/>
      <c r="F21" s="14"/>
      <c r="G21" s="14"/>
      <c r="H21" s="14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</row>
    <row r="22" spans="1:32" x14ac:dyDescent="0.25">
      <c r="A22" s="14" t="s">
        <v>0</v>
      </c>
      <c r="B22" s="14"/>
      <c r="C22" s="116">
        <f>'Not an Attach.-Proxy Co. Detail'!AI39</f>
        <v>0.48799999999999999</v>
      </c>
      <c r="D22" s="116">
        <f>'Not an Attach.-Proxy Co. Detail'!AJ39</f>
        <v>0.47899999999999998</v>
      </c>
      <c r="E22" s="116">
        <f>'Not an Attach.-Proxy Co. Detail'!AK39</f>
        <v>0.47799999999999998</v>
      </c>
      <c r="F22" s="116">
        <f>'Not an Attach.-Proxy Co. Detail'!AL39</f>
        <v>0.47599999999999998</v>
      </c>
      <c r="G22" s="116">
        <f>'Not an Attach.-Proxy Co. Detail'!AM39</f>
        <v>0.442</v>
      </c>
      <c r="H22" s="117">
        <f>AVERAGE(C22:G22)</f>
        <v>0.47260000000000002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</row>
    <row r="23" spans="1:32" x14ac:dyDescent="0.25">
      <c r="A23" s="14" t="s">
        <v>3</v>
      </c>
      <c r="B23" s="14"/>
      <c r="C23" s="118">
        <f>'Not an Attach.-Proxy Co. Detail'!AI40</f>
        <v>0</v>
      </c>
      <c r="D23" s="118">
        <f>'Not an Attach.-Proxy Co. Detail'!AJ40</f>
        <v>0</v>
      </c>
      <c r="E23" s="118">
        <f>'Not an Attach.-Proxy Co. Detail'!AK40</f>
        <v>0</v>
      </c>
      <c r="F23" s="118">
        <f>'Not an Attach.-Proxy Co. Detail'!AL40</f>
        <v>0</v>
      </c>
      <c r="G23" s="118">
        <f>'Not an Attach.-Proxy Co. Detail'!AM40</f>
        <v>0</v>
      </c>
      <c r="H23" s="118">
        <f>AVERAGE(C23:G23)</f>
        <v>0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</row>
    <row r="24" spans="1:32" x14ac:dyDescent="0.25">
      <c r="A24" s="14" t="s">
        <v>19</v>
      </c>
      <c r="B24" s="14"/>
      <c r="C24" s="116">
        <f>'Not an Attach.-Proxy Co. Detail'!AI41</f>
        <v>0.51200000000000001</v>
      </c>
      <c r="D24" s="116">
        <f>'Not an Attach.-Proxy Co. Detail'!AJ41</f>
        <v>0.52100000000000002</v>
      </c>
      <c r="E24" s="116">
        <f>'Not an Attach.-Proxy Co. Detail'!AK41</f>
        <v>0.52200000000000002</v>
      </c>
      <c r="F24" s="116">
        <f>'Not an Attach.-Proxy Co. Detail'!AL41</f>
        <v>0.52400000000000002</v>
      </c>
      <c r="G24" s="116">
        <f>'Not an Attach.-Proxy Co. Detail'!AM41</f>
        <v>0.55800000000000005</v>
      </c>
      <c r="H24" s="117">
        <f>AVERAGE(C24:G24)</f>
        <v>0.52739999999999987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</row>
    <row r="25" spans="1:32" x14ac:dyDescent="0.25">
      <c r="A25" s="6" t="s">
        <v>67</v>
      </c>
      <c r="B25" s="6"/>
      <c r="C25" s="115">
        <f>'Not an Attach.-Proxy Co. Detail'!AI42</f>
        <v>1</v>
      </c>
      <c r="D25" s="115">
        <f>'Not an Attach.-Proxy Co. Detail'!AJ42</f>
        <v>1</v>
      </c>
      <c r="E25" s="115">
        <f>'Not an Attach.-Proxy Co. Detail'!AK42</f>
        <v>1</v>
      </c>
      <c r="F25" s="115">
        <f>'Not an Attach.-Proxy Co. Detail'!AL42</f>
        <v>1</v>
      </c>
      <c r="G25" s="115">
        <f>'Not an Attach.-Proxy Co. Detail'!AM42</f>
        <v>1</v>
      </c>
      <c r="H25" s="115">
        <f>'Not an Attach.-Proxy Co. Detail'!AN42</f>
        <v>1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</row>
    <row r="26" spans="1:32" x14ac:dyDescent="0.25">
      <c r="A26" s="5"/>
      <c r="B26" s="5"/>
      <c r="C26" s="5"/>
      <c r="D26" s="5"/>
      <c r="E26" s="5"/>
      <c r="F26" s="5"/>
      <c r="G26" s="20"/>
      <c r="H26" s="20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</row>
    <row r="27" spans="1:32" x14ac:dyDescent="0.25">
      <c r="A27" s="149" t="s">
        <v>141</v>
      </c>
      <c r="B27" s="5"/>
      <c r="C27" s="5"/>
      <c r="D27" s="5"/>
      <c r="E27" s="5"/>
      <c r="F27" s="5"/>
      <c r="G27" s="20"/>
      <c r="H27" s="20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</row>
    <row r="28" spans="1:32" x14ac:dyDescent="0.25">
      <c r="A28" s="14" t="s">
        <v>0</v>
      </c>
      <c r="B28" s="14"/>
      <c r="C28" s="116">
        <f>'Not an Attach.-Proxy Co. Detail'!BU39</f>
        <v>0.41387000000000002</v>
      </c>
      <c r="D28" s="116">
        <f>'Not an Attach.-Proxy Co. Detail'!BV39</f>
        <v>0.37580000000000002</v>
      </c>
      <c r="E28" s="116">
        <f>'Not an Attach.-Proxy Co. Detail'!BW39</f>
        <v>0.38577</v>
      </c>
      <c r="F28" s="116">
        <f>'Not an Attach.-Proxy Co. Detail'!BX39</f>
        <v>0.37774000000000002</v>
      </c>
      <c r="G28" s="116">
        <f>'Not an Attach.-Proxy Co. Detail'!BY39</f>
        <v>0.38647999999999999</v>
      </c>
      <c r="H28" s="117">
        <f>AVERAGE(C28:G28)</f>
        <v>0.387932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</row>
    <row r="29" spans="1:32" x14ac:dyDescent="0.25">
      <c r="A29" s="14" t="s">
        <v>3</v>
      </c>
      <c r="B29" s="14"/>
      <c r="C29" s="118">
        <f>'Not an Attach.-Proxy Co. Detail'!BU40</f>
        <v>0</v>
      </c>
      <c r="D29" s="118">
        <f>'Not an Attach.-Proxy Co. Detail'!BV40</f>
        <v>0</v>
      </c>
      <c r="E29" s="118">
        <f>'Not an Attach.-Proxy Co. Detail'!BW40</f>
        <v>0</v>
      </c>
      <c r="F29" s="118">
        <f>'Not an Attach.-Proxy Co. Detail'!BX40</f>
        <v>0</v>
      </c>
      <c r="G29" s="118">
        <f>'Not an Attach.-Proxy Co. Detail'!BY40</f>
        <v>0</v>
      </c>
      <c r="H29" s="118">
        <f>AVERAGE(C29:G29)</f>
        <v>0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</row>
    <row r="30" spans="1:32" x14ac:dyDescent="0.25">
      <c r="A30" s="14" t="s">
        <v>19</v>
      </c>
      <c r="B30" s="14"/>
      <c r="C30" s="116">
        <f>'Not an Attach.-Proxy Co. Detail'!BU41</f>
        <v>0.58613000000000004</v>
      </c>
      <c r="D30" s="116">
        <f>'Not an Attach.-Proxy Co. Detail'!BV41</f>
        <v>0.62419999999999998</v>
      </c>
      <c r="E30" s="116">
        <f>'Not an Attach.-Proxy Co. Detail'!BW41</f>
        <v>0.61423000000000005</v>
      </c>
      <c r="F30" s="116">
        <f>'Not an Attach.-Proxy Co. Detail'!BX41</f>
        <v>0.62226000000000004</v>
      </c>
      <c r="G30" s="116">
        <f>'Not an Attach.-Proxy Co. Detail'!BY41</f>
        <v>0.61351999999999995</v>
      </c>
      <c r="H30" s="117">
        <f>AVERAGE(C30:G30)</f>
        <v>0.61206799999999995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</row>
    <row r="31" spans="1:32" x14ac:dyDescent="0.25">
      <c r="A31" s="6" t="s">
        <v>67</v>
      </c>
      <c r="B31" s="6"/>
      <c r="C31" s="109">
        <f t="shared" ref="C31:D31" si="2">C28+C29+C30</f>
        <v>1</v>
      </c>
      <c r="D31" s="109">
        <f t="shared" si="2"/>
        <v>1</v>
      </c>
      <c r="E31" s="109">
        <f t="shared" ref="E31:H31" si="3">E28+E29+E30</f>
        <v>1</v>
      </c>
      <c r="F31" s="109">
        <f t="shared" si="3"/>
        <v>1</v>
      </c>
      <c r="G31" s="109">
        <f t="shared" si="3"/>
        <v>1</v>
      </c>
      <c r="H31" s="109">
        <f t="shared" si="3"/>
        <v>1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</row>
    <row r="32" spans="1:32" x14ac:dyDescent="0.25">
      <c r="A32" s="5"/>
      <c r="B32" s="5"/>
      <c r="C32" s="20"/>
      <c r="D32" s="20"/>
      <c r="E32" s="20"/>
      <c r="F32" s="20"/>
      <c r="G32" s="20"/>
      <c r="H32" s="20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</row>
    <row r="33" spans="1:32" x14ac:dyDescent="0.25">
      <c r="A33" s="148" t="s">
        <v>51</v>
      </c>
      <c r="B33" s="14"/>
      <c r="C33" s="14"/>
      <c r="D33" s="14"/>
      <c r="E33" s="14"/>
      <c r="F33" s="14"/>
      <c r="G33" s="14"/>
      <c r="H33" s="14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</row>
    <row r="34" spans="1:32" x14ac:dyDescent="0.25">
      <c r="A34" s="14" t="s">
        <v>0</v>
      </c>
      <c r="B34" s="14"/>
      <c r="C34" s="116">
        <f>'Not an Attach.-Proxy Co. Detail'!DX39</f>
        <v>0.62</v>
      </c>
      <c r="D34" s="116">
        <f>'Not an Attach.-Proxy Co. Detail'!DY39</f>
        <v>0.58699999999999997</v>
      </c>
      <c r="E34" s="116">
        <f>'Not an Attach.-Proxy Co. Detail'!DZ39</f>
        <v>0.62</v>
      </c>
      <c r="F34" s="116">
        <f>'Not an Attach.-Proxy Co. Detail'!EA39</f>
        <v>0.47699999999999998</v>
      </c>
      <c r="G34" s="116">
        <f>'Not an Attach.-Proxy Co. Detail'!EB39</f>
        <v>0.38</v>
      </c>
      <c r="H34" s="117">
        <f>AVERAGE(C34:G34)</f>
        <v>0.53679999999999994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</row>
    <row r="35" spans="1:32" x14ac:dyDescent="0.25">
      <c r="A35" s="14" t="s">
        <v>3</v>
      </c>
      <c r="B35" s="14"/>
      <c r="C35" s="118">
        <f>'Not an Attach.-Proxy Co. Detail'!DX40</f>
        <v>0</v>
      </c>
      <c r="D35" s="118">
        <f>'Not an Attach.-Proxy Co. Detail'!DY40</f>
        <v>0</v>
      </c>
      <c r="E35" s="118">
        <f>'Not an Attach.-Proxy Co. Detail'!DZ40</f>
        <v>0</v>
      </c>
      <c r="F35" s="118">
        <f>'Not an Attach.-Proxy Co. Detail'!EA40</f>
        <v>0</v>
      </c>
      <c r="G35" s="118">
        <f>'Not an Attach.-Proxy Co. Detail'!EB40</f>
        <v>0</v>
      </c>
      <c r="H35" s="118">
        <f>AVERAGE(C35:G35)</f>
        <v>0</v>
      </c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32" x14ac:dyDescent="0.25">
      <c r="A36" s="14" t="s">
        <v>19</v>
      </c>
      <c r="B36" s="14"/>
      <c r="C36" s="116">
        <f>'Not an Attach.-Proxy Co. Detail'!DX41</f>
        <v>0.38</v>
      </c>
      <c r="D36" s="116">
        <f>'Not an Attach.-Proxy Co. Detail'!DY41</f>
        <v>0.41299999999999998</v>
      </c>
      <c r="E36" s="116">
        <f>'Not an Attach.-Proxy Co. Detail'!DZ41</f>
        <v>0.38</v>
      </c>
      <c r="F36" s="116">
        <f>'Not an Attach.-Proxy Co. Detail'!EA41</f>
        <v>0.52300000000000002</v>
      </c>
      <c r="G36" s="116">
        <f>'Not an Attach.-Proxy Co. Detail'!EB41</f>
        <v>0.62</v>
      </c>
      <c r="H36" s="117">
        <f>AVERAGE(C36:G36)</f>
        <v>0.46320000000000006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</row>
    <row r="37" spans="1:32" x14ac:dyDescent="0.25">
      <c r="A37" s="6" t="s">
        <v>67</v>
      </c>
      <c r="B37" s="6"/>
      <c r="C37" s="109">
        <f t="shared" ref="C37:D37" si="4">C34+C35+C36</f>
        <v>1</v>
      </c>
      <c r="D37" s="109">
        <f t="shared" si="4"/>
        <v>1</v>
      </c>
      <c r="E37" s="109">
        <f t="shared" ref="E37:H37" si="5">E34+E35+E36</f>
        <v>1</v>
      </c>
      <c r="F37" s="109">
        <f t="shared" si="5"/>
        <v>1</v>
      </c>
      <c r="G37" s="109">
        <f t="shared" si="5"/>
        <v>1</v>
      </c>
      <c r="H37" s="109">
        <f t="shared" si="5"/>
        <v>1</v>
      </c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</row>
    <row r="38" spans="1:32" x14ac:dyDescent="0.25">
      <c r="A38" s="5"/>
      <c r="B38" s="5"/>
      <c r="C38" s="5"/>
      <c r="D38" s="5"/>
      <c r="E38" s="5"/>
      <c r="F38" s="5"/>
      <c r="G38" s="20"/>
      <c r="H38" s="20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</row>
    <row r="39" spans="1:32" x14ac:dyDescent="0.25">
      <c r="A39" s="148" t="s">
        <v>50</v>
      </c>
      <c r="B39" s="14"/>
      <c r="C39" s="14"/>
      <c r="D39" s="14"/>
      <c r="E39" s="14"/>
      <c r="F39" s="14"/>
      <c r="G39" s="14"/>
      <c r="H39" s="14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</row>
    <row r="40" spans="1:32" x14ac:dyDescent="0.25">
      <c r="A40" s="14" t="s">
        <v>0</v>
      </c>
      <c r="B40" s="14"/>
      <c r="C40" s="116">
        <f>'Not an Attach.-Proxy Co. Detail'!CL39</f>
        <v>0.5</v>
      </c>
      <c r="D40" s="116">
        <f>'Not an Attach.-Proxy Co. Detail'!CM39</f>
        <v>0.47299999999999998</v>
      </c>
      <c r="E40" s="116">
        <f>'Not an Attach.-Proxy Co. Detail'!CN39</f>
        <v>0.47799999999999998</v>
      </c>
      <c r="F40" s="116">
        <f>'Not an Attach.-Proxy Co. Detail'!CO39</f>
        <v>0.49099999999999999</v>
      </c>
      <c r="G40" s="116">
        <f>'Not an Attach.-Proxy Co. Detail'!CP39</f>
        <v>0.47499999999999998</v>
      </c>
      <c r="H40" s="117">
        <f>AVERAGE(C40:G40)</f>
        <v>0.48340000000000005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</row>
    <row r="41" spans="1:32" x14ac:dyDescent="0.25">
      <c r="A41" s="14" t="s">
        <v>3</v>
      </c>
      <c r="B41" s="14"/>
      <c r="C41" s="118">
        <f>'Not an Attach.-Proxy Co. Detail'!CL40</f>
        <v>0</v>
      </c>
      <c r="D41" s="118">
        <f>'Not an Attach.-Proxy Co. Detail'!CM40</f>
        <v>0</v>
      </c>
      <c r="E41" s="118">
        <f>'Not an Attach.-Proxy Co. Detail'!CN40</f>
        <v>0</v>
      </c>
      <c r="F41" s="118">
        <f>'Not an Attach.-Proxy Co. Detail'!CO40</f>
        <v>0</v>
      </c>
      <c r="G41" s="118">
        <f>'Not an Attach.-Proxy Co. Detail'!CP40</f>
        <v>0</v>
      </c>
      <c r="H41" s="118">
        <f>AVERAGE(C41:G41)</f>
        <v>0</v>
      </c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</row>
    <row r="42" spans="1:32" x14ac:dyDescent="0.25">
      <c r="A42" s="14" t="s">
        <v>19</v>
      </c>
      <c r="B42" s="14"/>
      <c r="C42" s="116">
        <f>'Not an Attach.-Proxy Co. Detail'!CL41</f>
        <v>0.5</v>
      </c>
      <c r="D42" s="116">
        <f>'Not an Attach.-Proxy Co. Detail'!CM41</f>
        <v>0.52700000000000002</v>
      </c>
      <c r="E42" s="116">
        <f>'Not an Attach.-Proxy Co. Detail'!CN41</f>
        <v>0.52200000000000002</v>
      </c>
      <c r="F42" s="116">
        <f>'Not an Attach.-Proxy Co. Detail'!CO41</f>
        <v>0.50900000000000001</v>
      </c>
      <c r="G42" s="116">
        <f>'Not an Attach.-Proxy Co. Detail'!CP41</f>
        <v>0.52500000000000002</v>
      </c>
      <c r="H42" s="117">
        <f>AVERAGE(C42:G42)</f>
        <v>0.51660000000000006</v>
      </c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</row>
    <row r="43" spans="1:32" x14ac:dyDescent="0.25">
      <c r="A43" s="6" t="s">
        <v>67</v>
      </c>
      <c r="B43" s="6"/>
      <c r="C43" s="109">
        <f t="shared" ref="C43:D43" si="6">C40+C41+C42</f>
        <v>1</v>
      </c>
      <c r="D43" s="109">
        <f t="shared" si="6"/>
        <v>1</v>
      </c>
      <c r="E43" s="109">
        <f t="shared" ref="E43:H43" si="7">E40+E41+E42</f>
        <v>1</v>
      </c>
      <c r="F43" s="109">
        <f t="shared" si="7"/>
        <v>1</v>
      </c>
      <c r="G43" s="109">
        <f t="shared" si="7"/>
        <v>1</v>
      </c>
      <c r="H43" s="109">
        <f t="shared" si="7"/>
        <v>1</v>
      </c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</row>
    <row r="44" spans="1:32" x14ac:dyDescent="0.25">
      <c r="A44" s="5"/>
      <c r="B44" s="5"/>
      <c r="C44" s="5"/>
      <c r="D44" s="5"/>
      <c r="E44" s="5"/>
      <c r="F44" s="5"/>
      <c r="G44" s="20"/>
      <c r="H44" s="20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</row>
    <row r="45" spans="1:32" x14ac:dyDescent="0.25">
      <c r="A45" s="148" t="s">
        <v>126</v>
      </c>
      <c r="B45" s="14"/>
      <c r="C45" s="14"/>
      <c r="D45" s="14"/>
      <c r="E45" s="14"/>
      <c r="F45" s="14"/>
      <c r="G45" s="14"/>
      <c r="H45" s="14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</row>
    <row r="46" spans="1:32" x14ac:dyDescent="0.25">
      <c r="A46" s="14" t="s">
        <v>0</v>
      </c>
      <c r="B46" s="14"/>
      <c r="C46" s="116">
        <f>'Not an Attach.-Proxy Co. Detail'!DE39</f>
        <v>0.48599999999999999</v>
      </c>
      <c r="D46" s="116">
        <f>'Not an Attach.-Proxy Co. Detail'!DF39</f>
        <v>0.44700000000000001</v>
      </c>
      <c r="E46" s="116">
        <f>'Not an Attach.-Proxy Co. Detail'!DG39</f>
        <v>0.45800000000000002</v>
      </c>
      <c r="F46" s="116">
        <f>'Not an Attach.-Proxy Co. Detail'!DH39</f>
        <v>0.501</v>
      </c>
      <c r="G46" s="116">
        <f>'Not an Attach.-Proxy Co. Detail'!DI39</f>
        <v>0.50800000000000001</v>
      </c>
      <c r="H46" s="117">
        <f>AVERAGE(C46:G46)</f>
        <v>0.48</v>
      </c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</row>
    <row r="47" spans="1:32" x14ac:dyDescent="0.25">
      <c r="A47" s="14" t="s">
        <v>3</v>
      </c>
      <c r="B47" s="14"/>
      <c r="C47" s="116">
        <f>'Not an Attach.-Proxy Co. Detail'!DE40</f>
        <v>4.9000000000000002E-2</v>
      </c>
      <c r="D47" s="116">
        <f>'Not an Attach.-Proxy Co. Detail'!DF40</f>
        <v>5.1999999999999998E-2</v>
      </c>
      <c r="E47" s="118">
        <f>'Not an Attach.-Proxy Co. Detail'!DG40</f>
        <v>0</v>
      </c>
      <c r="F47" s="118">
        <f>'Not an Attach.-Proxy Co. Detail'!DH40</f>
        <v>0</v>
      </c>
      <c r="G47" s="118">
        <f>'Not an Attach.-Proxy Co. Detail'!DI40</f>
        <v>0</v>
      </c>
      <c r="H47" s="116">
        <f>AVERAGE(C47:G47)</f>
        <v>2.0200000000000003E-2</v>
      </c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</row>
    <row r="48" spans="1:32" x14ac:dyDescent="0.25">
      <c r="A48" s="14" t="s">
        <v>19</v>
      </c>
      <c r="B48" s="14"/>
      <c r="C48" s="116">
        <f>'Not an Attach.-Proxy Co. Detail'!DE41</f>
        <v>0.46500000000000002</v>
      </c>
      <c r="D48" s="116">
        <f>'Not an Attach.-Proxy Co. Detail'!DF41</f>
        <v>0.501</v>
      </c>
      <c r="E48" s="116">
        <f>'Not an Attach.-Proxy Co. Detail'!DG41</f>
        <v>0.54200000000000004</v>
      </c>
      <c r="F48" s="116">
        <f>'Not an Attach.-Proxy Co. Detail'!DH41</f>
        <v>0.499</v>
      </c>
      <c r="G48" s="116">
        <f>'Not an Attach.-Proxy Co. Detail'!DI41</f>
        <v>0.49199999999999999</v>
      </c>
      <c r="H48" s="117">
        <f>AVERAGE(C48:G48)</f>
        <v>0.49980000000000002</v>
      </c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</row>
    <row r="49" spans="1:32" x14ac:dyDescent="0.25">
      <c r="A49" s="6" t="s">
        <v>67</v>
      </c>
      <c r="B49" s="6"/>
      <c r="C49" s="109">
        <f t="shared" ref="C49:H49" si="8">C46+C47+C48</f>
        <v>1</v>
      </c>
      <c r="D49" s="109">
        <f t="shared" si="8"/>
        <v>1</v>
      </c>
      <c r="E49" s="109">
        <f t="shared" si="8"/>
        <v>1</v>
      </c>
      <c r="F49" s="109">
        <f t="shared" si="8"/>
        <v>1</v>
      </c>
      <c r="G49" s="109">
        <f t="shared" si="8"/>
        <v>1</v>
      </c>
      <c r="H49" s="109">
        <f t="shared" si="8"/>
        <v>1</v>
      </c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</row>
    <row r="50" spans="1:32" x14ac:dyDescent="0.25">
      <c r="A50" s="5"/>
      <c r="B50" s="5"/>
      <c r="C50" s="5"/>
      <c r="D50" s="5"/>
      <c r="E50" s="5"/>
      <c r="F50" s="5"/>
      <c r="G50" s="20"/>
      <c r="H50" s="20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</row>
    <row r="51" spans="1:32" x14ac:dyDescent="0.25">
      <c r="A51" s="35" t="s">
        <v>57</v>
      </c>
      <c r="B51" s="14"/>
      <c r="C51" s="14"/>
      <c r="D51" s="14"/>
      <c r="E51" s="14"/>
      <c r="F51" s="14"/>
      <c r="G51" s="14"/>
      <c r="H51" s="14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1:32" x14ac:dyDescent="0.25">
      <c r="A52" s="148" t="s">
        <v>58</v>
      </c>
      <c r="B52" s="14"/>
      <c r="C52" s="14"/>
      <c r="D52" s="14"/>
      <c r="E52" s="14"/>
      <c r="F52" s="14"/>
      <c r="G52" s="14"/>
      <c r="H52" s="14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</row>
    <row r="53" spans="1:32" x14ac:dyDescent="0.25">
      <c r="A53" s="14" t="s">
        <v>0</v>
      </c>
      <c r="B53" s="14"/>
      <c r="C53" s="117">
        <f>ROUND((C10+C16+C22+C28+C34+C40+C46)/7,5)</f>
        <v>0.49297999999999997</v>
      </c>
      <c r="D53" s="117">
        <f t="shared" ref="D53:H53" si="9">ROUND((D10+D16+D22+D28+D34+D40+D46)/7,5)</f>
        <v>0.46154000000000001</v>
      </c>
      <c r="E53" s="117">
        <f t="shared" si="9"/>
        <v>0.45867999999999998</v>
      </c>
      <c r="F53" s="117">
        <f t="shared" si="9"/>
        <v>0.45752999999999999</v>
      </c>
      <c r="G53" s="117">
        <f t="shared" si="9"/>
        <v>0.43435000000000001</v>
      </c>
      <c r="H53" s="117">
        <f t="shared" si="9"/>
        <v>0.46101999999999999</v>
      </c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</row>
    <row r="54" spans="1:32" x14ac:dyDescent="0.25">
      <c r="A54" s="14" t="s">
        <v>3</v>
      </c>
      <c r="B54" s="14"/>
      <c r="C54" s="117">
        <f t="shared" ref="C54:H55" si="10">ROUND((C11+C17+C23+C29+C35+C41+C47)/7,5)</f>
        <v>7.0000000000000001E-3</v>
      </c>
      <c r="D54" s="117">
        <f t="shared" si="10"/>
        <v>7.43E-3</v>
      </c>
      <c r="E54" s="118">
        <f t="shared" si="10"/>
        <v>0</v>
      </c>
      <c r="F54" s="118">
        <f t="shared" si="10"/>
        <v>0</v>
      </c>
      <c r="G54" s="118">
        <f t="shared" si="10"/>
        <v>0</v>
      </c>
      <c r="H54" s="117">
        <f t="shared" si="10"/>
        <v>2.8900000000000002E-3</v>
      </c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spans="1:32" x14ac:dyDescent="0.25">
      <c r="A55" s="14" t="s">
        <v>19</v>
      </c>
      <c r="B55" s="14"/>
      <c r="C55" s="117">
        <f t="shared" si="10"/>
        <v>0.50002000000000002</v>
      </c>
      <c r="D55" s="117">
        <f t="shared" si="10"/>
        <v>0.53103</v>
      </c>
      <c r="E55" s="117">
        <f t="shared" si="10"/>
        <v>0.54132000000000002</v>
      </c>
      <c r="F55" s="117">
        <f t="shared" si="10"/>
        <v>0.54247000000000001</v>
      </c>
      <c r="G55" s="117">
        <f t="shared" si="10"/>
        <v>0.56564999999999999</v>
      </c>
      <c r="H55" s="117">
        <f t="shared" si="10"/>
        <v>0.53610000000000002</v>
      </c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</row>
    <row r="56" spans="1:32" x14ac:dyDescent="0.25">
      <c r="A56" s="6" t="s">
        <v>67</v>
      </c>
      <c r="B56" s="6"/>
      <c r="C56" s="109">
        <f>ROUND(C53+C54+C55,4)</f>
        <v>1</v>
      </c>
      <c r="D56" s="109">
        <f t="shared" ref="D56:H56" si="11">ROUND(D53+D54+D55,4)</f>
        <v>1</v>
      </c>
      <c r="E56" s="109">
        <f t="shared" si="11"/>
        <v>1</v>
      </c>
      <c r="F56" s="109">
        <f t="shared" si="11"/>
        <v>1</v>
      </c>
      <c r="G56" s="109">
        <f t="shared" si="11"/>
        <v>1</v>
      </c>
      <c r="H56" s="109">
        <f t="shared" si="11"/>
        <v>1</v>
      </c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</row>
    <row r="57" spans="1:32" x14ac:dyDescent="0.25"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spans="1:32" x14ac:dyDescent="0.25"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1:32" x14ac:dyDescent="0.25">
      <c r="A59" s="7" t="s">
        <v>97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1:32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1:32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</row>
    <row r="62" spans="1:32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1:32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  <row r="64" spans="1:32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  <row r="65" spans="1:32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spans="1:32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1:32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</row>
    <row r="68" spans="1:32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1:32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1:32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1:32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</row>
    <row r="72" spans="1:32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  <row r="73" spans="1:32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</row>
    <row r="74" spans="1:32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spans="1:32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1:32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</row>
    <row r="77" spans="1:32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</row>
    <row r="78" spans="1:32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</row>
    <row r="79" spans="1:32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</row>
    <row r="80" spans="1:32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</row>
    <row r="81" spans="1:32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</row>
    <row r="82" spans="1:32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</row>
    <row r="83" spans="1:32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</row>
    <row r="84" spans="1:32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</row>
    <row r="85" spans="1:32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</row>
    <row r="86" spans="1:32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</row>
    <row r="87" spans="1:32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1:32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1:32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</row>
    <row r="90" spans="1:32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</row>
    <row r="91" spans="1:32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</row>
    <row r="92" spans="1:32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</row>
    <row r="93" spans="1:32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</row>
    <row r="94" spans="1:32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</row>
    <row r="95" spans="1:32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</row>
    <row r="96" spans="1:32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</row>
    <row r="97" spans="1:32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</row>
    <row r="98" spans="1:32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</row>
    <row r="99" spans="1:32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</row>
    <row r="100" spans="1:32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</row>
    <row r="101" spans="1:32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</row>
    <row r="102" spans="1:32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</row>
    <row r="103" spans="1:32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</row>
    <row r="104" spans="1:32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</row>
    <row r="105" spans="1:32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</row>
    <row r="106" spans="1:32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</row>
    <row r="107" spans="1:32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</row>
    <row r="108" spans="1:32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</row>
    <row r="109" spans="1:32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</row>
    <row r="110" spans="1:32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</row>
    <row r="111" spans="1:32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</row>
    <row r="112" spans="1:32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</row>
    <row r="113" spans="1:32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</row>
    <row r="114" spans="1:32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</row>
    <row r="115" spans="1:32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</row>
    <row r="116" spans="1:32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</row>
    <row r="117" spans="1:32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</row>
    <row r="118" spans="1:32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</row>
    <row r="119" spans="1:32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</row>
    <row r="120" spans="1:32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</row>
    <row r="121" spans="1:32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</row>
    <row r="122" spans="1:32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</row>
    <row r="123" spans="1:32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</row>
    <row r="124" spans="1:32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</row>
    <row r="125" spans="1:32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</row>
    <row r="126" spans="1:32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</row>
    <row r="127" spans="1:32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</row>
    <row r="128" spans="1:32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</row>
    <row r="129" spans="1:32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</row>
    <row r="130" spans="1:32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</row>
    <row r="131" spans="1:32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</row>
    <row r="132" spans="1:32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</row>
    <row r="133" spans="1:32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</row>
    <row r="134" spans="1:32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</row>
    <row r="135" spans="1:32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</row>
    <row r="136" spans="1:32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</row>
    <row r="137" spans="1:32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</row>
    <row r="138" spans="1:32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</row>
    <row r="139" spans="1:32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</row>
    <row r="140" spans="1:32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</row>
    <row r="141" spans="1:32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</row>
    <row r="142" spans="1:32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</row>
    <row r="143" spans="1:32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</row>
    <row r="144" spans="1:32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</row>
    <row r="145" spans="1:32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</row>
    <row r="146" spans="1:32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</row>
    <row r="147" spans="1:32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</row>
    <row r="148" spans="1:32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</row>
    <row r="149" spans="1:32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</row>
    <row r="150" spans="1:32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</row>
    <row r="151" spans="1:32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</row>
    <row r="152" spans="1:32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</row>
    <row r="153" spans="1:32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</row>
    <row r="154" spans="1:32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</row>
    <row r="155" spans="1:32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</row>
    <row r="156" spans="1:32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</row>
    <row r="157" spans="1:32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</row>
    <row r="158" spans="1:32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</row>
    <row r="159" spans="1:32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</row>
    <row r="160" spans="1:32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</row>
    <row r="161" spans="1:32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</row>
    <row r="162" spans="1:32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</row>
    <row r="163" spans="1:32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</row>
    <row r="164" spans="1:32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</row>
    <row r="165" spans="1:32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</row>
    <row r="166" spans="1:32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</row>
    <row r="167" spans="1:32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</row>
    <row r="168" spans="1:32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</row>
    <row r="169" spans="1:32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</row>
    <row r="170" spans="1:32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</row>
    <row r="171" spans="1:32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</row>
    <row r="172" spans="1:32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</row>
    <row r="173" spans="1:32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</row>
    <row r="174" spans="1:32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</row>
    <row r="175" spans="1:32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</row>
    <row r="176" spans="1:32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</row>
    <row r="177" spans="1:32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</row>
    <row r="178" spans="1:32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</row>
    <row r="179" spans="1:32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</row>
    <row r="180" spans="1:32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</row>
    <row r="181" spans="1:32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</row>
    <row r="182" spans="1:32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</row>
    <row r="183" spans="1:32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</row>
    <row r="184" spans="1:32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</row>
    <row r="185" spans="1:32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</row>
    <row r="186" spans="1:32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</row>
    <row r="187" spans="1:32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</row>
    <row r="188" spans="1:32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</row>
    <row r="189" spans="1:32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</row>
    <row r="190" spans="1:32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</row>
    <row r="191" spans="1:32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</row>
    <row r="192" spans="1:32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</row>
    <row r="193" spans="1:32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</row>
    <row r="194" spans="1:32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</row>
    <row r="195" spans="1:32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</row>
    <row r="196" spans="1:32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</row>
    <row r="197" spans="1:32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</row>
    <row r="198" spans="1:32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</row>
    <row r="199" spans="1:32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</row>
    <row r="200" spans="1:32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</row>
    <row r="201" spans="1:32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</row>
    <row r="202" spans="1:32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</row>
    <row r="203" spans="1:32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</row>
    <row r="204" spans="1:32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</row>
    <row r="205" spans="1:32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</row>
    <row r="206" spans="1:32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</row>
    <row r="207" spans="1:32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32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</sheetData>
  <phoneticPr fontId="23" type="noConversion"/>
  <pageMargins left="0.95" right="0.2" top="0.75" bottom="0.5" header="0.3" footer="0.3"/>
  <pageSetup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0"/>
  <sheetViews>
    <sheetView workbookViewId="0">
      <selection activeCell="O14" sqref="O14"/>
    </sheetView>
  </sheetViews>
  <sheetFormatPr defaultColWidth="9.140625" defaultRowHeight="15" x14ac:dyDescent="0.25"/>
  <cols>
    <col min="1" max="1" width="31.42578125" style="11" customWidth="1"/>
    <col min="2" max="2" width="2" style="11" customWidth="1"/>
    <col min="3" max="3" width="10.28515625" style="11" customWidth="1"/>
    <col min="4" max="4" width="9.42578125" style="11" customWidth="1"/>
    <col min="5" max="5" width="9.7109375" style="11" customWidth="1"/>
    <col min="6" max="6" width="9.85546875" style="11" customWidth="1"/>
    <col min="7" max="8" width="10.42578125" style="11" customWidth="1"/>
    <col min="9" max="16384" width="9.140625" style="11"/>
  </cols>
  <sheetData>
    <row r="1" spans="1:8" ht="15.75" x14ac:dyDescent="0.25">
      <c r="A1" s="111" t="s">
        <v>61</v>
      </c>
      <c r="H1" s="13" t="s">
        <v>115</v>
      </c>
    </row>
    <row r="2" spans="1:8" ht="15.75" x14ac:dyDescent="0.25">
      <c r="A2" s="111" t="s">
        <v>152</v>
      </c>
      <c r="H2" s="13" t="s">
        <v>177</v>
      </c>
    </row>
    <row r="3" spans="1:8" ht="15.75" x14ac:dyDescent="0.25">
      <c r="B3" s="111"/>
      <c r="C3" s="111"/>
      <c r="D3" s="111"/>
      <c r="E3" s="111"/>
      <c r="F3" s="111"/>
      <c r="G3" s="111"/>
      <c r="H3" s="13" t="s">
        <v>117</v>
      </c>
    </row>
    <row r="4" spans="1:8" ht="15.75" x14ac:dyDescent="0.25">
      <c r="B4" s="111"/>
      <c r="C4" s="111"/>
      <c r="D4" s="111"/>
      <c r="E4" s="111"/>
      <c r="F4" s="111"/>
      <c r="G4" s="111"/>
      <c r="H4" s="13"/>
    </row>
    <row r="5" spans="1:8" ht="15.75" x14ac:dyDescent="0.25">
      <c r="A5" s="82"/>
      <c r="B5" s="111"/>
      <c r="C5" s="111"/>
      <c r="D5" s="111"/>
      <c r="E5" s="111"/>
      <c r="F5" s="111"/>
      <c r="G5" s="111"/>
    </row>
    <row r="6" spans="1:8" x14ac:dyDescent="0.25">
      <c r="A6" s="145"/>
      <c r="B6" s="14"/>
      <c r="C6" s="14"/>
      <c r="D6" s="14"/>
      <c r="E6" s="14"/>
      <c r="F6" s="14"/>
      <c r="G6" s="14"/>
      <c r="H6" s="146" t="s">
        <v>56</v>
      </c>
    </row>
    <row r="7" spans="1:8" x14ac:dyDescent="0.25">
      <c r="A7" s="17"/>
      <c r="B7" s="17"/>
      <c r="C7" s="110">
        <v>2020</v>
      </c>
      <c r="D7" s="110">
        <v>2019</v>
      </c>
      <c r="E7" s="110">
        <v>2018</v>
      </c>
      <c r="F7" s="147">
        <v>2017</v>
      </c>
      <c r="G7" s="110">
        <v>2016</v>
      </c>
      <c r="H7" s="110" t="s">
        <v>39</v>
      </c>
    </row>
    <row r="8" spans="1:8" x14ac:dyDescent="0.25">
      <c r="A8" s="5"/>
      <c r="B8" s="5"/>
      <c r="C8" s="5"/>
      <c r="D8" s="5"/>
      <c r="E8" s="5"/>
      <c r="F8" s="5"/>
      <c r="G8" s="20"/>
      <c r="H8" s="14"/>
    </row>
    <row r="9" spans="1:8" x14ac:dyDescent="0.25">
      <c r="A9" s="148" t="s">
        <v>49</v>
      </c>
      <c r="B9" s="14"/>
      <c r="C9" s="14"/>
      <c r="D9" s="14"/>
      <c r="E9" s="14"/>
      <c r="F9" s="14"/>
      <c r="G9" s="14"/>
      <c r="H9" s="14"/>
    </row>
    <row r="10" spans="1:8" x14ac:dyDescent="0.25">
      <c r="A10" s="14" t="s">
        <v>60</v>
      </c>
      <c r="B10" s="14"/>
      <c r="C10" s="116">
        <f>'Not an Attach.-Proxy Co. Detail'!BB46</f>
        <v>0.39800000000000002</v>
      </c>
      <c r="D10" s="116">
        <f>'Not an Attach.-Proxy Co. Detail'!BC46</f>
        <v>0.40500000000000003</v>
      </c>
      <c r="E10" s="116">
        <f>'Not an Attach.-Proxy Co. Detail'!BD46</f>
        <v>0.42899999999999999</v>
      </c>
      <c r="F10" s="116">
        <f>'Not an Attach.-Proxy Co. Detail'!BE46</f>
        <v>0.46700000000000003</v>
      </c>
      <c r="G10" s="116">
        <f>'Not an Attach.-Proxy Co. Detail'!BF46</f>
        <v>0.47199999999999998</v>
      </c>
      <c r="H10" s="117">
        <f>AVERAGE(C10:G10)</f>
        <v>0.43420000000000003</v>
      </c>
    </row>
    <row r="11" spans="1:8" x14ac:dyDescent="0.25">
      <c r="A11" s="14" t="s">
        <v>3</v>
      </c>
      <c r="B11" s="14"/>
      <c r="C11" s="118">
        <f>'Not an Attach.-Proxy Co. Detail'!BB47</f>
        <v>0</v>
      </c>
      <c r="D11" s="118">
        <f>'Not an Attach.-Proxy Co. Detail'!BC47</f>
        <v>0</v>
      </c>
      <c r="E11" s="118">
        <f>'Not an Attach.-Proxy Co. Detail'!BD47</f>
        <v>0</v>
      </c>
      <c r="F11" s="118">
        <f>'Not an Attach.-Proxy Co. Detail'!BE47</f>
        <v>0</v>
      </c>
      <c r="G11" s="118">
        <f>'Not an Attach.-Proxy Co. Detail'!BF47</f>
        <v>0</v>
      </c>
      <c r="H11" s="118">
        <f t="shared" ref="H11:H12" si="0">AVERAGE(C11:G11)</f>
        <v>0</v>
      </c>
    </row>
    <row r="12" spans="1:8" x14ac:dyDescent="0.25">
      <c r="A12" s="14" t="s">
        <v>19</v>
      </c>
      <c r="B12" s="14"/>
      <c r="C12" s="116">
        <f>'Not an Attach.-Proxy Co. Detail'!BB48</f>
        <v>0.60199999999999998</v>
      </c>
      <c r="D12" s="116">
        <f>'Not an Attach.-Proxy Co. Detail'!BC48</f>
        <v>0.59499999999999997</v>
      </c>
      <c r="E12" s="116">
        <f>'Not an Attach.-Proxy Co. Detail'!BD48</f>
        <v>0.57099999999999995</v>
      </c>
      <c r="F12" s="116">
        <f>'Not an Attach.-Proxy Co. Detail'!BE48</f>
        <v>0.53300000000000003</v>
      </c>
      <c r="G12" s="116">
        <f>'Not an Attach.-Proxy Co. Detail'!BF48</f>
        <v>0.52800000000000002</v>
      </c>
      <c r="H12" s="117">
        <f t="shared" si="0"/>
        <v>0.56580000000000008</v>
      </c>
    </row>
    <row r="13" spans="1:8" x14ac:dyDescent="0.25">
      <c r="A13" s="6" t="s">
        <v>7</v>
      </c>
      <c r="B13" s="6"/>
      <c r="C13" s="109">
        <f>C10+C11+C12</f>
        <v>1</v>
      </c>
      <c r="D13" s="109">
        <f>D10+D11+D12</f>
        <v>1</v>
      </c>
      <c r="E13" s="109">
        <f t="shared" ref="E13:G13" si="1">E10+E11+E12</f>
        <v>1</v>
      </c>
      <c r="F13" s="109">
        <f t="shared" si="1"/>
        <v>1</v>
      </c>
      <c r="G13" s="109">
        <f t="shared" si="1"/>
        <v>1</v>
      </c>
      <c r="H13" s="109">
        <f>AVERAGE(C13:G13)</f>
        <v>1</v>
      </c>
    </row>
    <row r="14" spans="1:8" x14ac:dyDescent="0.25">
      <c r="A14" s="5"/>
      <c r="B14" s="5"/>
      <c r="C14" s="20"/>
      <c r="D14" s="20"/>
      <c r="E14" s="20"/>
      <c r="F14" s="20"/>
      <c r="G14" s="20"/>
      <c r="H14" s="20"/>
    </row>
    <row r="15" spans="1:8" x14ac:dyDescent="0.25">
      <c r="A15" s="148" t="s">
        <v>55</v>
      </c>
      <c r="B15" s="14"/>
      <c r="C15" s="14"/>
      <c r="D15" s="14"/>
      <c r="E15" s="14"/>
      <c r="F15" s="14"/>
      <c r="G15" s="14"/>
      <c r="H15" s="14"/>
    </row>
    <row r="16" spans="1:8" x14ac:dyDescent="0.25">
      <c r="A16" s="14" t="s">
        <v>60</v>
      </c>
      <c r="B16" s="14"/>
      <c r="C16" s="116">
        <f>'Not an Attach.-Proxy Co. Detail'!P46</f>
        <v>0.56100000000000005</v>
      </c>
      <c r="D16" s="116">
        <f>'Not an Attach.-Proxy Co. Detail'!Q46</f>
        <v>0.5</v>
      </c>
      <c r="E16" s="116">
        <f>'Not an Attach.-Proxy Co. Detail'!R46</f>
        <v>0.504</v>
      </c>
      <c r="F16" s="116">
        <f>'Not an Attach.-Proxy Co. Detail'!S46</f>
        <v>0.53500000000000003</v>
      </c>
      <c r="G16" s="116">
        <f>'Not an Attach.-Proxy Co. Detail'!T46</f>
        <v>0.51300000000000001</v>
      </c>
      <c r="H16" s="117">
        <f>AVERAGE(C16:G16)</f>
        <v>0.52259999999999995</v>
      </c>
    </row>
    <row r="17" spans="1:8" x14ac:dyDescent="0.25">
      <c r="A17" s="14" t="s">
        <v>3</v>
      </c>
      <c r="B17" s="14"/>
      <c r="C17" s="118">
        <f>'Not an Attach.-Proxy Co. Detail'!P47</f>
        <v>0</v>
      </c>
      <c r="D17" s="118">
        <f>'Not an Attach.-Proxy Co. Detail'!Q47</f>
        <v>0</v>
      </c>
      <c r="E17" s="118">
        <f>'Not an Attach.-Proxy Co. Detail'!R47</f>
        <v>0</v>
      </c>
      <c r="F17" s="118">
        <f>'Not an Attach.-Proxy Co. Detail'!S47</f>
        <v>0</v>
      </c>
      <c r="G17" s="118">
        <f>'Not an Attach.-Proxy Co. Detail'!T47</f>
        <v>0</v>
      </c>
      <c r="H17" s="118">
        <f t="shared" ref="H17:H18" si="2">AVERAGE(C17:G17)</f>
        <v>0</v>
      </c>
    </row>
    <row r="18" spans="1:8" x14ac:dyDescent="0.25">
      <c r="A18" s="14" t="s">
        <v>19</v>
      </c>
      <c r="B18" s="14"/>
      <c r="C18" s="116">
        <f>'Not an Attach.-Proxy Co. Detail'!P48</f>
        <v>0.439</v>
      </c>
      <c r="D18" s="116">
        <f>'Not an Attach.-Proxy Co. Detail'!Q48</f>
        <v>0.5</v>
      </c>
      <c r="E18" s="116">
        <f>'Not an Attach.-Proxy Co. Detail'!R48</f>
        <v>0.496</v>
      </c>
      <c r="F18" s="116">
        <f>'Not an Attach.-Proxy Co. Detail'!S48</f>
        <v>0.46500000000000002</v>
      </c>
      <c r="G18" s="116">
        <f>'Not an Attach.-Proxy Co. Detail'!T48</f>
        <v>0.48699999999999999</v>
      </c>
      <c r="H18" s="117">
        <f t="shared" si="2"/>
        <v>0.47739999999999999</v>
      </c>
    </row>
    <row r="19" spans="1:8" x14ac:dyDescent="0.25">
      <c r="A19" s="6" t="s">
        <v>7</v>
      </c>
      <c r="B19" s="6"/>
      <c r="C19" s="109">
        <f>C16+C17+C18</f>
        <v>1</v>
      </c>
      <c r="D19" s="109">
        <f>D16+D17+D18</f>
        <v>1</v>
      </c>
      <c r="E19" s="109">
        <f t="shared" ref="E19:G19" si="3">E16+E17+E18</f>
        <v>1</v>
      </c>
      <c r="F19" s="109">
        <f t="shared" si="3"/>
        <v>1</v>
      </c>
      <c r="G19" s="109">
        <f t="shared" si="3"/>
        <v>1</v>
      </c>
      <c r="H19" s="109">
        <f>AVERAGE(C19:G19)</f>
        <v>1</v>
      </c>
    </row>
    <row r="20" spans="1:8" x14ac:dyDescent="0.25">
      <c r="A20" s="5"/>
      <c r="B20" s="5"/>
      <c r="C20" s="20"/>
      <c r="D20" s="20"/>
      <c r="E20" s="20"/>
      <c r="F20" s="20"/>
      <c r="G20" s="20"/>
      <c r="H20" s="20"/>
    </row>
    <row r="21" spans="1:8" x14ac:dyDescent="0.25">
      <c r="A21" s="148" t="s">
        <v>48</v>
      </c>
      <c r="B21" s="14"/>
      <c r="C21" s="14"/>
      <c r="D21" s="14"/>
      <c r="E21" s="14"/>
      <c r="F21" s="14"/>
      <c r="G21" s="14"/>
      <c r="H21" s="14"/>
    </row>
    <row r="22" spans="1:8" x14ac:dyDescent="0.25">
      <c r="A22" s="14" t="s">
        <v>60</v>
      </c>
      <c r="B22" s="14"/>
      <c r="C22" s="116">
        <f>'Not an Attach.-Proxy Co. Detail'!AI46</f>
        <v>0.58299999999999996</v>
      </c>
      <c r="D22" s="116">
        <f>'Not an Attach.-Proxy Co. Detail'!AJ46</f>
        <v>0.54</v>
      </c>
      <c r="E22" s="116">
        <f>'Not an Attach.-Proxy Co. Detail'!AK46</f>
        <v>0.55300000000000005</v>
      </c>
      <c r="F22" s="116">
        <f>'Not an Attach.-Proxy Co. Detail'!AL46</f>
        <v>0.52600000000000002</v>
      </c>
      <c r="G22" s="116">
        <f>'Not an Attach.-Proxy Co. Detail'!AM46</f>
        <v>0.47399999999999998</v>
      </c>
      <c r="H22" s="117">
        <f>AVERAGE(C22:G22)</f>
        <v>0.53520000000000001</v>
      </c>
    </row>
    <row r="23" spans="1:8" x14ac:dyDescent="0.25">
      <c r="A23" s="14" t="s">
        <v>3</v>
      </c>
      <c r="B23" s="14"/>
      <c r="C23" s="118">
        <f>'Not an Attach.-Proxy Co. Detail'!AI47</f>
        <v>0</v>
      </c>
      <c r="D23" s="118">
        <f>'Not an Attach.-Proxy Co. Detail'!AJ47</f>
        <v>0</v>
      </c>
      <c r="E23" s="118">
        <f>'Not an Attach.-Proxy Co. Detail'!AK47</f>
        <v>0</v>
      </c>
      <c r="F23" s="118">
        <f>'Not an Attach.-Proxy Co. Detail'!AL47</f>
        <v>0</v>
      </c>
      <c r="G23" s="118">
        <f>'Not an Attach.-Proxy Co. Detail'!AM47</f>
        <v>0</v>
      </c>
      <c r="H23" s="118">
        <f t="shared" ref="H23:H24" si="4">AVERAGE(C23:G23)</f>
        <v>0</v>
      </c>
    </row>
    <row r="24" spans="1:8" x14ac:dyDescent="0.25">
      <c r="A24" s="14" t="s">
        <v>19</v>
      </c>
      <c r="B24" s="14"/>
      <c r="C24" s="116">
        <f>'Not an Attach.-Proxy Co. Detail'!AI48</f>
        <v>0.41699999999999998</v>
      </c>
      <c r="D24" s="116">
        <f>'Not an Attach.-Proxy Co. Detail'!AJ48</f>
        <v>0.46</v>
      </c>
      <c r="E24" s="116">
        <f>'Not an Attach.-Proxy Co. Detail'!AK48</f>
        <v>0.44700000000000001</v>
      </c>
      <c r="F24" s="116">
        <f>'Not an Attach.-Proxy Co. Detail'!AL48</f>
        <v>0.47399999999999998</v>
      </c>
      <c r="G24" s="116">
        <f>'Not an Attach.-Proxy Co. Detail'!AM48</f>
        <v>0.52600000000000002</v>
      </c>
      <c r="H24" s="117">
        <f t="shared" si="4"/>
        <v>0.46479999999999999</v>
      </c>
    </row>
    <row r="25" spans="1:8" x14ac:dyDescent="0.25">
      <c r="A25" s="6" t="s">
        <v>7</v>
      </c>
      <c r="B25" s="6"/>
      <c r="C25" s="109">
        <f t="shared" ref="C25:D25" si="5">C22+C23+C24</f>
        <v>1</v>
      </c>
      <c r="D25" s="109">
        <f t="shared" si="5"/>
        <v>1</v>
      </c>
      <c r="E25" s="109">
        <f t="shared" ref="E25:G25" si="6">E22+E23+E24</f>
        <v>1</v>
      </c>
      <c r="F25" s="109">
        <f t="shared" si="6"/>
        <v>1</v>
      </c>
      <c r="G25" s="109">
        <f t="shared" si="6"/>
        <v>1</v>
      </c>
      <c r="H25" s="109">
        <f>AVERAGE(C25:G25)</f>
        <v>1</v>
      </c>
    </row>
    <row r="26" spans="1:8" x14ac:dyDescent="0.25">
      <c r="A26" s="5"/>
      <c r="B26" s="5"/>
      <c r="C26" s="20"/>
      <c r="D26" s="20"/>
      <c r="E26" s="20"/>
      <c r="F26" s="20"/>
      <c r="G26" s="20"/>
      <c r="H26" s="20"/>
    </row>
    <row r="27" spans="1:8" x14ac:dyDescent="0.25">
      <c r="A27" s="149" t="s">
        <v>141</v>
      </c>
      <c r="B27" s="5"/>
      <c r="C27" s="20"/>
      <c r="D27" s="20"/>
      <c r="E27" s="20"/>
      <c r="F27" s="20"/>
      <c r="G27" s="20"/>
      <c r="H27" s="20"/>
    </row>
    <row r="28" spans="1:8" x14ac:dyDescent="0.25">
      <c r="A28" s="14" t="s">
        <v>60</v>
      </c>
      <c r="B28" s="14"/>
      <c r="C28" s="116">
        <f>'Not an Attach.-Proxy Co. Detail'!BU46</f>
        <v>0.47166000000000002</v>
      </c>
      <c r="D28" s="116">
        <f>'Not an Attach.-Proxy Co. Detail'!BV46</f>
        <v>0.45766000000000001</v>
      </c>
      <c r="E28" s="116">
        <f>'Not an Attach.-Proxy Co. Detail'!BW46</f>
        <v>0.43642999999999998</v>
      </c>
      <c r="F28" s="116">
        <f>'Not an Attach.-Proxy Co. Detail'!BX46</f>
        <v>0.44095000000000001</v>
      </c>
      <c r="G28" s="116">
        <f>'Not an Attach.-Proxy Co. Detail'!BY46</f>
        <v>0.41400999999999999</v>
      </c>
      <c r="H28" s="117">
        <f>AVERAGE(C28:G28)</f>
        <v>0.44414199999999998</v>
      </c>
    </row>
    <row r="29" spans="1:8" x14ac:dyDescent="0.25">
      <c r="A29" s="14" t="s">
        <v>3</v>
      </c>
      <c r="B29" s="14"/>
      <c r="C29" s="118">
        <f>'Not an Attach.-Proxy Co. Detail'!BU47</f>
        <v>0</v>
      </c>
      <c r="D29" s="118">
        <f>'Not an Attach.-Proxy Co. Detail'!BV47</f>
        <v>0</v>
      </c>
      <c r="E29" s="118">
        <f>'Not an Attach.-Proxy Co. Detail'!BW47</f>
        <v>0</v>
      </c>
      <c r="F29" s="118">
        <f>'Not an Attach.-Proxy Co. Detail'!BX47</f>
        <v>0</v>
      </c>
      <c r="G29" s="118">
        <f>'Not an Attach.-Proxy Co. Detail'!BY47</f>
        <v>0</v>
      </c>
      <c r="H29" s="118">
        <f t="shared" ref="H29:H30" si="7">AVERAGE(C29:G29)</f>
        <v>0</v>
      </c>
    </row>
    <row r="30" spans="1:8" x14ac:dyDescent="0.25">
      <c r="A30" s="14" t="s">
        <v>19</v>
      </c>
      <c r="B30" s="14"/>
      <c r="C30" s="116">
        <f>'Not an Attach.-Proxy Co. Detail'!BU48</f>
        <v>0.52834000000000003</v>
      </c>
      <c r="D30" s="116">
        <f>'Not an Attach.-Proxy Co. Detail'!BV48</f>
        <v>0.54234000000000004</v>
      </c>
      <c r="E30" s="116">
        <f>'Not an Attach.-Proxy Co. Detail'!BW48</f>
        <v>0.56357000000000002</v>
      </c>
      <c r="F30" s="116">
        <f>'Not an Attach.-Proxy Co. Detail'!BX48</f>
        <v>0.55905000000000005</v>
      </c>
      <c r="G30" s="116">
        <f>'Not an Attach.-Proxy Co. Detail'!BY48</f>
        <v>0.58599000000000001</v>
      </c>
      <c r="H30" s="117">
        <f t="shared" si="7"/>
        <v>0.55585800000000007</v>
      </c>
    </row>
    <row r="31" spans="1:8" x14ac:dyDescent="0.25">
      <c r="A31" s="6" t="s">
        <v>7</v>
      </c>
      <c r="B31" s="6"/>
      <c r="C31" s="109">
        <f t="shared" ref="C31:D31" si="8">C28+C29+C30</f>
        <v>1</v>
      </c>
      <c r="D31" s="109">
        <f t="shared" si="8"/>
        <v>1</v>
      </c>
      <c r="E31" s="109">
        <f t="shared" ref="E31:G31" si="9">E28+E29+E30</f>
        <v>1</v>
      </c>
      <c r="F31" s="109">
        <f t="shared" si="9"/>
        <v>1</v>
      </c>
      <c r="G31" s="109">
        <f t="shared" si="9"/>
        <v>1</v>
      </c>
      <c r="H31" s="109">
        <f>AVERAGE(C31:G31)</f>
        <v>1</v>
      </c>
    </row>
    <row r="32" spans="1:8" x14ac:dyDescent="0.25">
      <c r="A32" s="5"/>
      <c r="B32" s="5"/>
      <c r="C32" s="20"/>
      <c r="D32" s="20"/>
      <c r="E32" s="20"/>
      <c r="F32" s="20"/>
      <c r="G32" s="20"/>
      <c r="H32" s="20"/>
    </row>
    <row r="33" spans="1:9" x14ac:dyDescent="0.25">
      <c r="A33" s="148" t="s">
        <v>51</v>
      </c>
      <c r="B33" s="14"/>
      <c r="C33" s="14"/>
      <c r="D33" s="14"/>
      <c r="E33" s="14"/>
      <c r="F33" s="14"/>
      <c r="G33" s="14"/>
      <c r="H33" s="14"/>
    </row>
    <row r="34" spans="1:9" x14ac:dyDescent="0.25">
      <c r="A34" s="14" t="s">
        <v>60</v>
      </c>
      <c r="B34" s="14"/>
      <c r="C34" s="116">
        <f>'Not an Attach.-Proxy Co. Detail'!DX46</f>
        <v>0.67400000000000004</v>
      </c>
      <c r="D34" s="116">
        <f>'Not an Attach.-Proxy Co. Detail'!DY46</f>
        <v>0.69899999999999995</v>
      </c>
      <c r="E34" s="116">
        <f>'Not an Attach.-Proxy Co. Detail'!DZ46</f>
        <v>0.70599999999999996</v>
      </c>
      <c r="F34" s="116">
        <f>'Not an Attach.-Proxy Co. Detail'!EA46</f>
        <v>0.55500000000000005</v>
      </c>
      <c r="G34" s="116">
        <f>'Not an Attach.-Proxy Co. Detail'!EB46</f>
        <v>0.504</v>
      </c>
      <c r="H34" s="117">
        <f>AVERAGE(C34:G34)</f>
        <v>0.62759999999999994</v>
      </c>
    </row>
    <row r="35" spans="1:9" x14ac:dyDescent="0.25">
      <c r="A35" s="14" t="s">
        <v>3</v>
      </c>
      <c r="B35" s="14"/>
      <c r="C35" s="118">
        <f>'Not an Attach.-Proxy Co. Detail'!DX47</f>
        <v>0</v>
      </c>
      <c r="D35" s="118">
        <f>'Not an Attach.-Proxy Co. Detail'!DY47</f>
        <v>0</v>
      </c>
      <c r="E35" s="118">
        <f>'Not an Attach.-Proxy Co. Detail'!DZ47</f>
        <v>0</v>
      </c>
      <c r="F35" s="118">
        <f>'Not an Attach.-Proxy Co. Detail'!EA47</f>
        <v>0</v>
      </c>
      <c r="G35" s="118">
        <f>'Not an Attach.-Proxy Co. Detail'!EB47</f>
        <v>0</v>
      </c>
      <c r="H35" s="118">
        <f t="shared" ref="H35:H36" si="10">AVERAGE(C35:G35)</f>
        <v>0</v>
      </c>
      <c r="I35" s="58"/>
    </row>
    <row r="36" spans="1:9" x14ac:dyDescent="0.25">
      <c r="A36" s="14" t="s">
        <v>19</v>
      </c>
      <c r="B36" s="14"/>
      <c r="C36" s="116">
        <f>'Not an Attach.-Proxy Co. Detail'!DX48</f>
        <v>0.32600000000000001</v>
      </c>
      <c r="D36" s="116">
        <f>'Not an Attach.-Proxy Co. Detail'!DY48</f>
        <v>0.30099999999999999</v>
      </c>
      <c r="E36" s="116">
        <f>'Not an Attach.-Proxy Co. Detail'!DZ48</f>
        <v>0.29399999999999998</v>
      </c>
      <c r="F36" s="116">
        <f>'Not an Attach.-Proxy Co. Detail'!EA48</f>
        <v>0.44500000000000001</v>
      </c>
      <c r="G36" s="116">
        <f>'Not an Attach.-Proxy Co. Detail'!EB48</f>
        <v>0.496</v>
      </c>
      <c r="H36" s="117">
        <f t="shared" si="10"/>
        <v>0.37240000000000001</v>
      </c>
    </row>
    <row r="37" spans="1:9" x14ac:dyDescent="0.25">
      <c r="A37" s="6" t="s">
        <v>7</v>
      </c>
      <c r="B37" s="6"/>
      <c r="C37" s="109">
        <f t="shared" ref="C37:D37" si="11">C34+C35+C36</f>
        <v>1</v>
      </c>
      <c r="D37" s="109">
        <f t="shared" si="11"/>
        <v>1</v>
      </c>
      <c r="E37" s="109">
        <f t="shared" ref="E37:G37" si="12">E34+E35+E36</f>
        <v>1</v>
      </c>
      <c r="F37" s="109">
        <f t="shared" si="12"/>
        <v>1</v>
      </c>
      <c r="G37" s="109">
        <f t="shared" si="12"/>
        <v>1</v>
      </c>
      <c r="H37" s="109">
        <f>AVERAGE(C37:G37)</f>
        <v>1</v>
      </c>
    </row>
    <row r="38" spans="1:9" x14ac:dyDescent="0.25">
      <c r="A38" s="5"/>
      <c r="B38" s="5"/>
      <c r="C38" s="20"/>
      <c r="D38" s="20"/>
      <c r="E38" s="20"/>
      <c r="F38" s="20"/>
      <c r="G38" s="20"/>
      <c r="H38" s="20"/>
    </row>
    <row r="39" spans="1:9" x14ac:dyDescent="0.25">
      <c r="A39" s="148" t="s">
        <v>50</v>
      </c>
      <c r="B39" s="14"/>
      <c r="C39" s="14"/>
      <c r="D39" s="14"/>
      <c r="E39" s="14"/>
      <c r="F39" s="14"/>
      <c r="G39" s="14"/>
      <c r="H39" s="14"/>
    </row>
    <row r="40" spans="1:9" x14ac:dyDescent="0.25">
      <c r="A40" s="14" t="s">
        <v>60</v>
      </c>
      <c r="B40" s="14"/>
      <c r="C40" s="116">
        <f>'Not an Attach.-Proxy Co. Detail'!CL46</f>
        <v>0.51300000000000001</v>
      </c>
      <c r="D40" s="116">
        <f>'Not an Attach.-Proxy Co. Detail'!CM46</f>
        <v>0.51100000000000001</v>
      </c>
      <c r="E40" s="116">
        <f>'Not an Attach.-Proxy Co. Detail'!CN46</f>
        <v>0.499</v>
      </c>
      <c r="F40" s="116">
        <f>'Not an Attach.-Proxy Co. Detail'!CO46</f>
        <v>0.52300000000000002</v>
      </c>
      <c r="G40" s="116">
        <f>'Not an Attach.-Proxy Co. Detail'!CP46</f>
        <v>0.48299999999999998</v>
      </c>
      <c r="H40" s="117">
        <f>AVERAGE(C40:G40)</f>
        <v>0.50580000000000003</v>
      </c>
    </row>
    <row r="41" spans="1:9" x14ac:dyDescent="0.25">
      <c r="A41" s="14" t="s">
        <v>3</v>
      </c>
      <c r="B41" s="14"/>
      <c r="C41" s="118">
        <f>'Not an Attach.-Proxy Co. Detail'!CL47</f>
        <v>0</v>
      </c>
      <c r="D41" s="118">
        <f>'Not an Attach.-Proxy Co. Detail'!CM47</f>
        <v>0</v>
      </c>
      <c r="E41" s="118">
        <f>'Not an Attach.-Proxy Co. Detail'!CN47</f>
        <v>0</v>
      </c>
      <c r="F41" s="118">
        <f>'Not an Attach.-Proxy Co. Detail'!CO47</f>
        <v>0</v>
      </c>
      <c r="G41" s="118">
        <f>'Not an Attach.-Proxy Co. Detail'!CP47</f>
        <v>0</v>
      </c>
      <c r="H41" s="118">
        <f t="shared" ref="H41:H42" si="13">AVERAGE(C41:G41)</f>
        <v>0</v>
      </c>
    </row>
    <row r="42" spans="1:9" x14ac:dyDescent="0.25">
      <c r="A42" s="14" t="s">
        <v>19</v>
      </c>
      <c r="B42" s="14"/>
      <c r="C42" s="116">
        <f>'Not an Attach.-Proxy Co. Detail'!CL48</f>
        <v>0.48699999999999999</v>
      </c>
      <c r="D42" s="116">
        <f>'Not an Attach.-Proxy Co. Detail'!CM48</f>
        <v>0.48899999999999999</v>
      </c>
      <c r="E42" s="116">
        <f>'Not an Attach.-Proxy Co. Detail'!CN48</f>
        <v>0.501</v>
      </c>
      <c r="F42" s="116">
        <f>'Not an Attach.-Proxy Co. Detail'!CO48</f>
        <v>0.47699999999999998</v>
      </c>
      <c r="G42" s="116">
        <f>'Not an Attach.-Proxy Co. Detail'!CP48</f>
        <v>0.51700000000000002</v>
      </c>
      <c r="H42" s="117">
        <f t="shared" si="13"/>
        <v>0.49419999999999992</v>
      </c>
    </row>
    <row r="43" spans="1:9" x14ac:dyDescent="0.25">
      <c r="A43" s="6" t="s">
        <v>7</v>
      </c>
      <c r="B43" s="6"/>
      <c r="C43" s="109">
        <f t="shared" ref="C43:D43" si="14">C40+C41+C42</f>
        <v>1</v>
      </c>
      <c r="D43" s="109">
        <f t="shared" si="14"/>
        <v>1</v>
      </c>
      <c r="E43" s="109">
        <f t="shared" ref="E43:G43" si="15">E40+E41+E42</f>
        <v>1</v>
      </c>
      <c r="F43" s="109">
        <f t="shared" si="15"/>
        <v>1</v>
      </c>
      <c r="G43" s="109">
        <f t="shared" si="15"/>
        <v>1</v>
      </c>
      <c r="H43" s="109">
        <f>AVERAGE(C43:G43)</f>
        <v>1</v>
      </c>
    </row>
    <row r="44" spans="1:9" x14ac:dyDescent="0.25">
      <c r="A44" s="5"/>
      <c r="B44" s="5"/>
      <c r="C44" s="20"/>
      <c r="D44" s="20"/>
      <c r="E44" s="20"/>
      <c r="F44" s="20"/>
      <c r="G44" s="20"/>
      <c r="H44" s="20"/>
    </row>
    <row r="45" spans="1:9" x14ac:dyDescent="0.25">
      <c r="A45" s="148" t="s">
        <v>126</v>
      </c>
      <c r="B45" s="14"/>
      <c r="C45" s="14"/>
      <c r="D45" s="14"/>
      <c r="E45" s="14"/>
      <c r="F45" s="14"/>
      <c r="G45" s="14"/>
      <c r="H45" s="14"/>
    </row>
    <row r="46" spans="1:9" x14ac:dyDescent="0.25">
      <c r="A46" s="14" t="s">
        <v>60</v>
      </c>
      <c r="B46" s="14"/>
      <c r="C46" s="116">
        <f>'Not an Attach.-Proxy Co. Detail'!DE46</f>
        <v>0.55100000000000005</v>
      </c>
      <c r="D46" s="116">
        <f>'Not an Attach.-Proxy Co. Detail'!DF46</f>
        <v>0.52700000000000002</v>
      </c>
      <c r="E46" s="116">
        <f>'Not an Attach.-Proxy Co. Detail'!DG46</f>
        <v>0.53900000000000003</v>
      </c>
      <c r="F46" s="116">
        <f>'Not an Attach.-Proxy Co. Detail'!DH46</f>
        <v>0.56399999999999995</v>
      </c>
      <c r="G46" s="116">
        <f>'Not an Attach.-Proxy Co. Detail'!DI46</f>
        <v>0.58299999999999996</v>
      </c>
      <c r="H46" s="117">
        <f>AVERAGE(C46:G46)</f>
        <v>0.55280000000000007</v>
      </c>
    </row>
    <row r="47" spans="1:9" x14ac:dyDescent="0.25">
      <c r="A47" s="14" t="s">
        <v>3</v>
      </c>
      <c r="B47" s="14"/>
      <c r="C47" s="116">
        <f>'Not an Attach.-Proxy Co. Detail'!DE47</f>
        <v>4.2000000000000003E-2</v>
      </c>
      <c r="D47" s="116">
        <f>'Not an Attach.-Proxy Co. Detail'!DF47</f>
        <v>4.3999999999999997E-2</v>
      </c>
      <c r="E47" s="118">
        <f>'Not an Attach.-Proxy Co. Detail'!DG47</f>
        <v>0</v>
      </c>
      <c r="F47" s="118">
        <f>'Not an Attach.-Proxy Co. Detail'!DH47</f>
        <v>0</v>
      </c>
      <c r="G47" s="118">
        <f>'Not an Attach.-Proxy Co. Detail'!DI47</f>
        <v>0</v>
      </c>
      <c r="H47" s="116">
        <f t="shared" ref="H47:H48" si="16">AVERAGE(C47:G47)</f>
        <v>1.72E-2</v>
      </c>
    </row>
    <row r="48" spans="1:9" x14ac:dyDescent="0.25">
      <c r="A48" s="14" t="s">
        <v>19</v>
      </c>
      <c r="B48" s="14"/>
      <c r="C48" s="116">
        <f>'Not an Attach.-Proxy Co. Detail'!DE48</f>
        <v>0.40799999999999997</v>
      </c>
      <c r="D48" s="116">
        <f>'Not an Attach.-Proxy Co. Detail'!DF48</f>
        <v>0.42899999999999999</v>
      </c>
      <c r="E48" s="116">
        <f>'Not an Attach.-Proxy Co. Detail'!DG48</f>
        <v>0.46100000000000002</v>
      </c>
      <c r="F48" s="116">
        <f>'Not an Attach.-Proxy Co. Detail'!DH48</f>
        <v>0.436</v>
      </c>
      <c r="G48" s="116">
        <f>'Not an Attach.-Proxy Co. Detail'!DI48</f>
        <v>0.41699999999999998</v>
      </c>
      <c r="H48" s="117">
        <f t="shared" si="16"/>
        <v>0.43019999999999997</v>
      </c>
    </row>
    <row r="49" spans="1:10" x14ac:dyDescent="0.25">
      <c r="A49" s="6" t="s">
        <v>7</v>
      </c>
      <c r="B49" s="6"/>
      <c r="C49" s="109">
        <f>C46+C47+C48</f>
        <v>1.0010000000000001</v>
      </c>
      <c r="D49" s="109">
        <f>D46+D47+D48</f>
        <v>1</v>
      </c>
      <c r="E49" s="109">
        <f t="shared" ref="E49:G49" si="17">E46+E47+E48</f>
        <v>1</v>
      </c>
      <c r="F49" s="109">
        <f t="shared" si="17"/>
        <v>1</v>
      </c>
      <c r="G49" s="109">
        <f t="shared" si="17"/>
        <v>1</v>
      </c>
      <c r="H49" s="109">
        <f>AVERAGE(C49:G49)</f>
        <v>1.0002</v>
      </c>
    </row>
    <row r="50" spans="1:10" x14ac:dyDescent="0.25">
      <c r="A50" s="5"/>
      <c r="B50" s="5"/>
      <c r="C50" s="20"/>
      <c r="D50" s="20"/>
      <c r="E50" s="20"/>
      <c r="F50" s="20"/>
      <c r="G50" s="20"/>
      <c r="H50" s="20"/>
    </row>
    <row r="51" spans="1:10" x14ac:dyDescent="0.25">
      <c r="A51" s="35" t="s">
        <v>57</v>
      </c>
      <c r="B51" s="14"/>
      <c r="C51" s="14"/>
      <c r="D51" s="14"/>
      <c r="E51" s="14"/>
      <c r="F51" s="14"/>
      <c r="G51" s="14"/>
      <c r="H51" s="14"/>
      <c r="J51" s="1"/>
    </row>
    <row r="52" spans="1:10" x14ac:dyDescent="0.25">
      <c r="A52" s="148" t="s">
        <v>58</v>
      </c>
      <c r="B52" s="14"/>
      <c r="C52" s="14"/>
      <c r="D52" s="14"/>
      <c r="E52" s="14"/>
      <c r="F52" s="14"/>
      <c r="G52" s="14"/>
      <c r="H52" s="14"/>
      <c r="J52" s="36"/>
    </row>
    <row r="53" spans="1:10" x14ac:dyDescent="0.25">
      <c r="A53" s="14" t="s">
        <v>60</v>
      </c>
      <c r="B53" s="14"/>
      <c r="C53" s="117">
        <f>ROUND((C10+C16+C22+C28+C34+C40+C46)/7,5)</f>
        <v>0.53595000000000004</v>
      </c>
      <c r="D53" s="117">
        <f t="shared" ref="D53:G53" si="18">ROUND((D10+D16+D22+D28+D34+D40+D46)/7,5)</f>
        <v>0.51995000000000002</v>
      </c>
      <c r="E53" s="117">
        <f t="shared" si="18"/>
        <v>0.52378000000000002</v>
      </c>
      <c r="F53" s="117">
        <f t="shared" si="18"/>
        <v>0.51585000000000003</v>
      </c>
      <c r="G53" s="117">
        <f t="shared" si="18"/>
        <v>0.49186000000000002</v>
      </c>
      <c r="H53" s="117">
        <f>AVERAGE(C53:G53)</f>
        <v>0.51747799999999999</v>
      </c>
      <c r="J53" s="20"/>
    </row>
    <row r="54" spans="1:10" x14ac:dyDescent="0.25">
      <c r="A54" s="14" t="s">
        <v>3</v>
      </c>
      <c r="B54" s="14"/>
      <c r="C54" s="117">
        <f t="shared" ref="C54:G55" si="19">ROUND((C11+C17+C23+C29+C35+C41+C47)/7,5)</f>
        <v>6.0000000000000001E-3</v>
      </c>
      <c r="D54" s="117">
        <f t="shared" si="19"/>
        <v>6.2899999999999996E-3</v>
      </c>
      <c r="E54" s="118">
        <f t="shared" si="19"/>
        <v>0</v>
      </c>
      <c r="F54" s="118">
        <f t="shared" si="19"/>
        <v>0</v>
      </c>
      <c r="G54" s="118">
        <f t="shared" si="19"/>
        <v>0</v>
      </c>
      <c r="H54" s="116">
        <f t="shared" ref="H54:H55" si="20">AVERAGE(C54:G54)</f>
        <v>2.4579999999999997E-3</v>
      </c>
      <c r="J54" s="20"/>
    </row>
    <row r="55" spans="1:10" x14ac:dyDescent="0.25">
      <c r="A55" s="14" t="s">
        <v>19</v>
      </c>
      <c r="B55" s="14"/>
      <c r="C55" s="117">
        <f t="shared" si="19"/>
        <v>0.45818999999999999</v>
      </c>
      <c r="D55" s="117">
        <f t="shared" si="19"/>
        <v>0.47376000000000001</v>
      </c>
      <c r="E55" s="117">
        <f t="shared" si="19"/>
        <v>0.47621999999999998</v>
      </c>
      <c r="F55" s="117">
        <f t="shared" si="19"/>
        <v>0.48415000000000002</v>
      </c>
      <c r="G55" s="117">
        <f t="shared" si="19"/>
        <v>0.50814000000000004</v>
      </c>
      <c r="H55" s="117">
        <f t="shared" si="20"/>
        <v>0.48009200000000007</v>
      </c>
      <c r="I55" s="27"/>
      <c r="J55" s="20"/>
    </row>
    <row r="56" spans="1:10" x14ac:dyDescent="0.25">
      <c r="A56" s="6" t="s">
        <v>7</v>
      </c>
      <c r="B56" s="6"/>
      <c r="C56" s="109">
        <f>ROUND(C53+C54+C55,3)</f>
        <v>1</v>
      </c>
      <c r="D56" s="109">
        <f t="shared" ref="D56:G56" si="21">ROUND(D53+D54+D55,3)</f>
        <v>1</v>
      </c>
      <c r="E56" s="109">
        <f t="shared" si="21"/>
        <v>1</v>
      </c>
      <c r="F56" s="109">
        <f t="shared" si="21"/>
        <v>1</v>
      </c>
      <c r="G56" s="109">
        <f t="shared" si="21"/>
        <v>1</v>
      </c>
      <c r="H56" s="109">
        <f>AVERAGE(C56:G56)</f>
        <v>1</v>
      </c>
      <c r="J56" s="20"/>
    </row>
    <row r="57" spans="1:10" x14ac:dyDescent="0.25">
      <c r="J57" s="1"/>
    </row>
    <row r="58" spans="1:10" x14ac:dyDescent="0.25">
      <c r="A58" s="7" t="s">
        <v>97</v>
      </c>
      <c r="B58" s="51"/>
      <c r="C58" s="51"/>
      <c r="D58" s="51"/>
      <c r="E58" s="51"/>
      <c r="F58" s="51"/>
      <c r="G58" s="51"/>
      <c r="H58" s="51"/>
    </row>
    <row r="59" spans="1:10" x14ac:dyDescent="0.25">
      <c r="A59" s="7" t="s">
        <v>98</v>
      </c>
      <c r="B59" s="51"/>
      <c r="C59" s="51"/>
      <c r="D59" s="51"/>
      <c r="E59" s="51"/>
      <c r="F59" s="51"/>
      <c r="G59" s="51"/>
      <c r="H59" s="51"/>
    </row>
    <row r="60" spans="1:10" x14ac:dyDescent="0.25">
      <c r="A60" s="51"/>
      <c r="B60" s="51"/>
      <c r="C60" s="51"/>
      <c r="D60" s="51"/>
      <c r="E60" s="51"/>
      <c r="F60" s="51"/>
      <c r="G60" s="51"/>
      <c r="H60" s="51"/>
    </row>
  </sheetData>
  <phoneticPr fontId="23" type="noConversion"/>
  <pageMargins left="0.95" right="0.2" top="0.75" bottom="0.25" header="0.3" footer="0.3"/>
  <pageSetup scale="8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26"/>
  <sheetViews>
    <sheetView tabSelected="1" workbookViewId="0">
      <selection activeCell="K9" sqref="K9"/>
    </sheetView>
  </sheetViews>
  <sheetFormatPr defaultColWidth="9.140625" defaultRowHeight="15" x14ac:dyDescent="0.25"/>
  <cols>
    <col min="1" max="1" width="29.5703125" style="11" customWidth="1"/>
    <col min="2" max="2" width="3.28515625" style="11" customWidth="1"/>
    <col min="3" max="3" width="14" style="11" customWidth="1"/>
    <col min="4" max="4" width="15.85546875" style="11" customWidth="1"/>
    <col min="5" max="5" width="2.42578125" style="11" customWidth="1"/>
    <col min="6" max="6" width="15.5703125" style="11" customWidth="1"/>
    <col min="7" max="7" width="15" style="11" customWidth="1"/>
    <col min="8" max="8" width="2.42578125" style="11" customWidth="1"/>
    <col min="9" max="9" width="15.7109375" style="11" customWidth="1"/>
    <col min="10" max="10" width="3.140625" style="11" customWidth="1"/>
    <col min="11" max="11" width="15.140625" style="11" customWidth="1"/>
    <col min="12" max="12" width="0.7109375" style="11" customWidth="1"/>
    <col min="13" max="13" width="11.5703125" style="11" customWidth="1"/>
    <col min="14" max="16384" width="9.140625" style="11"/>
  </cols>
  <sheetData>
    <row r="1" spans="1:13" ht="15.75" x14ac:dyDescent="0.25">
      <c r="A1" s="187" t="s">
        <v>103</v>
      </c>
      <c r="B1" s="187"/>
      <c r="C1" s="187"/>
      <c r="D1" s="187"/>
      <c r="E1" s="187"/>
      <c r="F1" s="187"/>
      <c r="G1" s="187"/>
      <c r="H1" s="187"/>
      <c r="I1" s="13" t="s">
        <v>115</v>
      </c>
    </row>
    <row r="2" spans="1:13" ht="15.75" x14ac:dyDescent="0.25">
      <c r="A2" s="187" t="s">
        <v>148</v>
      </c>
      <c r="B2" s="187"/>
      <c r="C2" s="187"/>
      <c r="D2" s="187"/>
      <c r="E2" s="187"/>
      <c r="F2" s="187"/>
      <c r="G2" s="187"/>
      <c r="H2" s="187"/>
      <c r="I2" s="13" t="s">
        <v>178</v>
      </c>
    </row>
    <row r="3" spans="1:13" x14ac:dyDescent="0.25">
      <c r="I3" s="13" t="s">
        <v>127</v>
      </c>
    </row>
    <row r="5" spans="1:13" ht="15.75" x14ac:dyDescent="0.25">
      <c r="A5" s="150"/>
      <c r="B5" s="111"/>
      <c r="C5" s="151"/>
      <c r="D5" s="151"/>
      <c r="E5" s="111"/>
      <c r="F5" s="152"/>
      <c r="G5" s="152"/>
      <c r="H5" s="111"/>
      <c r="I5" s="152"/>
      <c r="K5" s="153"/>
    </row>
    <row r="6" spans="1:13" ht="15.75" x14ac:dyDescent="0.25">
      <c r="A6" s="111"/>
      <c r="B6" s="111"/>
      <c r="C6" s="152"/>
      <c r="D6" s="152"/>
      <c r="E6" s="111"/>
      <c r="F6" s="152"/>
      <c r="G6" s="152"/>
      <c r="H6" s="111"/>
      <c r="I6" s="152"/>
      <c r="J6" s="152"/>
      <c r="K6" s="152"/>
    </row>
    <row r="7" spans="1:13" ht="15.75" x14ac:dyDescent="0.25">
      <c r="A7" s="111"/>
      <c r="B7" s="111"/>
      <c r="C7" s="188" t="s">
        <v>84</v>
      </c>
      <c r="D7" s="188"/>
      <c r="E7" s="111"/>
      <c r="F7" s="188" t="s">
        <v>118</v>
      </c>
      <c r="G7" s="188"/>
      <c r="H7" s="111"/>
    </row>
    <row r="8" spans="1:13" x14ac:dyDescent="0.25">
      <c r="A8" s="14"/>
      <c r="B8" s="14"/>
      <c r="C8" s="186" t="s">
        <v>82</v>
      </c>
      <c r="D8" s="186"/>
      <c r="E8" s="5"/>
      <c r="F8" s="186" t="s">
        <v>78</v>
      </c>
      <c r="G8" s="186"/>
      <c r="H8" s="5"/>
      <c r="I8" s="15" t="s">
        <v>80</v>
      </c>
      <c r="K8" s="15" t="s">
        <v>180</v>
      </c>
    </row>
    <row r="9" spans="1:13" x14ac:dyDescent="0.25">
      <c r="A9" s="11" t="s">
        <v>79</v>
      </c>
      <c r="B9" s="14"/>
      <c r="C9" s="15" t="s">
        <v>77</v>
      </c>
      <c r="D9" s="15" t="s">
        <v>76</v>
      </c>
      <c r="E9" s="154"/>
      <c r="F9" s="15" t="s">
        <v>77</v>
      </c>
      <c r="G9" s="15" t="s">
        <v>76</v>
      </c>
      <c r="H9" s="155"/>
      <c r="I9" s="15" t="s">
        <v>81</v>
      </c>
      <c r="K9" s="15" t="s">
        <v>39</v>
      </c>
      <c r="M9" s="16"/>
    </row>
    <row r="10" spans="1:13" x14ac:dyDescent="0.25">
      <c r="A10" s="17"/>
      <c r="B10" s="17"/>
      <c r="C10" s="147">
        <v>2020</v>
      </c>
      <c r="D10" s="110">
        <v>2020</v>
      </c>
      <c r="E10" s="155"/>
      <c r="F10" s="147">
        <v>2020</v>
      </c>
      <c r="G10" s="110">
        <v>2020</v>
      </c>
      <c r="H10" s="156"/>
      <c r="I10" s="110" t="s">
        <v>85</v>
      </c>
      <c r="K10" s="110" t="s">
        <v>179</v>
      </c>
      <c r="M10" s="16"/>
    </row>
    <row r="11" spans="1:13" x14ac:dyDescent="0.25">
      <c r="A11" s="148" t="s">
        <v>49</v>
      </c>
      <c r="B11" s="14"/>
      <c r="C11" s="157"/>
      <c r="D11" s="14"/>
      <c r="E11" s="5"/>
      <c r="F11" s="5"/>
      <c r="G11" s="5"/>
      <c r="H11" s="5"/>
      <c r="M11" s="134"/>
    </row>
    <row r="12" spans="1:13" x14ac:dyDescent="0.25">
      <c r="A12" s="14" t="s">
        <v>83</v>
      </c>
      <c r="B12" s="14"/>
      <c r="C12" s="157">
        <f>'Not an Attach.-Proxy Co. Detail'!BB12</f>
        <v>4531779</v>
      </c>
      <c r="D12" s="116">
        <f>C12/C$15</f>
        <v>0.39820313058105783</v>
      </c>
      <c r="E12" s="18"/>
      <c r="F12" s="19">
        <f>C12+1037183</f>
        <v>5568962</v>
      </c>
      <c r="G12" s="116">
        <f>F12/F$15</f>
        <v>0.32997370965856299</v>
      </c>
      <c r="H12" s="20"/>
      <c r="I12" s="158" t="s">
        <v>149</v>
      </c>
      <c r="M12" s="134"/>
    </row>
    <row r="13" spans="1:13" x14ac:dyDescent="0.25">
      <c r="A13" s="14" t="s">
        <v>3</v>
      </c>
      <c r="B13" s="14"/>
      <c r="C13" s="118">
        <f>'Not an Attach.-Proxy Co. Detail'!BB16</f>
        <v>0</v>
      </c>
      <c r="D13" s="118">
        <f>C13/C$15</f>
        <v>0</v>
      </c>
      <c r="E13" s="159"/>
      <c r="F13" s="159">
        <f>C13</f>
        <v>0</v>
      </c>
      <c r="G13" s="118">
        <f>F13/F$15</f>
        <v>0</v>
      </c>
      <c r="H13" s="20"/>
      <c r="I13" s="14"/>
      <c r="J13" s="14"/>
      <c r="K13" s="14"/>
      <c r="M13" s="134"/>
    </row>
    <row r="14" spans="1:13" x14ac:dyDescent="0.25">
      <c r="A14" s="14" t="s">
        <v>74</v>
      </c>
      <c r="B14" s="14"/>
      <c r="C14" s="157">
        <f>'Not an Attach.-Proxy Co. Detail'!BB17+'Not an Attach.-Proxy Co. Detail'!BB18</f>
        <v>6848792</v>
      </c>
      <c r="D14" s="116">
        <f>C14/C$15</f>
        <v>0.60179686941894217</v>
      </c>
      <c r="E14" s="18"/>
      <c r="F14" s="157">
        <f>I15*K15</f>
        <v>11308024.975</v>
      </c>
      <c r="G14" s="116">
        <f>F14/F$15</f>
        <v>0.6700262903414369</v>
      </c>
      <c r="H14" s="20"/>
      <c r="I14" s="14"/>
      <c r="J14" s="14"/>
      <c r="K14" s="14"/>
      <c r="M14" s="134"/>
    </row>
    <row r="15" spans="1:13" x14ac:dyDescent="0.25">
      <c r="A15" s="6" t="s">
        <v>67</v>
      </c>
      <c r="B15" s="6"/>
      <c r="C15" s="114">
        <f>SUM(C12:C14)</f>
        <v>11380571</v>
      </c>
      <c r="D15" s="115">
        <f>SUM(D12:D14)</f>
        <v>1</v>
      </c>
      <c r="E15" s="20"/>
      <c r="F15" s="114">
        <f>SUM(F12:F14)</f>
        <v>16876986.975000001</v>
      </c>
      <c r="G15" s="115">
        <f>SUM(G12:G14)</f>
        <v>0.99999999999999989</v>
      </c>
      <c r="H15" s="109"/>
      <c r="I15" s="160">
        <v>125882.5</v>
      </c>
      <c r="J15" s="6"/>
      <c r="K15" s="161">
        <v>89.83</v>
      </c>
      <c r="M15" s="162"/>
    </row>
    <row r="16" spans="1:13" x14ac:dyDescent="0.25">
      <c r="A16" s="5"/>
      <c r="B16" s="5"/>
      <c r="C16" s="22"/>
      <c r="D16" s="18"/>
      <c r="E16" s="20"/>
      <c r="F16" s="22"/>
      <c r="G16" s="18"/>
      <c r="H16" s="20"/>
      <c r="I16" s="23"/>
      <c r="J16" s="5"/>
      <c r="K16" s="24"/>
      <c r="M16" s="134"/>
    </row>
    <row r="17" spans="1:13" ht="15" customHeight="1" x14ac:dyDescent="0.25">
      <c r="A17" s="5"/>
      <c r="B17" s="5"/>
      <c r="C17" s="19"/>
      <c r="D17" s="18"/>
      <c r="E17" s="20"/>
      <c r="F17" s="22"/>
      <c r="G17" s="18"/>
      <c r="H17" s="20"/>
      <c r="I17" s="23"/>
      <c r="J17" s="5"/>
      <c r="K17" s="24"/>
    </row>
    <row r="18" spans="1:13" ht="15" customHeight="1" x14ac:dyDescent="0.25">
      <c r="A18" s="148" t="s">
        <v>55</v>
      </c>
      <c r="B18" s="5"/>
      <c r="C18" s="19"/>
      <c r="D18" s="18"/>
      <c r="E18" s="20"/>
      <c r="F18" s="22"/>
      <c r="G18" s="18"/>
      <c r="H18" s="20"/>
      <c r="I18" s="23"/>
      <c r="J18" s="5"/>
      <c r="K18" s="24"/>
      <c r="M18" s="134"/>
    </row>
    <row r="19" spans="1:13" ht="15" customHeight="1" x14ac:dyDescent="0.25">
      <c r="A19" s="14" t="s">
        <v>83</v>
      </c>
      <c r="B19" s="5"/>
      <c r="C19" s="157">
        <f>'Not an Attach.-Proxy Co. Detail'!P12</f>
        <v>2259466</v>
      </c>
      <c r="D19" s="116">
        <f>C19/C$22</f>
        <v>0.54465004352203816</v>
      </c>
      <c r="E19" s="20"/>
      <c r="F19" s="19">
        <f>C19+136033</f>
        <v>2395499</v>
      </c>
      <c r="G19" s="116">
        <f>F19/F$22</f>
        <v>0.39669182402312653</v>
      </c>
      <c r="H19" s="20"/>
      <c r="I19" s="158" t="str">
        <f>I12</f>
        <v>@ 9/30/2020</v>
      </c>
      <c r="J19" s="5"/>
      <c r="K19" s="24"/>
      <c r="M19" s="134"/>
    </row>
    <row r="20" spans="1:13" ht="15" customHeight="1" x14ac:dyDescent="0.25">
      <c r="A20" s="14" t="s">
        <v>3</v>
      </c>
      <c r="B20" s="14"/>
      <c r="C20" s="157">
        <f>'Not an Attach.-Proxy Co. Detail'!P16</f>
        <v>0</v>
      </c>
      <c r="D20" s="118">
        <f>C20/C$22</f>
        <v>0</v>
      </c>
      <c r="E20" s="159"/>
      <c r="F20" s="159">
        <f>C20</f>
        <v>0</v>
      </c>
      <c r="G20" s="118">
        <f>F20/F$22</f>
        <v>0</v>
      </c>
      <c r="H20" s="20"/>
      <c r="I20" s="14"/>
      <c r="J20" s="14"/>
      <c r="K20" s="14"/>
      <c r="M20" s="134"/>
    </row>
    <row r="21" spans="1:13" x14ac:dyDescent="0.25">
      <c r="A21" s="14" t="s">
        <v>74</v>
      </c>
      <c r="B21" s="14"/>
      <c r="C21" s="157">
        <f>'Not an Attach.-Proxy Co. Detail'!P17+'Not an Attach.-Proxy Co. Detail'!P18</f>
        <v>1889007</v>
      </c>
      <c r="D21" s="116">
        <f>C21/C$22</f>
        <v>0.45534995647796189</v>
      </c>
      <c r="E21" s="18"/>
      <c r="F21" s="157">
        <f>I22*K22</f>
        <v>3643191.1239999998</v>
      </c>
      <c r="G21" s="116">
        <f>F21/F$22</f>
        <v>0.60330817597687347</v>
      </c>
      <c r="H21" s="20"/>
      <c r="I21" s="14"/>
      <c r="J21" s="14"/>
      <c r="K21" s="14"/>
      <c r="M21" s="134"/>
    </row>
    <row r="22" spans="1:13" x14ac:dyDescent="0.25">
      <c r="A22" s="6" t="s">
        <v>67</v>
      </c>
      <c r="B22" s="6"/>
      <c r="C22" s="114">
        <f>SUM(C19:C21)</f>
        <v>4148473</v>
      </c>
      <c r="D22" s="115">
        <f>SUM(D19:D21)</f>
        <v>1</v>
      </c>
      <c r="E22" s="20"/>
      <c r="F22" s="114">
        <f>SUM(F19:F21)</f>
        <v>6038690.1239999998</v>
      </c>
      <c r="G22" s="115">
        <f>SUM(G19:G21)</f>
        <v>1</v>
      </c>
      <c r="H22" s="109"/>
      <c r="I22" s="160">
        <v>95949.2</v>
      </c>
      <c r="J22" s="6"/>
      <c r="K22" s="161">
        <v>37.97</v>
      </c>
      <c r="M22" s="162"/>
    </row>
    <row r="23" spans="1:13" x14ac:dyDescent="0.25">
      <c r="A23" s="5"/>
      <c r="B23" s="5"/>
      <c r="C23" s="19"/>
      <c r="D23" s="18"/>
      <c r="E23" s="20"/>
      <c r="F23" s="22"/>
      <c r="G23" s="18"/>
      <c r="H23" s="20"/>
      <c r="I23" s="23"/>
      <c r="J23" s="5"/>
      <c r="K23" s="24"/>
      <c r="M23" s="134"/>
    </row>
    <row r="24" spans="1:13" x14ac:dyDescent="0.25">
      <c r="A24" s="5"/>
      <c r="B24" s="14"/>
      <c r="C24" s="163"/>
      <c r="D24" s="164"/>
      <c r="E24" s="21"/>
      <c r="F24" s="165"/>
      <c r="G24" s="21"/>
      <c r="H24" s="21"/>
      <c r="I24" s="164"/>
      <c r="J24" s="164"/>
      <c r="K24" s="166"/>
    </row>
    <row r="25" spans="1:13" x14ac:dyDescent="0.25">
      <c r="A25" s="148" t="s">
        <v>48</v>
      </c>
      <c r="B25" s="14"/>
      <c r="C25" s="157"/>
      <c r="D25" s="14"/>
      <c r="E25" s="5"/>
      <c r="F25" s="19"/>
      <c r="G25" s="5"/>
      <c r="H25" s="5"/>
      <c r="I25" s="14"/>
      <c r="J25" s="14"/>
      <c r="K25" s="167"/>
      <c r="M25" s="134"/>
    </row>
    <row r="26" spans="1:13" x14ac:dyDescent="0.25">
      <c r="A26" s="14" t="s">
        <v>83</v>
      </c>
      <c r="B26" s="14"/>
      <c r="C26" s="157">
        <f>'Not an Attach.-Proxy Co. Detail'!AI12</f>
        <v>860081</v>
      </c>
      <c r="D26" s="116">
        <f>C26/C$29</f>
        <v>0.4882063851381267</v>
      </c>
      <c r="E26" s="18"/>
      <c r="F26" s="19">
        <f>C26+180886</f>
        <v>1040967</v>
      </c>
      <c r="G26" s="116">
        <f>F26/F$29</f>
        <v>0.41765395374257591</v>
      </c>
      <c r="H26" s="20"/>
      <c r="I26" s="158" t="s">
        <v>150</v>
      </c>
      <c r="M26" s="134"/>
    </row>
    <row r="27" spans="1:13" x14ac:dyDescent="0.25">
      <c r="A27" s="14" t="s">
        <v>3</v>
      </c>
      <c r="B27" s="14"/>
      <c r="C27" s="118">
        <f>'Not an Attach.-Proxy Co. Detail'!AI16</f>
        <v>0</v>
      </c>
      <c r="D27" s="118">
        <f>C27/C$29</f>
        <v>0</v>
      </c>
      <c r="E27" s="159"/>
      <c r="F27" s="159">
        <f>C27</f>
        <v>0</v>
      </c>
      <c r="G27" s="118">
        <f>F27/F$29</f>
        <v>0</v>
      </c>
      <c r="H27" s="20"/>
      <c r="I27" s="14"/>
      <c r="J27" s="14"/>
      <c r="K27" s="14"/>
      <c r="M27" s="134"/>
    </row>
    <row r="28" spans="1:13" x14ac:dyDescent="0.25">
      <c r="A28" s="14" t="s">
        <v>74</v>
      </c>
      <c r="B28" s="14"/>
      <c r="C28" s="157">
        <f>'Not an Attach.-Proxy Co. Detail'!AI17+'Not an Attach.-Proxy Co. Detail'!AI18</f>
        <v>901635</v>
      </c>
      <c r="D28" s="116">
        <f>C28/C$29</f>
        <v>0.51179361486187336</v>
      </c>
      <c r="E28" s="18"/>
      <c r="F28" s="157">
        <f>I29*K29</f>
        <v>1451448.05</v>
      </c>
      <c r="G28" s="116">
        <f>F28/F$29</f>
        <v>0.58234604625742414</v>
      </c>
      <c r="H28" s="20"/>
      <c r="I28" s="14"/>
      <c r="J28" s="14"/>
      <c r="K28" s="14"/>
      <c r="M28" s="134"/>
    </row>
    <row r="29" spans="1:13" x14ac:dyDescent="0.25">
      <c r="A29" s="6" t="s">
        <v>67</v>
      </c>
      <c r="B29" s="6"/>
      <c r="C29" s="114">
        <f>SUM(C26:C28)</f>
        <v>1761716</v>
      </c>
      <c r="D29" s="115">
        <f>SUM(D26:D28)</f>
        <v>1</v>
      </c>
      <c r="E29" s="20"/>
      <c r="F29" s="114">
        <f>SUM(F26:F28)</f>
        <v>2492415.0499999998</v>
      </c>
      <c r="G29" s="115">
        <f>SUM(G26:G28)</f>
        <v>1</v>
      </c>
      <c r="H29" s="109"/>
      <c r="I29" s="160">
        <v>30589</v>
      </c>
      <c r="J29" s="6"/>
      <c r="K29" s="161">
        <v>47.45</v>
      </c>
      <c r="M29" s="162"/>
    </row>
    <row r="30" spans="1:13" x14ac:dyDescent="0.25">
      <c r="A30" s="5"/>
      <c r="B30" s="5"/>
      <c r="C30" s="19"/>
      <c r="D30" s="18"/>
      <c r="E30" s="20"/>
      <c r="F30" s="22"/>
      <c r="G30" s="18"/>
      <c r="H30" s="20"/>
      <c r="I30" s="23"/>
      <c r="J30" s="5"/>
      <c r="K30" s="24"/>
      <c r="M30" s="134"/>
    </row>
    <row r="31" spans="1:13" x14ac:dyDescent="0.25">
      <c r="A31" s="5"/>
      <c r="B31" s="5"/>
      <c r="C31" s="19"/>
      <c r="D31" s="18"/>
      <c r="E31" s="20"/>
      <c r="F31" s="22"/>
      <c r="G31" s="18"/>
      <c r="H31" s="20"/>
      <c r="I31" s="23"/>
      <c r="J31" s="5"/>
      <c r="K31" s="24"/>
      <c r="M31" s="134"/>
    </row>
    <row r="32" spans="1:13" x14ac:dyDescent="0.25">
      <c r="A32" s="149" t="s">
        <v>141</v>
      </c>
      <c r="B32" s="5"/>
      <c r="C32" s="19"/>
      <c r="D32" s="18"/>
      <c r="E32" s="20"/>
      <c r="F32" s="22"/>
      <c r="G32" s="18"/>
      <c r="H32" s="20"/>
      <c r="I32" s="23"/>
      <c r="J32" s="5"/>
      <c r="K32" s="24"/>
      <c r="M32" s="134"/>
    </row>
    <row r="33" spans="1:13" x14ac:dyDescent="0.25">
      <c r="A33" s="14" t="s">
        <v>83</v>
      </c>
      <c r="B33" s="14"/>
      <c r="C33" s="157">
        <f>'Not an Attach.-Proxy Co. Detail'!BU12</f>
        <v>1582428</v>
      </c>
      <c r="D33" s="116">
        <f>C33/C$36</f>
        <v>0.41386723633430589</v>
      </c>
      <c r="E33" s="18"/>
      <c r="F33" s="19">
        <f>C33+400000</f>
        <v>1982428</v>
      </c>
      <c r="G33" s="116">
        <f>F33/F$36</f>
        <v>0.3405922302526242</v>
      </c>
      <c r="H33" s="20"/>
      <c r="I33" s="158" t="s">
        <v>150</v>
      </c>
      <c r="M33" s="134"/>
    </row>
    <row r="34" spans="1:13" x14ac:dyDescent="0.25">
      <c r="A34" s="14" t="s">
        <v>3</v>
      </c>
      <c r="B34" s="14"/>
      <c r="C34" s="118">
        <f>'Not an Attach.-Proxy Co. Detail'!BU16</f>
        <v>0</v>
      </c>
      <c r="D34" s="118">
        <f t="shared" ref="D34:D35" si="0">C34/C$36</f>
        <v>0</v>
      </c>
      <c r="E34" s="159"/>
      <c r="F34" s="159">
        <f>C34</f>
        <v>0</v>
      </c>
      <c r="G34" s="118">
        <f>F34/F$36</f>
        <v>0</v>
      </c>
      <c r="H34" s="20"/>
      <c r="I34" s="14"/>
      <c r="J34" s="14"/>
      <c r="K34" s="14"/>
      <c r="M34" s="134"/>
    </row>
    <row r="35" spans="1:13" x14ac:dyDescent="0.25">
      <c r="A35" s="14" t="s">
        <v>74</v>
      </c>
      <c r="B35" s="14"/>
      <c r="C35" s="157">
        <f>'Not an Attach.-Proxy Co. Detail'!BU17+'Not an Attach.-Proxy Co. Detail'!BU18</f>
        <v>2241088</v>
      </c>
      <c r="D35" s="116">
        <f t="shared" si="0"/>
        <v>0.58613276366569411</v>
      </c>
      <c r="E35" s="18"/>
      <c r="F35" s="157">
        <f>I36*K36</f>
        <v>3838104.0729999999</v>
      </c>
      <c r="G35" s="116">
        <f>F35/F$36</f>
        <v>0.6594077697473758</v>
      </c>
      <c r="H35" s="20"/>
      <c r="I35" s="14"/>
      <c r="J35" s="14"/>
      <c r="K35" s="14"/>
      <c r="M35" s="134"/>
    </row>
    <row r="36" spans="1:13" x14ac:dyDescent="0.25">
      <c r="A36" s="6" t="s">
        <v>67</v>
      </c>
      <c r="B36" s="6"/>
      <c r="C36" s="114">
        <f>SUM(C33:C35)</f>
        <v>3823516</v>
      </c>
      <c r="D36" s="115">
        <f>SUM(D33:D35)</f>
        <v>1</v>
      </c>
      <c r="E36" s="20"/>
      <c r="F36" s="114">
        <f>SUM(F33:F35)</f>
        <v>5820532.0729999999</v>
      </c>
      <c r="G36" s="115">
        <f>SUM(G33:G35)</f>
        <v>1</v>
      </c>
      <c r="H36" s="109"/>
      <c r="I36" s="160">
        <v>53166.7</v>
      </c>
      <c r="J36" s="6"/>
      <c r="K36" s="161">
        <v>72.19</v>
      </c>
      <c r="M36" s="162"/>
    </row>
    <row r="37" spans="1:13" x14ac:dyDescent="0.25">
      <c r="A37" s="5"/>
      <c r="B37" s="5"/>
      <c r="C37" s="19"/>
      <c r="D37" s="18"/>
      <c r="E37" s="20"/>
      <c r="F37" s="22"/>
      <c r="G37" s="18"/>
      <c r="H37" s="20"/>
      <c r="I37" s="23"/>
      <c r="J37" s="5"/>
      <c r="K37" s="24"/>
      <c r="M37" s="134"/>
    </row>
    <row r="38" spans="1:13" x14ac:dyDescent="0.25">
      <c r="A38" s="5"/>
      <c r="B38" s="14"/>
      <c r="C38" s="163"/>
      <c r="D38" s="164"/>
      <c r="E38" s="21"/>
      <c r="F38" s="165"/>
      <c r="G38" s="21"/>
      <c r="H38" s="21"/>
      <c r="I38" s="164"/>
      <c r="J38" s="164"/>
      <c r="K38" s="166"/>
    </row>
    <row r="39" spans="1:13" x14ac:dyDescent="0.25">
      <c r="A39" s="148" t="s">
        <v>51</v>
      </c>
      <c r="B39" s="14"/>
      <c r="C39" s="157"/>
      <c r="D39" s="14"/>
      <c r="E39" s="5"/>
      <c r="F39" s="19"/>
      <c r="G39" s="5"/>
      <c r="H39" s="5"/>
      <c r="I39" s="14"/>
      <c r="J39" s="14"/>
      <c r="K39" s="167"/>
      <c r="M39" s="134"/>
    </row>
    <row r="40" spans="1:13" x14ac:dyDescent="0.25">
      <c r="A40" s="14" t="s">
        <v>83</v>
      </c>
      <c r="B40" s="14"/>
      <c r="C40" s="157">
        <f>'Not an Attach.-Proxy Co. Detail'!DX12</f>
        <v>2776400</v>
      </c>
      <c r="D40" s="116">
        <f>C40/C$43</f>
        <v>0.62035568340231262</v>
      </c>
      <c r="E40" s="18"/>
      <c r="F40" s="19">
        <f>C40+233023</f>
        <v>3009423</v>
      </c>
      <c r="G40" s="116">
        <f>F40/F$43</f>
        <v>0.55159886117667589</v>
      </c>
      <c r="H40" s="20"/>
      <c r="I40" s="158" t="str">
        <f>I26</f>
        <v>@ 12/31/2020</v>
      </c>
      <c r="M40" s="134"/>
    </row>
    <row r="41" spans="1:13" x14ac:dyDescent="0.25">
      <c r="A41" s="14" t="s">
        <v>3</v>
      </c>
      <c r="B41" s="14"/>
      <c r="C41" s="118">
        <f>'Not an Attach.-Proxy Co. Detail'!DX16</f>
        <v>0</v>
      </c>
      <c r="D41" s="118">
        <f>C41/C$43</f>
        <v>0</v>
      </c>
      <c r="E41" s="159"/>
      <c r="F41" s="159">
        <f>C41</f>
        <v>0</v>
      </c>
      <c r="G41" s="118">
        <f>F41/F$43</f>
        <v>0</v>
      </c>
      <c r="H41" s="20"/>
      <c r="I41" s="14"/>
      <c r="J41" s="14"/>
      <c r="K41" s="14"/>
      <c r="M41" s="134"/>
    </row>
    <row r="42" spans="1:13" x14ac:dyDescent="0.25">
      <c r="A42" s="14" t="s">
        <v>74</v>
      </c>
      <c r="B42" s="14"/>
      <c r="C42" s="157">
        <f>'Not an Attach.-Proxy Co. Detail'!DX17+'Not an Attach.-Proxy Co. Detail'!DX18</f>
        <v>1699097</v>
      </c>
      <c r="D42" s="116">
        <f>C42/C$43</f>
        <v>0.37964431659768738</v>
      </c>
      <c r="E42" s="18"/>
      <c r="F42" s="157">
        <f>I43*K43</f>
        <v>2446395.0079999999</v>
      </c>
      <c r="G42" s="116">
        <f>F42/F$43</f>
        <v>0.44840113882332422</v>
      </c>
      <c r="H42" s="20"/>
      <c r="I42" s="14"/>
      <c r="J42" s="14"/>
      <c r="K42" s="14"/>
      <c r="M42" s="134"/>
    </row>
    <row r="43" spans="1:13" x14ac:dyDescent="0.25">
      <c r="A43" s="6" t="s">
        <v>67</v>
      </c>
      <c r="B43" s="6"/>
      <c r="C43" s="114">
        <f>SUM(C40:C42)</f>
        <v>4475497</v>
      </c>
      <c r="D43" s="115">
        <f>SUM(D40:D42)</f>
        <v>1</v>
      </c>
      <c r="E43" s="20"/>
      <c r="F43" s="114">
        <f>SUM(F40:F42)</f>
        <v>5455818.0079999994</v>
      </c>
      <c r="G43" s="115">
        <f>SUM(G40:G42)</f>
        <v>1</v>
      </c>
      <c r="H43" s="109"/>
      <c r="I43" s="160">
        <v>100591.9</v>
      </c>
      <c r="J43" s="6"/>
      <c r="K43" s="161">
        <v>24.32</v>
      </c>
      <c r="M43" s="162"/>
    </row>
    <row r="44" spans="1:13" x14ac:dyDescent="0.25">
      <c r="A44" s="5"/>
      <c r="B44" s="5"/>
      <c r="C44" s="19"/>
      <c r="D44" s="18"/>
      <c r="E44" s="20"/>
      <c r="F44" s="22"/>
      <c r="G44" s="18"/>
      <c r="H44" s="20"/>
      <c r="I44" s="23"/>
      <c r="J44" s="5"/>
      <c r="K44" s="24"/>
      <c r="M44" s="134"/>
    </row>
    <row r="45" spans="1:13" x14ac:dyDescent="0.25">
      <c r="A45" s="5"/>
      <c r="B45" s="14"/>
      <c r="C45" s="163"/>
      <c r="D45" s="164"/>
      <c r="E45" s="21"/>
      <c r="F45" s="165"/>
      <c r="G45" s="21"/>
      <c r="H45" s="21"/>
      <c r="I45" s="164"/>
      <c r="J45" s="164"/>
      <c r="K45" s="166"/>
    </row>
    <row r="46" spans="1:13" x14ac:dyDescent="0.25">
      <c r="A46" s="148" t="s">
        <v>50</v>
      </c>
      <c r="B46" s="14"/>
      <c r="C46" s="157"/>
      <c r="D46" s="14"/>
      <c r="E46" s="5"/>
      <c r="F46" s="19"/>
      <c r="G46" s="5"/>
      <c r="H46" s="5"/>
      <c r="I46" s="14"/>
      <c r="J46" s="14"/>
      <c r="K46" s="167"/>
      <c r="M46" s="134"/>
    </row>
    <row r="47" spans="1:13" x14ac:dyDescent="0.25">
      <c r="A47" s="14" t="s">
        <v>83</v>
      </c>
      <c r="B47" s="14"/>
      <c r="C47" s="157">
        <f>'Not an Attach.-Proxy Co. Detail'!CL12</f>
        <v>2732200</v>
      </c>
      <c r="D47" s="116">
        <f>C47/C$50</f>
        <v>0.49965655698191491</v>
      </c>
      <c r="E47" s="18"/>
      <c r="F47" s="19">
        <f>C47+368897</f>
        <v>3101097</v>
      </c>
      <c r="G47" s="116">
        <f>F47/F$50</f>
        <v>0.46279378751787958</v>
      </c>
      <c r="H47" s="20"/>
      <c r="I47" s="158" t="str">
        <f>I26</f>
        <v>@ 12/31/2020</v>
      </c>
      <c r="M47" s="134"/>
    </row>
    <row r="48" spans="1:13" x14ac:dyDescent="0.25">
      <c r="A48" s="14" t="s">
        <v>3</v>
      </c>
      <c r="B48" s="14"/>
      <c r="C48" s="118">
        <f>'Not an Attach.-Proxy Co. Detail'!CL16</f>
        <v>0</v>
      </c>
      <c r="D48" s="118">
        <f>C48/C$50</f>
        <v>0</v>
      </c>
      <c r="E48" s="159"/>
      <c r="F48" s="159">
        <f>C48</f>
        <v>0</v>
      </c>
      <c r="G48" s="118">
        <f>F48/F$50</f>
        <v>0</v>
      </c>
      <c r="H48" s="20"/>
      <c r="I48" s="14"/>
      <c r="J48" s="14"/>
      <c r="K48" s="14"/>
      <c r="M48" s="134"/>
    </row>
    <row r="49" spans="1:13" x14ac:dyDescent="0.25">
      <c r="A49" s="14" t="s">
        <v>74</v>
      </c>
      <c r="B49" s="14"/>
      <c r="C49" s="157">
        <f>'Not an Attach.-Proxy Co. Detail'!CL17+'Not an Attach.-Proxy Co. Detail'!CL18</f>
        <v>2735956</v>
      </c>
      <c r="D49" s="116">
        <f>C49/C$50</f>
        <v>0.50034344301808509</v>
      </c>
      <c r="E49" s="18"/>
      <c r="F49" s="157">
        <f>I50*K50</f>
        <v>3599721.1260000002</v>
      </c>
      <c r="G49" s="116">
        <f>F49/F$50</f>
        <v>0.53720621248212042</v>
      </c>
      <c r="H49" s="20"/>
      <c r="I49" s="14"/>
      <c r="J49" s="14"/>
      <c r="K49" s="14"/>
      <c r="M49" s="134"/>
    </row>
    <row r="50" spans="1:13" x14ac:dyDescent="0.25">
      <c r="A50" s="6" t="s">
        <v>67</v>
      </c>
      <c r="B50" s="6"/>
      <c r="C50" s="114">
        <f>SUM(C47:C49)</f>
        <v>5468156</v>
      </c>
      <c r="D50" s="109">
        <f>SUM(D47:D49)</f>
        <v>1</v>
      </c>
      <c r="E50" s="20"/>
      <c r="F50" s="114">
        <f>SUM(F47:F49)</f>
        <v>6700818.1260000002</v>
      </c>
      <c r="G50" s="115">
        <f>SUM(G47:G49)</f>
        <v>1</v>
      </c>
      <c r="H50" s="109"/>
      <c r="I50" s="160">
        <v>57192.9</v>
      </c>
      <c r="J50" s="6"/>
      <c r="K50" s="161">
        <v>62.94</v>
      </c>
      <c r="M50" s="162"/>
    </row>
    <row r="51" spans="1:13" x14ac:dyDescent="0.25">
      <c r="A51" s="5"/>
      <c r="B51" s="5"/>
      <c r="C51" s="19"/>
      <c r="D51" s="20"/>
      <c r="E51" s="20"/>
      <c r="F51" s="22"/>
      <c r="G51" s="18"/>
      <c r="H51" s="20"/>
      <c r="I51" s="23"/>
      <c r="J51" s="5"/>
      <c r="K51" s="24"/>
      <c r="M51" s="134"/>
    </row>
    <row r="52" spans="1:13" x14ac:dyDescent="0.25">
      <c r="A52" s="5"/>
      <c r="B52" s="14"/>
      <c r="C52" s="163"/>
      <c r="D52" s="164"/>
      <c r="E52" s="21"/>
      <c r="F52" s="165"/>
      <c r="G52" s="21"/>
      <c r="H52" s="21"/>
      <c r="I52" s="164"/>
      <c r="J52" s="164"/>
      <c r="K52" s="166"/>
    </row>
    <row r="53" spans="1:13" x14ac:dyDescent="0.25">
      <c r="A53" s="148" t="s">
        <v>126</v>
      </c>
      <c r="B53" s="14"/>
      <c r="C53" s="157"/>
      <c r="D53" s="14"/>
      <c r="E53" s="5"/>
      <c r="F53" s="19"/>
      <c r="G53" s="5"/>
      <c r="H53" s="5"/>
      <c r="I53" s="14"/>
      <c r="J53" s="14"/>
      <c r="K53" s="167"/>
      <c r="M53" s="134"/>
    </row>
    <row r="54" spans="1:13" x14ac:dyDescent="0.25">
      <c r="A54" s="14" t="s">
        <v>83</v>
      </c>
      <c r="B54" s="14"/>
      <c r="C54" s="157">
        <f>'Not an Attach.-Proxy Co. Detail'!DE12</f>
        <v>2423700</v>
      </c>
      <c r="D54" s="116">
        <f>C54/C$57</f>
        <v>0.48598411934552455</v>
      </c>
      <c r="E54" s="18"/>
      <c r="F54" s="19">
        <f>C54+424500</f>
        <v>2848200</v>
      </c>
      <c r="G54" s="116">
        <f>F54/F$57</f>
        <v>0.43920058769794251</v>
      </c>
      <c r="H54" s="20"/>
      <c r="I54" s="158" t="str">
        <f>I19</f>
        <v>@ 9/30/2020</v>
      </c>
      <c r="M54" s="134"/>
    </row>
    <row r="55" spans="1:13" x14ac:dyDescent="0.25">
      <c r="A55" s="14" t="s">
        <v>3</v>
      </c>
      <c r="B55" s="14"/>
      <c r="C55" s="157">
        <f>'Not an Attach.-Proxy Co. Detail'!DE16</f>
        <v>242000</v>
      </c>
      <c r="D55" s="116">
        <f>C55/C$57</f>
        <v>4.8524222008341354E-2</v>
      </c>
      <c r="E55" s="159"/>
      <c r="F55" s="19">
        <f>C55</f>
        <v>242000</v>
      </c>
      <c r="G55" s="116">
        <f>F55/F$57</f>
        <v>3.7317092276842247E-2</v>
      </c>
      <c r="H55" s="20"/>
      <c r="I55" s="14"/>
      <c r="J55" s="14"/>
      <c r="K55" s="14"/>
      <c r="M55" s="134"/>
    </row>
    <row r="56" spans="1:13" x14ac:dyDescent="0.25">
      <c r="A56" s="14" t="s">
        <v>74</v>
      </c>
      <c r="B56" s="14"/>
      <c r="C56" s="157">
        <f>'Not an Attach.-Proxy Co. Detail'!DE17+'Not an Attach.-Proxy Co. Detail'!DE18</f>
        <v>2321500</v>
      </c>
      <c r="D56" s="116">
        <f>C56/C$57</f>
        <v>0.46549165864613412</v>
      </c>
      <c r="E56" s="18"/>
      <c r="F56" s="157">
        <f>I57*K57</f>
        <v>3394764.0000000005</v>
      </c>
      <c r="G56" s="116">
        <f>F56/F$57</f>
        <v>0.52348232002521533</v>
      </c>
      <c r="H56" s="20"/>
      <c r="I56" s="14"/>
      <c r="J56" s="14"/>
      <c r="K56" s="14"/>
      <c r="M56" s="134"/>
    </row>
    <row r="57" spans="1:13" x14ac:dyDescent="0.25">
      <c r="A57" s="6" t="s">
        <v>67</v>
      </c>
      <c r="B57" s="6"/>
      <c r="C57" s="114">
        <f>SUM(C54:C56)</f>
        <v>4987200</v>
      </c>
      <c r="D57" s="115">
        <f>SUM(D54:D56)</f>
        <v>1</v>
      </c>
      <c r="E57" s="20"/>
      <c r="F57" s="114">
        <f>SUM(F54:F56)</f>
        <v>6484964</v>
      </c>
      <c r="G57" s="115">
        <f>SUM(G54:G56)</f>
        <v>1</v>
      </c>
      <c r="H57" s="109"/>
      <c r="I57" s="160">
        <v>51600</v>
      </c>
      <c r="J57" s="6"/>
      <c r="K57" s="161">
        <v>65.790000000000006</v>
      </c>
      <c r="M57" s="162"/>
    </row>
    <row r="58" spans="1:13" x14ac:dyDescent="0.25">
      <c r="A58" s="5"/>
      <c r="B58" s="5"/>
      <c r="C58" s="19"/>
      <c r="D58" s="18"/>
      <c r="E58" s="20"/>
      <c r="F58" s="22"/>
      <c r="G58" s="18"/>
      <c r="H58" s="20"/>
      <c r="I58" s="23"/>
      <c r="J58" s="5"/>
      <c r="K58" s="24"/>
      <c r="M58" s="134"/>
    </row>
    <row r="59" spans="1:13" x14ac:dyDescent="0.25">
      <c r="A59" s="5"/>
      <c r="B59" s="5"/>
      <c r="C59" s="19"/>
      <c r="D59" s="18"/>
      <c r="E59" s="20"/>
      <c r="F59" s="22"/>
      <c r="G59" s="18"/>
      <c r="H59" s="20"/>
      <c r="I59" s="23"/>
      <c r="J59" s="5"/>
      <c r="K59" s="24"/>
      <c r="M59" s="168"/>
    </row>
    <row r="60" spans="1:13" ht="15" customHeight="1" x14ac:dyDescent="0.25">
      <c r="A60" s="35" t="s">
        <v>57</v>
      </c>
      <c r="B60" s="14"/>
      <c r="C60" s="157"/>
      <c r="D60" s="14"/>
      <c r="E60" s="5"/>
      <c r="F60" s="19"/>
      <c r="G60" s="5"/>
      <c r="H60" s="5"/>
      <c r="I60" s="14"/>
      <c r="J60" s="14"/>
      <c r="K60" s="167"/>
      <c r="M60" s="134"/>
    </row>
    <row r="61" spans="1:13" ht="15" customHeight="1" x14ac:dyDescent="0.25">
      <c r="A61" s="148" t="s">
        <v>58</v>
      </c>
      <c r="B61" s="14"/>
      <c r="C61" s="157"/>
      <c r="D61" s="14"/>
      <c r="E61" s="5"/>
      <c r="F61" s="19"/>
      <c r="G61" s="5"/>
      <c r="H61" s="5"/>
      <c r="I61" s="14"/>
      <c r="J61" s="14"/>
      <c r="K61" s="167"/>
      <c r="M61" s="134"/>
    </row>
    <row r="62" spans="1:13" ht="15" customHeight="1" x14ac:dyDescent="0.25">
      <c r="A62" s="14" t="s">
        <v>83</v>
      </c>
      <c r="B62" s="14"/>
      <c r="C62" s="157">
        <f>(+C12+C19+C26+C33+C40+C47+C54)/7</f>
        <v>2452293.4285714286</v>
      </c>
      <c r="D62" s="116">
        <f>(+D12+D19+D26+D33+D40+D47+D54)/7</f>
        <v>0.49298902218646873</v>
      </c>
      <c r="E62" s="20"/>
      <c r="F62" s="157">
        <f>(+F12+F19+F26+F33+F40+F47+F54)/7</f>
        <v>2849510.8571428573</v>
      </c>
      <c r="G62" s="116">
        <f>(+G12+G19+G26+G33+G40+G47+G54)/7</f>
        <v>0.41978642200991256</v>
      </c>
      <c r="H62" s="20"/>
      <c r="I62" s="158"/>
      <c r="M62" s="134"/>
    </row>
    <row r="63" spans="1:13" ht="15" customHeight="1" x14ac:dyDescent="0.25">
      <c r="A63" s="14" t="s">
        <v>3</v>
      </c>
      <c r="B63" s="14"/>
      <c r="C63" s="157">
        <f t="shared" ref="C63:C64" si="1">(+C13+C20+C27+C34+C41+C48+C55)/7</f>
        <v>34571.428571428572</v>
      </c>
      <c r="D63" s="116">
        <f t="shared" ref="D63:D64" si="2">(+D13+D20+D27+D34+D41+D48+D55)/7</f>
        <v>6.9320317154773362E-3</v>
      </c>
      <c r="E63" s="20"/>
      <c r="F63" s="157">
        <f t="shared" ref="F63:F64" si="3">(+F13+F20+F27+F34+F41+F48+F55)/7</f>
        <v>34571.428571428572</v>
      </c>
      <c r="G63" s="116">
        <f t="shared" ref="G63" si="4">(+G13+G20+G27+G34+G41+G48+G55)/7</f>
        <v>5.3310131824060355E-3</v>
      </c>
      <c r="H63" s="20"/>
      <c r="I63" s="158"/>
      <c r="M63" s="134"/>
    </row>
    <row r="64" spans="1:13" ht="15" customHeight="1" x14ac:dyDescent="0.25">
      <c r="A64" s="14" t="s">
        <v>74</v>
      </c>
      <c r="B64" s="14"/>
      <c r="C64" s="157">
        <f t="shared" si="1"/>
        <v>2662439.2857142859</v>
      </c>
      <c r="D64" s="116">
        <f t="shared" si="2"/>
        <v>0.50007894609805414</v>
      </c>
      <c r="E64" s="20"/>
      <c r="F64" s="157">
        <f t="shared" si="3"/>
        <v>4240235.4794285716</v>
      </c>
      <c r="G64" s="116">
        <f>(+G14+G21+G28+G35+G42+G49+G56)/7</f>
        <v>0.57488256480768141</v>
      </c>
      <c r="H64" s="20"/>
      <c r="I64" s="158"/>
      <c r="M64" s="134"/>
    </row>
    <row r="65" spans="1:13" x14ac:dyDescent="0.25">
      <c r="A65" s="6" t="s">
        <v>67</v>
      </c>
      <c r="B65" s="6"/>
      <c r="C65" s="114">
        <f>SUM(C62:C64)</f>
        <v>5149304.1428571437</v>
      </c>
      <c r="D65" s="115">
        <f>SUM(D62:D64)</f>
        <v>1.0000000000000002</v>
      </c>
      <c r="E65" s="20"/>
      <c r="F65" s="114">
        <f>SUM(F62:F64)</f>
        <v>7124317.765142858</v>
      </c>
      <c r="G65" s="115">
        <f>SUM(G62:G64)</f>
        <v>1</v>
      </c>
      <c r="H65" s="109"/>
      <c r="I65" s="160"/>
      <c r="J65" s="6"/>
      <c r="K65" s="161"/>
      <c r="M65" s="134"/>
    </row>
    <row r="66" spans="1:13" x14ac:dyDescent="0.25">
      <c r="A66" s="5"/>
      <c r="B66" s="5"/>
      <c r="C66" s="22"/>
      <c r="D66" s="18"/>
      <c r="E66" s="20"/>
      <c r="F66" s="22"/>
      <c r="G66" s="18"/>
      <c r="H66" s="20"/>
      <c r="I66" s="23"/>
      <c r="J66" s="5"/>
      <c r="K66" s="24"/>
      <c r="M66" s="52"/>
    </row>
    <row r="67" spans="1:13" x14ac:dyDescent="0.25">
      <c r="A67" s="5"/>
      <c r="B67" s="5"/>
      <c r="C67" s="22"/>
      <c r="D67" s="18"/>
      <c r="E67" s="20"/>
      <c r="F67" s="22"/>
      <c r="G67" s="18"/>
      <c r="H67" s="20"/>
      <c r="I67" s="23"/>
      <c r="J67" s="5"/>
      <c r="K67" s="24"/>
    </row>
    <row r="68" spans="1:13" x14ac:dyDescent="0.25">
      <c r="A68" s="25" t="s">
        <v>162</v>
      </c>
      <c r="E68" s="1"/>
      <c r="F68" s="9"/>
      <c r="G68" s="1"/>
      <c r="H68" s="1"/>
      <c r="K68" s="26"/>
    </row>
    <row r="69" spans="1:13" x14ac:dyDescent="0.25">
      <c r="A69" s="25" t="s">
        <v>161</v>
      </c>
      <c r="E69" s="1"/>
      <c r="F69" s="1"/>
      <c r="G69" s="1"/>
      <c r="H69" s="1"/>
      <c r="K69" s="26"/>
    </row>
    <row r="70" spans="1:13" x14ac:dyDescent="0.25">
      <c r="A70" s="7" t="s">
        <v>110</v>
      </c>
      <c r="B70" s="14"/>
      <c r="C70" s="14"/>
      <c r="D70" s="14"/>
      <c r="E70" s="5"/>
      <c r="F70" s="5"/>
      <c r="G70" s="5"/>
      <c r="H70" s="1"/>
    </row>
    <row r="71" spans="1:13" x14ac:dyDescent="0.25">
      <c r="B71" s="14"/>
      <c r="C71" s="14"/>
      <c r="D71" s="14"/>
      <c r="E71" s="5"/>
      <c r="F71" s="5"/>
      <c r="G71" s="5"/>
      <c r="H71" s="1"/>
    </row>
    <row r="72" spans="1:13" x14ac:dyDescent="0.25">
      <c r="A72" s="25"/>
      <c r="B72" s="14"/>
      <c r="C72" s="14"/>
      <c r="D72" s="14"/>
      <c r="E72" s="5"/>
      <c r="F72" s="5"/>
      <c r="G72" s="5"/>
      <c r="H72" s="1"/>
    </row>
    <row r="73" spans="1:13" x14ac:dyDescent="0.25">
      <c r="B73" s="14"/>
      <c r="C73" s="14"/>
      <c r="D73" s="14"/>
      <c r="E73" s="5"/>
      <c r="F73" s="5"/>
      <c r="G73" s="5"/>
      <c r="H73" s="1"/>
    </row>
    <row r="74" spans="1:13" x14ac:dyDescent="0.25">
      <c r="E74" s="1"/>
      <c r="F74" s="1"/>
      <c r="G74" s="1"/>
      <c r="H74" s="1"/>
    </row>
    <row r="75" spans="1:13" x14ac:dyDescent="0.25">
      <c r="D75" s="27"/>
      <c r="E75" s="1"/>
      <c r="F75" s="1"/>
      <c r="G75" s="1"/>
      <c r="H75" s="1"/>
    </row>
    <row r="76" spans="1:13" x14ac:dyDescent="0.25">
      <c r="E76" s="1"/>
      <c r="F76" s="1"/>
      <c r="G76" s="1"/>
      <c r="H76" s="1"/>
    </row>
    <row r="77" spans="1:13" x14ac:dyDescent="0.25">
      <c r="E77" s="1"/>
      <c r="F77" s="1"/>
      <c r="G77" s="1"/>
      <c r="H77" s="1"/>
    </row>
    <row r="78" spans="1:13" x14ac:dyDescent="0.25">
      <c r="E78" s="1"/>
      <c r="F78" s="1"/>
      <c r="G78" s="1"/>
      <c r="H78" s="1"/>
    </row>
    <row r="79" spans="1:13" x14ac:dyDescent="0.25">
      <c r="E79" s="1"/>
      <c r="F79" s="1"/>
      <c r="G79" s="1"/>
      <c r="H79" s="1"/>
    </row>
    <row r="80" spans="1:13" x14ac:dyDescent="0.25">
      <c r="E80" s="1"/>
      <c r="F80" s="1"/>
      <c r="G80" s="1"/>
      <c r="H80" s="1"/>
    </row>
    <row r="81" spans="5:8" x14ac:dyDescent="0.25">
      <c r="E81" s="1"/>
      <c r="F81" s="1"/>
      <c r="G81" s="1"/>
      <c r="H81" s="1"/>
    </row>
    <row r="82" spans="5:8" x14ac:dyDescent="0.25">
      <c r="E82" s="1"/>
      <c r="F82" s="1"/>
      <c r="G82" s="1"/>
      <c r="H82" s="1"/>
    </row>
    <row r="83" spans="5:8" x14ac:dyDescent="0.25">
      <c r="E83" s="1"/>
      <c r="F83" s="1"/>
      <c r="G83" s="1"/>
      <c r="H83" s="1"/>
    </row>
    <row r="84" spans="5:8" x14ac:dyDescent="0.25">
      <c r="E84" s="1"/>
      <c r="F84" s="1"/>
      <c r="G84" s="1"/>
      <c r="H84" s="1"/>
    </row>
    <row r="85" spans="5:8" x14ac:dyDescent="0.25">
      <c r="E85" s="1"/>
      <c r="F85" s="1"/>
      <c r="G85" s="1"/>
      <c r="H85" s="1"/>
    </row>
    <row r="86" spans="5:8" x14ac:dyDescent="0.25">
      <c r="E86" s="1"/>
      <c r="F86" s="1"/>
      <c r="G86" s="1"/>
      <c r="H86" s="1"/>
    </row>
    <row r="87" spans="5:8" x14ac:dyDescent="0.25">
      <c r="E87" s="1"/>
      <c r="F87" s="1"/>
      <c r="G87" s="1"/>
      <c r="H87" s="1"/>
    </row>
    <row r="88" spans="5:8" x14ac:dyDescent="0.25">
      <c r="E88" s="1"/>
      <c r="F88" s="1"/>
      <c r="G88" s="1"/>
      <c r="H88" s="1"/>
    </row>
    <row r="89" spans="5:8" x14ac:dyDescent="0.25">
      <c r="E89" s="1"/>
      <c r="F89" s="1"/>
      <c r="G89" s="1"/>
      <c r="H89" s="1"/>
    </row>
    <row r="90" spans="5:8" x14ac:dyDescent="0.25">
      <c r="E90" s="1"/>
      <c r="F90" s="1"/>
      <c r="G90" s="1"/>
      <c r="H90" s="1"/>
    </row>
    <row r="91" spans="5:8" x14ac:dyDescent="0.25">
      <c r="E91" s="1"/>
      <c r="F91" s="1"/>
      <c r="G91" s="1"/>
      <c r="H91" s="1"/>
    </row>
    <row r="92" spans="5:8" x14ac:dyDescent="0.25">
      <c r="E92" s="1"/>
      <c r="F92" s="1"/>
      <c r="G92" s="1"/>
      <c r="H92" s="1"/>
    </row>
    <row r="93" spans="5:8" x14ac:dyDescent="0.25">
      <c r="E93" s="1"/>
      <c r="F93" s="1"/>
      <c r="G93" s="1"/>
      <c r="H93" s="1"/>
    </row>
    <row r="94" spans="5:8" x14ac:dyDescent="0.25">
      <c r="E94" s="1"/>
      <c r="F94" s="1"/>
      <c r="G94" s="1"/>
      <c r="H94" s="1"/>
    </row>
    <row r="95" spans="5:8" x14ac:dyDescent="0.25">
      <c r="E95" s="1"/>
      <c r="F95" s="1"/>
      <c r="G95" s="1"/>
      <c r="H95" s="1"/>
    </row>
    <row r="96" spans="5:8" x14ac:dyDescent="0.25">
      <c r="E96" s="1"/>
      <c r="F96" s="1"/>
      <c r="G96" s="1"/>
      <c r="H96" s="1"/>
    </row>
    <row r="97" spans="5:8" x14ac:dyDescent="0.25">
      <c r="E97" s="1"/>
      <c r="F97" s="1"/>
      <c r="G97" s="1"/>
      <c r="H97" s="1"/>
    </row>
    <row r="98" spans="5:8" x14ac:dyDescent="0.25">
      <c r="E98" s="1"/>
      <c r="F98" s="1"/>
      <c r="G98" s="1"/>
      <c r="H98" s="1"/>
    </row>
    <row r="99" spans="5:8" x14ac:dyDescent="0.25">
      <c r="E99" s="1"/>
      <c r="F99" s="1"/>
      <c r="G99" s="1"/>
      <c r="H99" s="1"/>
    </row>
    <row r="100" spans="5:8" x14ac:dyDescent="0.25">
      <c r="E100" s="1"/>
      <c r="F100" s="1"/>
      <c r="G100" s="1"/>
      <c r="H100" s="1"/>
    </row>
    <row r="101" spans="5:8" x14ac:dyDescent="0.25">
      <c r="E101" s="1"/>
      <c r="F101" s="1"/>
      <c r="G101" s="1"/>
      <c r="H101" s="1"/>
    </row>
    <row r="102" spans="5:8" x14ac:dyDescent="0.25">
      <c r="E102" s="1"/>
      <c r="F102" s="1"/>
      <c r="G102" s="1"/>
      <c r="H102" s="1"/>
    </row>
    <row r="103" spans="5:8" x14ac:dyDescent="0.25">
      <c r="E103" s="1"/>
      <c r="F103" s="1"/>
      <c r="G103" s="1"/>
      <c r="H103" s="1"/>
    </row>
    <row r="104" spans="5:8" x14ac:dyDescent="0.25">
      <c r="E104" s="1"/>
      <c r="F104" s="1"/>
      <c r="G104" s="1"/>
      <c r="H104" s="1"/>
    </row>
    <row r="105" spans="5:8" x14ac:dyDescent="0.25">
      <c r="E105" s="1"/>
      <c r="F105" s="1"/>
      <c r="G105" s="1"/>
      <c r="H105" s="1"/>
    </row>
    <row r="106" spans="5:8" x14ac:dyDescent="0.25">
      <c r="E106" s="1"/>
      <c r="F106" s="1"/>
      <c r="G106" s="1"/>
      <c r="H106" s="1"/>
    </row>
    <row r="107" spans="5:8" x14ac:dyDescent="0.25">
      <c r="E107" s="1"/>
      <c r="F107" s="1"/>
      <c r="G107" s="1"/>
      <c r="H107" s="1"/>
    </row>
    <row r="108" spans="5:8" x14ac:dyDescent="0.25">
      <c r="E108" s="1"/>
      <c r="F108" s="1"/>
      <c r="G108" s="1"/>
      <c r="H108" s="1"/>
    </row>
    <row r="109" spans="5:8" x14ac:dyDescent="0.25">
      <c r="E109" s="1"/>
      <c r="F109" s="1"/>
      <c r="G109" s="1"/>
      <c r="H109" s="1"/>
    </row>
    <row r="110" spans="5:8" x14ac:dyDescent="0.25">
      <c r="E110" s="1"/>
      <c r="F110" s="1"/>
      <c r="G110" s="1"/>
      <c r="H110" s="1"/>
    </row>
    <row r="111" spans="5:8" x14ac:dyDescent="0.25">
      <c r="E111" s="1"/>
      <c r="F111" s="1"/>
      <c r="G111" s="1"/>
      <c r="H111" s="1"/>
    </row>
    <row r="112" spans="5:8" x14ac:dyDescent="0.25">
      <c r="E112" s="1"/>
      <c r="F112" s="1"/>
      <c r="G112" s="1"/>
      <c r="H112" s="1"/>
    </row>
    <row r="113" spans="5:8" x14ac:dyDescent="0.25">
      <c r="E113" s="1"/>
      <c r="F113" s="1"/>
      <c r="G113" s="1"/>
      <c r="H113" s="1"/>
    </row>
    <row r="114" spans="5:8" x14ac:dyDescent="0.25">
      <c r="E114" s="1"/>
      <c r="F114" s="1"/>
      <c r="G114" s="1"/>
      <c r="H114" s="1"/>
    </row>
    <row r="115" spans="5:8" x14ac:dyDescent="0.25">
      <c r="E115" s="1"/>
      <c r="F115" s="1"/>
      <c r="G115" s="1"/>
      <c r="H115" s="1"/>
    </row>
    <row r="116" spans="5:8" x14ac:dyDescent="0.25">
      <c r="E116" s="1"/>
      <c r="F116" s="1"/>
      <c r="G116" s="1"/>
      <c r="H116" s="1"/>
    </row>
    <row r="117" spans="5:8" x14ac:dyDescent="0.25">
      <c r="E117" s="1"/>
      <c r="F117" s="1"/>
      <c r="G117" s="1"/>
      <c r="H117" s="1"/>
    </row>
    <row r="118" spans="5:8" x14ac:dyDescent="0.25">
      <c r="E118" s="1"/>
      <c r="F118" s="1"/>
      <c r="G118" s="1"/>
      <c r="H118" s="1"/>
    </row>
    <row r="119" spans="5:8" x14ac:dyDescent="0.25">
      <c r="E119" s="1"/>
      <c r="F119" s="1"/>
      <c r="G119" s="1"/>
      <c r="H119" s="1"/>
    </row>
    <row r="120" spans="5:8" x14ac:dyDescent="0.25">
      <c r="E120" s="1"/>
      <c r="F120" s="1"/>
      <c r="G120" s="1"/>
      <c r="H120" s="1"/>
    </row>
    <row r="121" spans="5:8" x14ac:dyDescent="0.25">
      <c r="E121" s="1"/>
      <c r="F121" s="1"/>
      <c r="G121" s="1"/>
      <c r="H121" s="1"/>
    </row>
    <row r="122" spans="5:8" x14ac:dyDescent="0.25">
      <c r="E122" s="1"/>
      <c r="F122" s="1"/>
      <c r="G122" s="1"/>
      <c r="H122" s="1"/>
    </row>
    <row r="123" spans="5:8" x14ac:dyDescent="0.25">
      <c r="E123" s="1"/>
      <c r="F123" s="1"/>
      <c r="G123" s="1"/>
      <c r="H123" s="1"/>
    </row>
    <row r="124" spans="5:8" x14ac:dyDescent="0.25">
      <c r="E124" s="1"/>
      <c r="F124" s="1"/>
      <c r="G124" s="1"/>
      <c r="H124" s="1"/>
    </row>
    <row r="125" spans="5:8" x14ac:dyDescent="0.25">
      <c r="E125" s="1"/>
      <c r="F125" s="1"/>
      <c r="G125" s="1"/>
      <c r="H125" s="1"/>
    </row>
    <row r="126" spans="5:8" x14ac:dyDescent="0.25">
      <c r="E126" s="1"/>
      <c r="F126" s="1"/>
      <c r="G126" s="1"/>
      <c r="H126" s="1"/>
    </row>
  </sheetData>
  <mergeCells count="6">
    <mergeCell ref="C8:D8"/>
    <mergeCell ref="F8:G8"/>
    <mergeCell ref="A1:H1"/>
    <mergeCell ref="A2:H2"/>
    <mergeCell ref="C7:D7"/>
    <mergeCell ref="F7:G7"/>
  </mergeCells>
  <phoneticPr fontId="23" type="noConversion"/>
  <pageMargins left="0.7" right="0.2" top="1" bottom="0.5" header="0.3" footer="0.3"/>
  <pageSetup scale="6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K121"/>
  <sheetViews>
    <sheetView zoomScaleNormal="100" workbookViewId="0">
      <selection activeCell="EU2" sqref="EU2"/>
    </sheetView>
  </sheetViews>
  <sheetFormatPr defaultColWidth="9.140625" defaultRowHeight="15" x14ac:dyDescent="0.25"/>
  <cols>
    <col min="1" max="1" width="51.5703125" style="11" customWidth="1"/>
    <col min="2" max="2" width="10.28515625" style="11" customWidth="1"/>
    <col min="3" max="4" width="10.5703125" style="11" customWidth="1"/>
    <col min="5" max="6" width="10.28515625" style="11" customWidth="1"/>
    <col min="7" max="7" width="10.5703125" style="11" customWidth="1"/>
    <col min="8" max="8" width="10.5703125" style="11" bestFit="1" customWidth="1"/>
    <col min="9" max="9" width="10.7109375" style="11" customWidth="1"/>
    <col min="10" max="10" width="11.28515625" style="11" customWidth="1"/>
    <col min="11" max="11" width="11" style="11" customWidth="1"/>
    <col min="12" max="12" width="11.28515625" style="11" customWidth="1"/>
    <col min="13" max="13" width="9.140625" style="11"/>
    <col min="14" max="14" width="45.5703125" style="11" customWidth="1"/>
    <col min="15" max="15" width="4.28515625" style="11" customWidth="1"/>
    <col min="16" max="16" width="11.28515625" style="11" customWidth="1"/>
    <col min="17" max="17" width="12.140625" style="11" customWidth="1"/>
    <col min="18" max="18" width="11.7109375" style="11" bestFit="1" customWidth="1"/>
    <col min="19" max="19" width="11.5703125" style="11" bestFit="1" customWidth="1"/>
    <col min="20" max="20" width="11.42578125" style="11" customWidth="1"/>
    <col min="21" max="21" width="11.28515625" style="11" customWidth="1"/>
    <col min="22" max="22" width="11.5703125" style="11" bestFit="1" customWidth="1"/>
    <col min="23" max="23" width="10.42578125" style="11" customWidth="1"/>
    <col min="24" max="24" width="10.28515625" style="11" customWidth="1"/>
    <col min="25" max="26" width="10.5703125" style="11" customWidth="1"/>
    <col min="27" max="27" width="10.28515625" style="11" customWidth="1"/>
    <col min="28" max="28" width="10.42578125" style="11" customWidth="1"/>
    <col min="29" max="29" width="10.5703125" style="11" customWidth="1"/>
    <col min="30" max="30" width="10.42578125" style="11" customWidth="1"/>
    <col min="31" max="31" width="15" style="11" customWidth="1"/>
    <col min="32" max="32" width="9.140625" style="11"/>
    <col min="33" max="33" width="45.7109375" style="11" customWidth="1"/>
    <col min="34" max="34" width="4.5703125" style="11" customWidth="1"/>
    <col min="35" max="35" width="10.7109375" style="11" customWidth="1"/>
    <col min="36" max="36" width="10.5703125" style="11" customWidth="1"/>
    <col min="37" max="38" width="11.5703125" style="11" bestFit="1" customWidth="1"/>
    <col min="39" max="39" width="11" style="11" customWidth="1"/>
    <col min="40" max="41" width="10.7109375" style="11" customWidth="1"/>
    <col min="42" max="42" width="10.42578125" style="11" customWidth="1"/>
    <col min="43" max="43" width="10.28515625" style="11" customWidth="1"/>
    <col min="44" max="44" width="10.7109375" style="11" customWidth="1"/>
    <col min="45" max="45" width="10.28515625" style="11" customWidth="1"/>
    <col min="46" max="46" width="10.7109375" style="11" customWidth="1"/>
    <col min="47" max="47" width="10.5703125" style="11" customWidth="1"/>
    <col min="48" max="48" width="10.42578125" style="11" customWidth="1"/>
    <col min="49" max="49" width="11" style="11" customWidth="1"/>
    <col min="50" max="50" width="14.42578125" style="11" customWidth="1"/>
    <col min="51" max="51" width="9.140625" style="11"/>
    <col min="52" max="52" width="45.85546875" style="11" customWidth="1"/>
    <col min="53" max="53" width="5.5703125" style="11" customWidth="1"/>
    <col min="54" max="54" width="11.28515625" style="11" customWidth="1"/>
    <col min="55" max="55" width="10.42578125" style="11" customWidth="1"/>
    <col min="56" max="56" width="10.7109375" style="11" customWidth="1"/>
    <col min="57" max="57" width="11" style="11" customWidth="1"/>
    <col min="58" max="58" width="11.28515625" style="11" customWidth="1"/>
    <col min="59" max="59" width="11.140625" style="11" customWidth="1"/>
    <col min="60" max="60" width="10.85546875" style="11" customWidth="1"/>
    <col min="61" max="61" width="11.7109375" style="11" customWidth="1"/>
    <col min="62" max="63" width="10.85546875" style="11" customWidth="1"/>
    <col min="64" max="68" width="10.5703125" style="11" bestFit="1" customWidth="1"/>
    <col min="69" max="69" width="13.7109375" style="11" customWidth="1"/>
    <col min="70" max="70" width="8.140625" style="11" customWidth="1"/>
    <col min="71" max="71" width="44.7109375" style="11" customWidth="1"/>
    <col min="72" max="72" width="5.5703125" style="11" customWidth="1"/>
    <col min="73" max="73" width="10.7109375" style="11" customWidth="1"/>
    <col min="74" max="74" width="11.28515625" style="11" customWidth="1"/>
    <col min="75" max="75" width="10.85546875" style="11" customWidth="1"/>
    <col min="76" max="76" width="11.28515625" style="11" customWidth="1"/>
    <col min="77" max="79" width="10.85546875" style="11" customWidth="1"/>
    <col min="80" max="80" width="10.28515625" style="11" customWidth="1"/>
    <col min="81" max="81" width="10.42578125" style="11" customWidth="1"/>
    <col min="82" max="85" width="10.5703125" style="11" bestFit="1" customWidth="1"/>
    <col min="86" max="86" width="20.85546875" style="11" customWidth="1"/>
    <col min="87" max="87" width="9.140625" style="11"/>
    <col min="88" max="88" width="44.7109375" style="11" customWidth="1"/>
    <col min="89" max="89" width="5.28515625" style="11" customWidth="1"/>
    <col min="90" max="91" width="10.7109375" style="11" customWidth="1"/>
    <col min="92" max="92" width="11" style="11" customWidth="1"/>
    <col min="93" max="93" width="10.28515625" style="11" customWidth="1"/>
    <col min="94" max="94" width="10.7109375" style="11" customWidth="1"/>
    <col min="95" max="95" width="11.140625" style="11" customWidth="1"/>
    <col min="96" max="96" width="11.7109375" style="11" customWidth="1"/>
    <col min="97" max="97" width="11.42578125" style="11" customWidth="1"/>
    <col min="98" max="98" width="10.5703125" style="11" customWidth="1"/>
    <col min="99" max="99" width="10.28515625" style="11" customWidth="1"/>
    <col min="100" max="104" width="10.5703125" style="11" bestFit="1" customWidth="1"/>
    <col min="105" max="105" width="17.7109375" style="11" customWidth="1"/>
    <col min="106" max="106" width="9.140625" style="11"/>
    <col min="107" max="107" width="44.7109375" style="11" customWidth="1"/>
    <col min="108" max="108" width="4.28515625" style="11" customWidth="1"/>
    <col min="109" max="109" width="11.5703125" style="11" customWidth="1"/>
    <col min="110" max="110" width="11.28515625" style="11" customWidth="1"/>
    <col min="111" max="111" width="10.85546875" style="11" customWidth="1"/>
    <col min="112" max="112" width="11.42578125" style="11" customWidth="1"/>
    <col min="113" max="113" width="11" style="11" customWidth="1"/>
    <col min="114" max="114" width="11.140625" style="11" customWidth="1"/>
    <col min="115" max="115" width="10.7109375" style="11" customWidth="1"/>
    <col min="116" max="117" width="10.5703125" style="11" customWidth="1"/>
    <col min="118" max="118" width="10" style="11" customWidth="1"/>
    <col min="119" max="119" width="10.28515625" style="11" customWidth="1"/>
    <col min="120" max="120" width="10.42578125" style="11" customWidth="1"/>
    <col min="121" max="121" width="10.28515625" style="11" customWidth="1"/>
    <col min="122" max="123" width="10.42578125" style="11" customWidth="1"/>
    <col min="124" max="124" width="15.140625" style="11" customWidth="1"/>
    <col min="125" max="125" width="9.140625" style="11"/>
    <col min="126" max="126" width="46.85546875" style="11" customWidth="1"/>
    <col min="127" max="127" width="4.85546875" style="11" customWidth="1"/>
    <col min="128" max="128" width="11.28515625" style="11" customWidth="1"/>
    <col min="129" max="129" width="11.5703125" style="11" bestFit="1" customWidth="1"/>
    <col min="130" max="131" width="11.42578125" style="11" customWidth="1"/>
    <col min="132" max="132" width="11.5703125" style="11" customWidth="1"/>
    <col min="133" max="133" width="11.85546875" style="11" customWidth="1"/>
    <col min="134" max="134" width="12.140625" style="11" customWidth="1"/>
    <col min="135" max="135" width="11.28515625" style="11" customWidth="1"/>
    <col min="136" max="136" width="11.140625" style="11" customWidth="1"/>
    <col min="137" max="137" width="10.28515625" style="11" customWidth="1"/>
    <col min="138" max="139" width="10.42578125" style="11" customWidth="1"/>
    <col min="140" max="140" width="10.7109375" style="11" customWidth="1"/>
    <col min="141" max="141" width="9.140625" style="11"/>
    <col min="142" max="142" width="10.7109375" style="11" customWidth="1"/>
    <col min="143" max="143" width="10.140625" style="11" customWidth="1"/>
    <col min="144" max="144" width="11.7109375" style="11" customWidth="1"/>
    <col min="145" max="145" width="58.140625" style="11" customWidth="1"/>
    <col min="146" max="146" width="10.7109375" style="11" customWidth="1"/>
    <col min="147" max="147" width="11.140625" style="11" customWidth="1"/>
    <col min="148" max="148" width="11.28515625" style="11" customWidth="1"/>
    <col min="149" max="150" width="11" style="11" customWidth="1"/>
    <col min="151" max="151" width="12.28515625" style="11" customWidth="1"/>
    <col min="152" max="152" width="10.28515625" style="11" customWidth="1"/>
    <col min="153" max="153" width="10" style="11" customWidth="1"/>
    <col min="154" max="154" width="11" style="11" customWidth="1"/>
    <col min="155" max="156" width="10.5703125" style="11" customWidth="1"/>
    <col min="157" max="157" width="10.42578125" style="11" customWidth="1"/>
    <col min="158" max="158" width="10.28515625" style="11" customWidth="1"/>
    <col min="159" max="159" width="10.42578125" style="11" customWidth="1"/>
    <col min="160" max="160" width="11.140625" style="11" customWidth="1"/>
    <col min="161" max="161" width="12.85546875" style="11" customWidth="1"/>
    <col min="162" max="16384" width="9.140625" style="11"/>
  </cols>
  <sheetData>
    <row r="1" spans="1:164" ht="15.75" x14ac:dyDescent="0.25">
      <c r="A1" s="72" t="s">
        <v>174</v>
      </c>
      <c r="B1" s="72"/>
      <c r="C1" s="72"/>
      <c r="D1" s="72"/>
      <c r="E1" s="72"/>
      <c r="F1" s="72"/>
      <c r="G1" s="72"/>
      <c r="J1" s="189"/>
      <c r="K1" s="189"/>
      <c r="L1" s="189"/>
      <c r="N1" s="47" t="s">
        <v>112</v>
      </c>
      <c r="Z1" s="73"/>
      <c r="AD1" s="73">
        <f>L2</f>
        <v>44388</v>
      </c>
      <c r="AS1" s="73"/>
      <c r="AW1" s="73">
        <f>L2</f>
        <v>44388</v>
      </c>
      <c r="BL1" s="73"/>
      <c r="BP1" s="73">
        <f>AW1</f>
        <v>44388</v>
      </c>
      <c r="CD1" s="73"/>
      <c r="CG1" s="73">
        <f>BP1</f>
        <v>44388</v>
      </c>
      <c r="CV1" s="73"/>
      <c r="CZ1" s="73">
        <f>L2</f>
        <v>44388</v>
      </c>
      <c r="DO1" s="73"/>
      <c r="DS1" s="73">
        <f>L2</f>
        <v>44388</v>
      </c>
      <c r="EH1" s="73"/>
      <c r="EL1" s="73">
        <f>L2</f>
        <v>44388</v>
      </c>
      <c r="EU1" s="73">
        <v>44388</v>
      </c>
      <c r="EW1" s="38"/>
      <c r="EX1" s="38"/>
      <c r="EY1" s="38"/>
      <c r="EZ1" s="73"/>
      <c r="FA1" s="38"/>
      <c r="FD1" s="73"/>
    </row>
    <row r="2" spans="1:164" ht="15.75" x14ac:dyDescent="0.25">
      <c r="A2" s="72" t="s">
        <v>96</v>
      </c>
      <c r="B2" s="72"/>
      <c r="C2" s="72"/>
      <c r="D2" s="72"/>
      <c r="E2" s="72"/>
      <c r="F2" s="72"/>
      <c r="G2" s="72"/>
      <c r="K2" s="134"/>
      <c r="L2" s="73">
        <v>44388</v>
      </c>
      <c r="N2" s="47" t="s">
        <v>88</v>
      </c>
      <c r="EV2" s="192"/>
      <c r="EW2" s="192"/>
      <c r="EX2" s="192"/>
      <c r="EY2" s="192"/>
    </row>
    <row r="3" spans="1:164" x14ac:dyDescent="0.25">
      <c r="L3" s="37"/>
      <c r="N3" s="47" t="s">
        <v>17</v>
      </c>
      <c r="BS3" s="49"/>
      <c r="CJ3" s="49"/>
      <c r="DC3" s="49"/>
      <c r="DV3" s="49"/>
      <c r="EO3" s="49"/>
      <c r="EV3" s="189"/>
      <c r="EW3" s="189"/>
      <c r="EX3" s="189"/>
      <c r="EY3" s="189"/>
      <c r="EZ3" s="189"/>
      <c r="FA3" s="189"/>
    </row>
    <row r="4" spans="1:164" x14ac:dyDescent="0.25">
      <c r="H4" s="37"/>
      <c r="I4" s="37"/>
      <c r="J4" s="37"/>
      <c r="K4" s="37"/>
      <c r="L4" s="37"/>
      <c r="Y4" s="191"/>
      <c r="Z4" s="191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133"/>
      <c r="AT4" s="37"/>
      <c r="AU4" s="37"/>
      <c r="AV4" s="37"/>
      <c r="AW4" s="37"/>
      <c r="BA4" s="37"/>
      <c r="BB4" s="37"/>
      <c r="BC4" s="37"/>
      <c r="BD4" s="37"/>
      <c r="BE4" s="37"/>
      <c r="BF4" s="37"/>
      <c r="BG4" s="37"/>
      <c r="BH4" s="37"/>
      <c r="BI4" s="37"/>
      <c r="BJ4" s="192"/>
      <c r="BK4" s="192"/>
      <c r="BL4" s="192"/>
      <c r="BM4" s="37"/>
      <c r="BN4" s="37"/>
      <c r="BO4" s="37"/>
      <c r="BP4" s="37"/>
      <c r="BS4" s="37"/>
      <c r="BT4" s="37"/>
      <c r="BU4" s="37"/>
      <c r="BV4" s="37"/>
      <c r="BW4" s="37"/>
      <c r="BX4" s="37"/>
      <c r="BY4" s="37"/>
      <c r="BZ4" s="37"/>
      <c r="CA4" s="192"/>
      <c r="CB4" s="192"/>
      <c r="CC4" s="192"/>
      <c r="CD4" s="37"/>
      <c r="CE4" s="37"/>
      <c r="CF4" s="37"/>
      <c r="CG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192"/>
      <c r="CU4" s="192"/>
      <c r="CV4" s="192"/>
      <c r="CW4" s="37"/>
      <c r="CX4" s="37"/>
      <c r="CY4" s="37"/>
      <c r="CZ4" s="37"/>
      <c r="DC4" s="37"/>
      <c r="DD4" s="37"/>
      <c r="DE4" s="37"/>
      <c r="DF4" s="37"/>
      <c r="DG4" s="37"/>
      <c r="DH4" s="37"/>
      <c r="DI4" s="37"/>
      <c r="DJ4" s="37"/>
      <c r="DK4" s="37"/>
      <c r="DL4" s="37"/>
      <c r="DM4" s="192"/>
      <c r="DN4" s="192"/>
      <c r="DO4" s="192"/>
      <c r="DP4" s="37"/>
      <c r="DQ4" s="37"/>
      <c r="DR4" s="37"/>
      <c r="DS4" s="37"/>
      <c r="DV4" s="37"/>
      <c r="DW4" s="37"/>
      <c r="DX4" s="37"/>
      <c r="DY4" s="37"/>
      <c r="DZ4" s="37"/>
      <c r="EA4" s="37"/>
      <c r="EB4" s="37"/>
      <c r="EC4" s="37"/>
      <c r="ED4" s="37"/>
      <c r="EE4" s="37"/>
      <c r="EF4" s="37"/>
      <c r="EG4" s="192"/>
      <c r="EH4" s="192"/>
      <c r="EI4" s="192"/>
      <c r="EJ4" s="37"/>
      <c r="EK4" s="37"/>
      <c r="EL4" s="37"/>
      <c r="EO4" s="37"/>
      <c r="EP4" s="37"/>
      <c r="EQ4" s="37"/>
      <c r="ES4" s="37"/>
      <c r="ET4" s="37"/>
      <c r="EU4" s="37"/>
      <c r="EV4" s="37"/>
      <c r="EW4" s="37"/>
      <c r="FB4" s="37"/>
      <c r="FC4" s="37"/>
      <c r="FD4" s="37"/>
    </row>
    <row r="5" spans="1:164" x14ac:dyDescent="0.25">
      <c r="H5" s="37"/>
      <c r="I5" s="37"/>
      <c r="J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T5" s="37"/>
      <c r="AU5" s="37"/>
      <c r="AV5" s="37"/>
      <c r="AW5" s="37"/>
      <c r="AZ5" s="74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  <c r="DQ5" s="37"/>
      <c r="DR5" s="37"/>
      <c r="DS5" s="37"/>
      <c r="DV5" s="37"/>
      <c r="DW5" s="37"/>
      <c r="DX5" s="37"/>
      <c r="DY5" s="37"/>
      <c r="DZ5" s="37"/>
      <c r="EA5" s="37"/>
      <c r="EB5" s="37"/>
      <c r="EC5" s="37"/>
      <c r="ED5" s="37"/>
      <c r="EE5" s="37"/>
      <c r="EF5" s="37"/>
      <c r="EG5" s="37"/>
      <c r="EH5" s="37"/>
      <c r="EI5" s="37"/>
      <c r="EJ5" s="37"/>
      <c r="EK5" s="37"/>
      <c r="EL5" s="37"/>
      <c r="EO5" s="37"/>
      <c r="EP5" s="37"/>
      <c r="EQ5" s="37"/>
      <c r="ER5" s="37"/>
      <c r="ES5" s="37"/>
      <c r="ET5" s="37"/>
      <c r="EU5" s="37"/>
      <c r="EV5" s="37"/>
      <c r="EW5" s="37"/>
      <c r="FB5" s="37"/>
      <c r="FC5" s="37"/>
      <c r="FD5" s="37"/>
    </row>
    <row r="6" spans="1:164" x14ac:dyDescent="0.25">
      <c r="A6" s="37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AA6" s="75"/>
      <c r="AG6" s="76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T6" s="37"/>
      <c r="BU6" s="37"/>
      <c r="BV6" s="37"/>
      <c r="BW6" s="37"/>
      <c r="BX6" s="37"/>
      <c r="BY6" s="37"/>
      <c r="BZ6" s="37"/>
      <c r="CA6" s="37"/>
      <c r="CB6" s="37"/>
      <c r="CC6" s="37"/>
      <c r="CD6" s="37"/>
      <c r="CE6" s="37"/>
      <c r="CF6" s="37"/>
      <c r="CG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  <c r="DQ6" s="37"/>
      <c r="DR6" s="37"/>
      <c r="DS6" s="37"/>
      <c r="DV6" s="37"/>
      <c r="DW6" s="37"/>
      <c r="DX6" s="37"/>
      <c r="DY6" s="37"/>
      <c r="DZ6" s="37"/>
      <c r="EA6" s="37"/>
      <c r="EB6" s="37"/>
      <c r="EC6" s="37"/>
      <c r="ED6" s="37"/>
      <c r="EE6" s="37"/>
      <c r="EF6" s="37"/>
      <c r="EG6" s="37"/>
      <c r="EH6" s="37"/>
      <c r="EI6" s="37"/>
      <c r="EJ6" s="37"/>
      <c r="EK6" s="37"/>
      <c r="EL6" s="37"/>
      <c r="EO6" s="37"/>
      <c r="EP6" s="37"/>
      <c r="EQ6" s="37"/>
      <c r="ER6" s="37"/>
      <c r="ES6" s="37"/>
      <c r="ET6" s="37"/>
      <c r="EU6" s="37"/>
      <c r="EV6" s="37"/>
      <c r="EW6" s="37"/>
      <c r="EX6" s="37"/>
      <c r="EY6" s="77"/>
      <c r="EZ6" s="77"/>
      <c r="FA6" s="77"/>
      <c r="FB6" s="77"/>
      <c r="FC6" s="77"/>
      <c r="FD6" s="77"/>
    </row>
    <row r="7" spans="1:164" x14ac:dyDescent="0.25">
      <c r="AZ7" s="78" t="s">
        <v>105</v>
      </c>
      <c r="CB7" s="75"/>
      <c r="CJ7" s="78" t="s">
        <v>107</v>
      </c>
      <c r="DC7" s="78" t="s">
        <v>106</v>
      </c>
      <c r="EG7" s="75"/>
      <c r="ER7" s="135"/>
    </row>
    <row r="8" spans="1:164" x14ac:dyDescent="0.25">
      <c r="F8" s="79" t="s">
        <v>95</v>
      </c>
      <c r="I8" s="79"/>
      <c r="J8" s="79"/>
      <c r="N8" s="78" t="s">
        <v>104</v>
      </c>
      <c r="T8" s="75"/>
      <c r="U8" s="132" t="s">
        <v>47</v>
      </c>
      <c r="V8" s="132"/>
      <c r="AB8" s="132"/>
      <c r="AC8" s="132"/>
      <c r="AD8" s="132"/>
      <c r="AG8" s="78" t="s">
        <v>107</v>
      </c>
      <c r="AM8" s="193" t="s">
        <v>48</v>
      </c>
      <c r="AN8" s="193"/>
      <c r="AO8" s="193"/>
      <c r="AP8" s="193"/>
      <c r="AQ8" s="193"/>
      <c r="AR8" s="75"/>
      <c r="BF8" s="193" t="s">
        <v>49</v>
      </c>
      <c r="BG8" s="193"/>
      <c r="BH8" s="193"/>
      <c r="BI8" s="193"/>
      <c r="BJ8" s="193"/>
      <c r="BK8" s="75"/>
      <c r="BL8" s="193"/>
      <c r="BM8" s="193"/>
      <c r="BN8" s="193"/>
      <c r="BO8" s="193"/>
      <c r="BP8" s="193"/>
      <c r="BS8" s="80" t="s">
        <v>138</v>
      </c>
      <c r="BY8" s="193" t="s">
        <v>137</v>
      </c>
      <c r="BZ8" s="193"/>
      <c r="CA8" s="193"/>
      <c r="CC8" s="132"/>
      <c r="CD8" s="132"/>
      <c r="CE8" s="132"/>
      <c r="CF8" s="132"/>
      <c r="CP8" s="193" t="s">
        <v>50</v>
      </c>
      <c r="CQ8" s="193"/>
      <c r="CR8" s="193"/>
      <c r="CS8" s="193"/>
      <c r="CT8" s="193"/>
      <c r="CU8" s="75"/>
      <c r="DI8" s="193" t="s">
        <v>126</v>
      </c>
      <c r="DJ8" s="193"/>
      <c r="DK8" s="193"/>
      <c r="DL8" s="193"/>
      <c r="DM8" s="193"/>
      <c r="DN8" s="75"/>
      <c r="DV8" s="78" t="s">
        <v>107</v>
      </c>
      <c r="EC8" s="132" t="s">
        <v>51</v>
      </c>
      <c r="ED8" s="132"/>
      <c r="EJ8" s="132"/>
      <c r="EK8" s="132"/>
      <c r="EL8" s="132"/>
      <c r="EO8" s="78" t="s">
        <v>108</v>
      </c>
      <c r="ER8" s="135"/>
      <c r="ES8" s="169" t="s">
        <v>163</v>
      </c>
      <c r="EU8" s="169"/>
      <c r="EX8" s="124"/>
      <c r="EY8" s="124"/>
      <c r="EZ8" s="1"/>
      <c r="FA8" s="1"/>
      <c r="FB8" s="1"/>
      <c r="FC8" s="1"/>
      <c r="FD8" s="1"/>
      <c r="FE8" s="1"/>
      <c r="FF8" s="1"/>
      <c r="FG8" s="1"/>
      <c r="FH8" s="1"/>
    </row>
    <row r="9" spans="1:164" x14ac:dyDescent="0.25">
      <c r="B9" s="54">
        <v>2020</v>
      </c>
      <c r="C9" s="54">
        <v>2019</v>
      </c>
      <c r="D9" s="54">
        <v>2018</v>
      </c>
      <c r="E9" s="54">
        <v>2017</v>
      </c>
      <c r="F9" s="54">
        <v>2016</v>
      </c>
      <c r="G9" s="54">
        <v>2015</v>
      </c>
      <c r="H9" s="54">
        <v>2014</v>
      </c>
      <c r="I9" s="54">
        <v>2013</v>
      </c>
      <c r="J9" s="54">
        <v>2012</v>
      </c>
      <c r="K9" s="39">
        <v>2011</v>
      </c>
      <c r="L9" s="39">
        <v>2010</v>
      </c>
      <c r="P9" s="54">
        <v>2020</v>
      </c>
      <c r="Q9" s="54">
        <v>2019</v>
      </c>
      <c r="R9" s="54">
        <v>2018</v>
      </c>
      <c r="S9" s="39">
        <v>2017</v>
      </c>
      <c r="T9" s="54">
        <v>2016</v>
      </c>
      <c r="U9" s="39">
        <v>2015</v>
      </c>
      <c r="V9" s="39">
        <v>2014</v>
      </c>
      <c r="W9" s="39">
        <v>2013</v>
      </c>
      <c r="X9" s="39">
        <v>2012</v>
      </c>
      <c r="Y9" s="39">
        <v>2011</v>
      </c>
      <c r="Z9" s="39">
        <v>2010</v>
      </c>
      <c r="AA9" s="39">
        <v>2009</v>
      </c>
      <c r="AB9" s="39">
        <v>2008</v>
      </c>
      <c r="AC9" s="39">
        <v>2007</v>
      </c>
      <c r="AD9" s="39">
        <v>2006</v>
      </c>
      <c r="AI9" s="54">
        <v>2020</v>
      </c>
      <c r="AJ9" s="54">
        <v>2019</v>
      </c>
      <c r="AK9" s="54">
        <v>2018</v>
      </c>
      <c r="AL9" s="54">
        <v>2017</v>
      </c>
      <c r="AM9" s="54">
        <v>2016</v>
      </c>
      <c r="AN9" s="54">
        <v>2015</v>
      </c>
      <c r="AO9" s="54">
        <v>2014</v>
      </c>
      <c r="AP9" s="54">
        <v>2013</v>
      </c>
      <c r="AQ9" s="54">
        <v>2012</v>
      </c>
      <c r="AR9" s="39">
        <v>2011</v>
      </c>
      <c r="AS9" s="39">
        <v>2010</v>
      </c>
      <c r="AT9" s="39">
        <v>2009</v>
      </c>
      <c r="AU9" s="39">
        <v>2008</v>
      </c>
      <c r="AV9" s="39">
        <v>2007</v>
      </c>
      <c r="AW9" s="39">
        <v>2006</v>
      </c>
      <c r="BB9" s="54">
        <v>2020</v>
      </c>
      <c r="BC9" s="54">
        <v>2019</v>
      </c>
      <c r="BD9" s="54">
        <v>2018</v>
      </c>
      <c r="BE9" s="54">
        <v>2017</v>
      </c>
      <c r="BF9" s="54">
        <v>2016</v>
      </c>
      <c r="BG9" s="54">
        <v>2015</v>
      </c>
      <c r="BH9" s="81">
        <v>2014</v>
      </c>
      <c r="BI9" s="81">
        <v>2013</v>
      </c>
      <c r="BJ9" s="81">
        <v>2012</v>
      </c>
      <c r="BK9" s="39">
        <v>2011</v>
      </c>
      <c r="BL9" s="39">
        <v>2010</v>
      </c>
      <c r="BM9" s="39">
        <v>2009</v>
      </c>
      <c r="BN9" s="39">
        <v>2008</v>
      </c>
      <c r="BO9" s="39">
        <v>2007</v>
      </c>
      <c r="BP9" s="39">
        <v>2006</v>
      </c>
      <c r="BU9" s="54">
        <v>2020</v>
      </c>
      <c r="BV9" s="54">
        <v>2019</v>
      </c>
      <c r="BW9" s="54">
        <v>2018</v>
      </c>
      <c r="BX9" s="54">
        <v>2017</v>
      </c>
      <c r="BY9" s="54">
        <v>2016</v>
      </c>
      <c r="BZ9" s="54">
        <v>2015</v>
      </c>
      <c r="CA9" s="54">
        <v>2014</v>
      </c>
      <c r="CB9" s="39">
        <v>2013</v>
      </c>
      <c r="CC9" s="39">
        <v>2012</v>
      </c>
      <c r="CD9" s="39">
        <v>2011</v>
      </c>
      <c r="CE9" s="39">
        <v>2008</v>
      </c>
      <c r="CF9" s="39">
        <v>2007</v>
      </c>
      <c r="CG9" s="39">
        <v>2006</v>
      </c>
      <c r="CL9" s="54">
        <v>2020</v>
      </c>
      <c r="CM9" s="54">
        <v>2019</v>
      </c>
      <c r="CN9" s="54">
        <v>2018</v>
      </c>
      <c r="CO9" s="54">
        <v>2017</v>
      </c>
      <c r="CP9" s="54">
        <v>2016</v>
      </c>
      <c r="CQ9" s="54">
        <v>2015</v>
      </c>
      <c r="CR9" s="54">
        <v>2014</v>
      </c>
      <c r="CS9" s="54">
        <v>2013</v>
      </c>
      <c r="CT9" s="54">
        <v>2012</v>
      </c>
      <c r="CU9" s="39">
        <v>2011</v>
      </c>
      <c r="CV9" s="39">
        <v>2010</v>
      </c>
      <c r="CW9" s="39">
        <v>2009</v>
      </c>
      <c r="CX9" s="39">
        <v>2008</v>
      </c>
      <c r="CY9" s="39">
        <v>2007</v>
      </c>
      <c r="CZ9" s="39">
        <v>2006</v>
      </c>
      <c r="DE9" s="54">
        <v>2020</v>
      </c>
      <c r="DF9" s="54">
        <v>2019</v>
      </c>
      <c r="DG9" s="54">
        <v>2018</v>
      </c>
      <c r="DH9" s="54">
        <v>2017</v>
      </c>
      <c r="DI9" s="54">
        <v>2016</v>
      </c>
      <c r="DJ9" s="54">
        <v>2015</v>
      </c>
      <c r="DK9" s="54">
        <v>2014</v>
      </c>
      <c r="DL9" s="54">
        <v>2013</v>
      </c>
      <c r="DM9" s="54">
        <v>2012</v>
      </c>
      <c r="DN9" s="39">
        <v>2011</v>
      </c>
      <c r="DO9" s="39">
        <v>2010</v>
      </c>
      <c r="DP9" s="39">
        <v>2009</v>
      </c>
      <c r="DQ9" s="39">
        <v>2008</v>
      </c>
      <c r="DR9" s="39">
        <v>2007</v>
      </c>
      <c r="DS9" s="39">
        <v>2006</v>
      </c>
      <c r="DX9" s="54">
        <v>2020</v>
      </c>
      <c r="DY9" s="54">
        <v>2019</v>
      </c>
      <c r="DZ9" s="54">
        <v>2018</v>
      </c>
      <c r="EA9" s="54">
        <v>2017</v>
      </c>
      <c r="EB9" s="54">
        <v>2016</v>
      </c>
      <c r="EC9" s="54">
        <v>2015</v>
      </c>
      <c r="ED9" s="54">
        <v>2014</v>
      </c>
      <c r="EE9" s="54">
        <v>2013</v>
      </c>
      <c r="EF9" s="54">
        <v>2012</v>
      </c>
      <c r="EG9" s="39">
        <v>2011</v>
      </c>
      <c r="EH9" s="39">
        <v>2010</v>
      </c>
      <c r="EI9" s="39">
        <v>2009</v>
      </c>
      <c r="EJ9" s="39">
        <v>2008</v>
      </c>
      <c r="EK9" s="39">
        <v>2007</v>
      </c>
      <c r="EL9" s="39">
        <v>2006</v>
      </c>
      <c r="EM9" s="11" t="s">
        <v>111</v>
      </c>
      <c r="EP9" s="54">
        <v>2020</v>
      </c>
      <c r="EQ9" s="54">
        <v>2019</v>
      </c>
      <c r="ER9" s="54">
        <v>2018</v>
      </c>
      <c r="ES9" s="54">
        <v>2017</v>
      </c>
      <c r="ET9" s="54">
        <v>2016</v>
      </c>
      <c r="EU9" s="54">
        <v>2015</v>
      </c>
      <c r="EX9" s="61"/>
      <c r="EY9" s="16"/>
      <c r="EZ9" s="16"/>
      <c r="FA9" s="16"/>
      <c r="FB9" s="16"/>
      <c r="FC9" s="16"/>
      <c r="FD9" s="16"/>
      <c r="FE9" s="1"/>
      <c r="FF9" s="1"/>
      <c r="FG9" s="1"/>
      <c r="FH9" s="1"/>
    </row>
    <row r="10" spans="1:164" x14ac:dyDescent="0.25">
      <c r="A10" s="47" t="s">
        <v>10</v>
      </c>
      <c r="B10" s="47"/>
      <c r="C10" s="47"/>
      <c r="D10" s="47"/>
      <c r="E10" s="47"/>
      <c r="F10" s="47"/>
      <c r="G10" s="47"/>
      <c r="N10" s="47" t="s">
        <v>10</v>
      </c>
      <c r="AG10" s="47" t="s">
        <v>10</v>
      </c>
      <c r="AZ10" s="47" t="s">
        <v>10</v>
      </c>
      <c r="BJ10" s="10"/>
      <c r="BS10" s="47" t="s">
        <v>10</v>
      </c>
      <c r="CJ10" s="47" t="s">
        <v>10</v>
      </c>
      <c r="DC10" s="47" t="s">
        <v>10</v>
      </c>
      <c r="DV10" s="47" t="s">
        <v>10</v>
      </c>
      <c r="EF10" s="61"/>
      <c r="EN10" s="134"/>
      <c r="EO10" s="47" t="s">
        <v>10</v>
      </c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</row>
    <row r="11" spans="1:164" x14ac:dyDescent="0.25">
      <c r="BJ11" s="10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</row>
    <row r="12" spans="1:164" x14ac:dyDescent="0.25">
      <c r="A12" s="11" t="s">
        <v>0</v>
      </c>
      <c r="B12" s="10">
        <f t="shared" ref="B12:L12" si="0">(P12+AI12+BB12+BU12+CL12+DE12+DX12)/7</f>
        <v>2452293.4285714286</v>
      </c>
      <c r="C12" s="10">
        <f t="shared" si="0"/>
        <v>1944545.142857143</v>
      </c>
      <c r="D12" s="10">
        <f t="shared" si="0"/>
        <v>1682890.7142857143</v>
      </c>
      <c r="E12" s="10">
        <f t="shared" si="0"/>
        <v>1551020.142857143</v>
      </c>
      <c r="F12" s="10">
        <f t="shared" si="0"/>
        <v>1330828.142857143</v>
      </c>
      <c r="G12" s="10">
        <f t="shared" si="0"/>
        <v>1337478</v>
      </c>
      <c r="H12" s="10">
        <f t="shared" si="0"/>
        <v>1146282.5714285714</v>
      </c>
      <c r="I12" s="10">
        <f t="shared" si="0"/>
        <v>946385.14285714284</v>
      </c>
      <c r="J12" s="10">
        <f t="shared" si="0"/>
        <v>768909</v>
      </c>
      <c r="K12" s="10">
        <f t="shared" si="0"/>
        <v>713434.57142857148</v>
      </c>
      <c r="L12" s="10">
        <f t="shared" si="0"/>
        <v>665593.57142857148</v>
      </c>
      <c r="M12" s="10"/>
      <c r="N12" s="11" t="s">
        <v>0</v>
      </c>
      <c r="P12" s="10">
        <v>2259466</v>
      </c>
      <c r="Q12" s="10">
        <v>1537177</v>
      </c>
      <c r="R12" s="10">
        <v>1180619</v>
      </c>
      <c r="S12" s="10">
        <v>997080</v>
      </c>
      <c r="T12" s="10">
        <v>1063550</v>
      </c>
      <c r="U12" s="10">
        <v>843595</v>
      </c>
      <c r="V12" s="10">
        <v>598209</v>
      </c>
      <c r="W12" s="10">
        <v>512886</v>
      </c>
      <c r="X12" s="10">
        <v>525169</v>
      </c>
      <c r="Y12" s="10">
        <v>426797</v>
      </c>
      <c r="Z12" s="10">
        <v>428925</v>
      </c>
      <c r="AA12" s="10">
        <v>455492</v>
      </c>
      <c r="AB12" s="10">
        <v>455117</v>
      </c>
      <c r="AC12" s="10">
        <v>383184</v>
      </c>
      <c r="AD12" s="10">
        <v>332332</v>
      </c>
      <c r="AE12" s="10"/>
      <c r="AF12" s="10"/>
      <c r="AG12" s="11" t="s">
        <v>0</v>
      </c>
      <c r="AI12" s="10">
        <v>860081</v>
      </c>
      <c r="AJ12" s="10">
        <v>805955</v>
      </c>
      <c r="AK12" s="10">
        <v>706247</v>
      </c>
      <c r="AL12" s="10">
        <v>683184</v>
      </c>
      <c r="AM12" s="10">
        <v>679334</v>
      </c>
      <c r="AN12" s="10">
        <v>569445</v>
      </c>
      <c r="AO12" s="10">
        <v>621700</v>
      </c>
      <c r="AP12" s="10">
        <v>681700</v>
      </c>
      <c r="AQ12" s="10">
        <v>691700</v>
      </c>
      <c r="AR12" s="10">
        <v>641700</v>
      </c>
      <c r="AS12" s="10">
        <v>591700</v>
      </c>
      <c r="AT12" s="10">
        <v>601700</v>
      </c>
      <c r="AU12" s="10">
        <v>512000</v>
      </c>
      <c r="AV12" s="10">
        <v>512000</v>
      </c>
      <c r="AW12" s="10">
        <v>517000</v>
      </c>
      <c r="AX12" s="10"/>
      <c r="AZ12" s="11" t="s">
        <v>0</v>
      </c>
      <c r="BB12" s="10">
        <v>4531779</v>
      </c>
      <c r="BC12" s="10">
        <v>3529452</v>
      </c>
      <c r="BD12" s="10">
        <v>2493665</v>
      </c>
      <c r="BE12" s="10">
        <v>3067045</v>
      </c>
      <c r="BF12" s="10">
        <v>2188779</v>
      </c>
      <c r="BG12" s="10">
        <v>2437515</v>
      </c>
      <c r="BH12" s="76">
        <v>2455986</v>
      </c>
      <c r="BI12" s="76">
        <v>2455671</v>
      </c>
      <c r="BJ12" s="10">
        <v>1956305</v>
      </c>
      <c r="BK12" s="10">
        <v>2206117</v>
      </c>
      <c r="BL12" s="10">
        <v>1809551</v>
      </c>
      <c r="BM12" s="10">
        <v>2169400</v>
      </c>
      <c r="BN12" s="10">
        <v>2119792</v>
      </c>
      <c r="BO12" s="10">
        <v>2126315</v>
      </c>
      <c r="BP12" s="10">
        <v>2180362</v>
      </c>
      <c r="BQ12" s="10"/>
      <c r="BS12" s="11" t="s">
        <v>0</v>
      </c>
      <c r="BU12" s="10">
        <v>1582428</v>
      </c>
      <c r="BV12" s="10">
        <v>1286064</v>
      </c>
      <c r="BW12" s="10">
        <v>1285483</v>
      </c>
      <c r="BX12" s="10">
        <v>1193257</v>
      </c>
      <c r="BY12" s="10">
        <v>1192446</v>
      </c>
      <c r="BZ12" s="10">
        <v>1191660</v>
      </c>
      <c r="CA12" s="10">
        <v>0</v>
      </c>
      <c r="CB12" s="10">
        <v>0</v>
      </c>
      <c r="CC12" s="10">
        <v>0</v>
      </c>
      <c r="CD12" s="10">
        <v>0</v>
      </c>
      <c r="CE12" s="10">
        <v>0</v>
      </c>
      <c r="CF12" s="10">
        <v>0</v>
      </c>
      <c r="CG12" s="10">
        <v>0</v>
      </c>
      <c r="CJ12" s="11" t="s">
        <v>0</v>
      </c>
      <c r="CL12" s="10">
        <v>2732200</v>
      </c>
      <c r="CM12" s="10">
        <v>2300482</v>
      </c>
      <c r="CN12" s="10">
        <v>2107258</v>
      </c>
      <c r="CO12" s="10">
        <v>1798576</v>
      </c>
      <c r="CP12" s="10">
        <v>1549983</v>
      </c>
      <c r="CQ12" s="10">
        <v>1551204</v>
      </c>
      <c r="CR12" s="10">
        <v>1637592</v>
      </c>
      <c r="CS12" s="10">
        <v>1381327</v>
      </c>
      <c r="CT12" s="10">
        <v>1268373</v>
      </c>
      <c r="CU12" s="10">
        <v>930858</v>
      </c>
      <c r="CV12" s="10">
        <v>1124681</v>
      </c>
      <c r="CW12" s="10">
        <f>1169357+100000</f>
        <v>1269357</v>
      </c>
      <c r="CX12" s="10">
        <f>1185474+100000</f>
        <v>1285474</v>
      </c>
      <c r="CY12" s="10">
        <f>1266067+100000</f>
        <v>1366067</v>
      </c>
      <c r="CZ12" s="10">
        <f>1286354+100000</f>
        <v>1386354</v>
      </c>
      <c r="DA12" s="10"/>
      <c r="DC12" s="11" t="s">
        <v>0</v>
      </c>
      <c r="DE12" s="10">
        <v>2423700</v>
      </c>
      <c r="DF12" s="10">
        <v>2082600</v>
      </c>
      <c r="DG12" s="10">
        <v>1900100</v>
      </c>
      <c r="DH12" s="10">
        <v>1995000</v>
      </c>
      <c r="DI12" s="10">
        <v>1833700</v>
      </c>
      <c r="DJ12" s="10">
        <v>1771500</v>
      </c>
      <c r="DK12" s="10">
        <v>1851000</v>
      </c>
      <c r="DL12" s="10">
        <v>912712</v>
      </c>
      <c r="DM12" s="10">
        <v>339416</v>
      </c>
      <c r="DN12" s="10">
        <v>364357</v>
      </c>
      <c r="DO12" s="10">
        <v>364298</v>
      </c>
      <c r="DP12" s="10">
        <v>389240</v>
      </c>
      <c r="DQ12" s="10">
        <v>389181</v>
      </c>
      <c r="DR12" s="10">
        <f>309122+46400</f>
        <v>355522</v>
      </c>
      <c r="DS12" s="10">
        <f>349041+46400</f>
        <v>395441</v>
      </c>
      <c r="DT12" s="10"/>
      <c r="DV12" s="11" t="s">
        <v>0</v>
      </c>
      <c r="DX12" s="10">
        <v>2776400</v>
      </c>
      <c r="DY12" s="10">
        <v>2070086</v>
      </c>
      <c r="DZ12" s="10">
        <v>2106863</v>
      </c>
      <c r="EA12" s="10">
        <v>1122999</v>
      </c>
      <c r="EB12" s="10">
        <v>808005</v>
      </c>
      <c r="EC12" s="10">
        <v>997427</v>
      </c>
      <c r="ED12" s="10">
        <v>859491</v>
      </c>
      <c r="EE12" s="10">
        <v>680400</v>
      </c>
      <c r="EF12" s="10">
        <v>601400</v>
      </c>
      <c r="EG12" s="10">
        <v>424213</v>
      </c>
      <c r="EH12" s="10">
        <v>340000</v>
      </c>
      <c r="EI12" s="10">
        <v>312793</v>
      </c>
      <c r="EJ12" s="10">
        <v>332784</v>
      </c>
      <c r="EK12" s="10">
        <v>357896</v>
      </c>
      <c r="EL12" s="10">
        <v>358022</v>
      </c>
      <c r="EM12" s="10"/>
      <c r="EN12" s="10"/>
      <c r="EO12" s="11" t="s">
        <v>0</v>
      </c>
      <c r="EP12" s="10">
        <v>154375</v>
      </c>
      <c r="EQ12" s="10">
        <v>142375</v>
      </c>
      <c r="ER12" s="10">
        <v>127375</v>
      </c>
      <c r="ES12" s="10">
        <v>114375</v>
      </c>
      <c r="ET12" s="10">
        <v>114375</v>
      </c>
      <c r="EU12" s="10">
        <v>87585</v>
      </c>
      <c r="EX12" s="9"/>
      <c r="EY12" s="9"/>
      <c r="EZ12" s="9"/>
      <c r="FA12" s="9"/>
      <c r="FB12" s="9"/>
      <c r="FC12" s="9"/>
      <c r="FD12" s="9"/>
      <c r="FE12" s="36"/>
      <c r="FF12" s="1"/>
      <c r="FG12" s="1"/>
      <c r="FH12" s="1"/>
    </row>
    <row r="13" spans="1:164" x14ac:dyDescent="0.25">
      <c r="A13" s="11" t="s">
        <v>2</v>
      </c>
      <c r="B13" s="10">
        <f t="shared" ref="B13:C14" si="1">(P13+AI13+BB13+BU13+CL13+DE13+DX13)/7</f>
        <v>52339.857142857145</v>
      </c>
      <c r="C13" s="10">
        <f t="shared" si="1"/>
        <v>109707</v>
      </c>
      <c r="D13" s="10">
        <f t="shared" ref="D13:L14" si="2">(R13+AK13+BD13+BW13+CN13+DG13+DZ13)/7</f>
        <v>238714.71428571429</v>
      </c>
      <c r="E13" s="10">
        <f t="shared" si="2"/>
        <v>64461.857142857145</v>
      </c>
      <c r="F13" s="10">
        <f t="shared" si="2"/>
        <v>126208.28571428571</v>
      </c>
      <c r="G13" s="10">
        <f t="shared" si="2"/>
        <v>23578.142857142859</v>
      </c>
      <c r="H13" s="10">
        <f t="shared" si="2"/>
        <v>34800.857142857145</v>
      </c>
      <c r="I13" s="10">
        <f t="shared" si="2"/>
        <v>22964</v>
      </c>
      <c r="J13" s="10">
        <f t="shared" si="2"/>
        <v>15432.571428571429</v>
      </c>
      <c r="K13" s="10">
        <f t="shared" si="2"/>
        <v>53544.857142857145</v>
      </c>
      <c r="L13" s="10">
        <f t="shared" si="2"/>
        <v>87552.571428571435</v>
      </c>
      <c r="M13" s="10"/>
      <c r="N13" s="11" t="s">
        <v>2</v>
      </c>
      <c r="P13" s="10">
        <v>27236</v>
      </c>
      <c r="Q13" s="10">
        <v>21419</v>
      </c>
      <c r="R13" s="10">
        <v>123545</v>
      </c>
      <c r="S13" s="10">
        <v>165375</v>
      </c>
      <c r="T13" s="10">
        <v>61452</v>
      </c>
      <c r="U13" s="10">
        <v>11138</v>
      </c>
      <c r="V13" s="10">
        <v>34505</v>
      </c>
      <c r="W13" s="10">
        <v>68643</v>
      </c>
      <c r="X13" s="10">
        <v>7760</v>
      </c>
      <c r="Y13" s="10">
        <v>7575</v>
      </c>
      <c r="Z13" s="10">
        <v>31257</v>
      </c>
      <c r="AA13" s="10">
        <v>6510</v>
      </c>
      <c r="AB13" s="10">
        <v>60119</v>
      </c>
      <c r="AC13" s="10">
        <v>4338</v>
      </c>
      <c r="AD13" s="10">
        <v>3739</v>
      </c>
      <c r="AE13" s="10"/>
      <c r="AF13" s="10"/>
      <c r="AG13" s="11" t="s">
        <v>2</v>
      </c>
      <c r="AI13" s="10">
        <v>95344</v>
      </c>
      <c r="AJ13" s="10">
        <v>75109</v>
      </c>
      <c r="AK13" s="10">
        <v>29989</v>
      </c>
      <c r="AL13" s="10">
        <v>96703</v>
      </c>
      <c r="AM13" s="10">
        <v>39989</v>
      </c>
      <c r="AN13" s="10">
        <v>24973</v>
      </c>
      <c r="AO13" s="10">
        <v>40000</v>
      </c>
      <c r="AP13" s="10">
        <v>60000</v>
      </c>
      <c r="AQ13" s="10">
        <v>0</v>
      </c>
      <c r="AR13" s="10">
        <v>40000</v>
      </c>
      <c r="AS13" s="10">
        <v>10000</v>
      </c>
      <c r="AT13" s="10">
        <v>35000</v>
      </c>
      <c r="AU13" s="10">
        <v>0</v>
      </c>
      <c r="AV13" s="10">
        <v>5000</v>
      </c>
      <c r="AW13" s="10">
        <v>29500</v>
      </c>
      <c r="AX13" s="10"/>
      <c r="AZ13" s="11" t="s">
        <v>2</v>
      </c>
      <c r="BB13" s="10">
        <v>165</v>
      </c>
      <c r="BC13" s="10">
        <v>0</v>
      </c>
      <c r="BD13" s="10">
        <v>575000</v>
      </c>
      <c r="BE13" s="10">
        <v>0</v>
      </c>
      <c r="BF13" s="10">
        <v>250000</v>
      </c>
      <c r="BG13" s="10">
        <v>0</v>
      </c>
      <c r="BH13" s="10">
        <v>0</v>
      </c>
      <c r="BI13" s="10">
        <v>0</v>
      </c>
      <c r="BJ13" s="10">
        <v>131</v>
      </c>
      <c r="BK13" s="10">
        <v>2434</v>
      </c>
      <c r="BL13" s="10">
        <v>360131</v>
      </c>
      <c r="BM13" s="10">
        <v>131</v>
      </c>
      <c r="BN13" s="10">
        <v>785</v>
      </c>
      <c r="BO13" s="10">
        <v>3831</v>
      </c>
      <c r="BP13" s="10">
        <v>3186</v>
      </c>
      <c r="BQ13" s="10"/>
      <c r="BS13" s="11" t="s">
        <v>2</v>
      </c>
      <c r="BU13" s="10">
        <v>0</v>
      </c>
      <c r="BV13" s="10">
        <v>0</v>
      </c>
      <c r="BW13" s="10">
        <v>0</v>
      </c>
      <c r="BX13" s="10">
        <v>0</v>
      </c>
      <c r="BY13" s="10">
        <v>7</v>
      </c>
      <c r="BZ13" s="10">
        <v>7</v>
      </c>
      <c r="CA13" s="10">
        <v>0</v>
      </c>
      <c r="CB13" s="10">
        <v>0</v>
      </c>
      <c r="CC13" s="10">
        <v>0</v>
      </c>
      <c r="CD13" s="10">
        <v>0</v>
      </c>
      <c r="CE13" s="10">
        <v>0</v>
      </c>
      <c r="CF13" s="10">
        <v>0</v>
      </c>
      <c r="CG13" s="10">
        <v>0</v>
      </c>
      <c r="CJ13" s="11" t="s">
        <v>2</v>
      </c>
      <c r="CL13" s="10">
        <v>40433</v>
      </c>
      <c r="CM13" s="10">
        <v>163512</v>
      </c>
      <c r="CN13" s="10">
        <v>33060</v>
      </c>
      <c r="CO13" s="10">
        <v>25346</v>
      </c>
      <c r="CP13" s="10">
        <v>50101</v>
      </c>
      <c r="CQ13" s="10">
        <v>19475</v>
      </c>
      <c r="CR13" s="10">
        <v>19192</v>
      </c>
      <c r="CS13" s="10">
        <v>11105</v>
      </c>
      <c r="CT13" s="10">
        <v>50137</v>
      </c>
      <c r="CU13" s="10">
        <v>322618</v>
      </c>
      <c r="CV13" s="10">
        <v>75080</v>
      </c>
      <c r="CW13" s="10">
        <v>1327</v>
      </c>
      <c r="CX13" s="10">
        <v>7833</v>
      </c>
      <c r="CY13" s="10">
        <v>38079</v>
      </c>
      <c r="CZ13" s="10">
        <v>27545</v>
      </c>
      <c r="DA13" s="10"/>
      <c r="DC13" s="11" t="s">
        <v>2</v>
      </c>
      <c r="DE13" s="10">
        <v>60400</v>
      </c>
      <c r="DF13" s="10">
        <v>40000</v>
      </c>
      <c r="DG13" s="10">
        <v>175500</v>
      </c>
      <c r="DH13" s="10">
        <v>100000</v>
      </c>
      <c r="DI13" s="10">
        <v>250000</v>
      </c>
      <c r="DJ13" s="10">
        <v>80000</v>
      </c>
      <c r="DK13" s="10">
        <v>0</v>
      </c>
      <c r="DL13" s="10">
        <v>0</v>
      </c>
      <c r="DM13" s="10">
        <v>25000</v>
      </c>
      <c r="DN13" s="10">
        <v>0</v>
      </c>
      <c r="DO13" s="10">
        <v>25000</v>
      </c>
      <c r="DP13" s="10">
        <v>0</v>
      </c>
      <c r="DQ13" s="10">
        <v>160</v>
      </c>
      <c r="DR13" s="10">
        <v>40160</v>
      </c>
      <c r="DS13" s="10">
        <v>159</v>
      </c>
      <c r="DT13" s="10"/>
      <c r="DV13" s="11" t="s">
        <v>2</v>
      </c>
      <c r="DX13" s="10">
        <v>142801</v>
      </c>
      <c r="DY13" s="10">
        <v>467909</v>
      </c>
      <c r="DZ13" s="10">
        <v>733909</v>
      </c>
      <c r="EA13" s="10">
        <v>63809</v>
      </c>
      <c r="EB13" s="10">
        <v>231909</v>
      </c>
      <c r="EC13" s="10">
        <v>29454</v>
      </c>
      <c r="ED13" s="10">
        <v>149909</v>
      </c>
      <c r="EE13" s="10">
        <v>21000</v>
      </c>
      <c r="EF13" s="10">
        <v>25000</v>
      </c>
      <c r="EG13" s="10">
        <v>2187</v>
      </c>
      <c r="EH13" s="10">
        <v>111400</v>
      </c>
      <c r="EI13" s="10">
        <v>35119</v>
      </c>
      <c r="EJ13" s="10">
        <v>25112</v>
      </c>
      <c r="EK13" s="10">
        <v>106</v>
      </c>
      <c r="EL13" s="10">
        <v>2369</v>
      </c>
      <c r="EM13" s="10"/>
      <c r="EN13" s="10"/>
      <c r="EO13" s="11" t="s">
        <v>2</v>
      </c>
      <c r="EP13" s="58">
        <v>0</v>
      </c>
      <c r="EQ13" s="58">
        <v>0</v>
      </c>
      <c r="ER13" s="10">
        <v>0</v>
      </c>
      <c r="ES13" s="10">
        <v>0</v>
      </c>
      <c r="ET13" s="10">
        <v>0</v>
      </c>
      <c r="EU13" s="10">
        <v>0</v>
      </c>
      <c r="EX13" s="9"/>
      <c r="EY13" s="9"/>
      <c r="EZ13" s="9"/>
      <c r="FA13" s="9"/>
      <c r="FB13" s="9"/>
      <c r="FC13" s="9"/>
      <c r="FD13" s="9"/>
      <c r="FE13" s="36"/>
      <c r="FF13" s="1"/>
      <c r="FG13" s="1"/>
      <c r="FH13" s="1"/>
    </row>
    <row r="14" spans="1:164" x14ac:dyDescent="0.25">
      <c r="A14" s="11" t="s">
        <v>1</v>
      </c>
      <c r="B14" s="10">
        <f t="shared" si="1"/>
        <v>314214.28571428574</v>
      </c>
      <c r="C14" s="10">
        <f t="shared" si="1"/>
        <v>422695</v>
      </c>
      <c r="D14" s="10">
        <f t="shared" si="2"/>
        <v>317278.57142857142</v>
      </c>
      <c r="E14" s="10">
        <f t="shared" si="2"/>
        <v>309051.42857142858</v>
      </c>
      <c r="F14" s="10">
        <f t="shared" si="2"/>
        <v>263515.85714285716</v>
      </c>
      <c r="G14" s="10">
        <f t="shared" si="2"/>
        <v>227787.42857142858</v>
      </c>
      <c r="H14" s="10">
        <f t="shared" si="2"/>
        <v>181456.42857142858</v>
      </c>
      <c r="I14" s="10">
        <f t="shared" si="2"/>
        <v>192812</v>
      </c>
      <c r="J14" s="10">
        <f t="shared" si="2"/>
        <v>202854.14285714287</v>
      </c>
      <c r="K14" s="10">
        <f t="shared" si="2"/>
        <v>124963.71428571429</v>
      </c>
      <c r="L14" s="10">
        <f t="shared" si="2"/>
        <v>130210.28571428571</v>
      </c>
      <c r="M14" s="10"/>
      <c r="N14" s="11" t="s">
        <v>1</v>
      </c>
      <c r="P14" s="10">
        <v>125350</v>
      </c>
      <c r="Q14" s="10">
        <v>25450</v>
      </c>
      <c r="R14" s="10">
        <v>151950</v>
      </c>
      <c r="S14" s="10">
        <v>266000</v>
      </c>
      <c r="T14" s="10">
        <v>121700</v>
      </c>
      <c r="U14" s="10">
        <v>66350</v>
      </c>
      <c r="V14" s="10">
        <v>301000</v>
      </c>
      <c r="W14" s="10">
        <v>365600</v>
      </c>
      <c r="X14" s="10">
        <v>279800</v>
      </c>
      <c r="Y14" s="10">
        <v>159350</v>
      </c>
      <c r="Z14" s="10">
        <v>147600</v>
      </c>
      <c r="AA14" s="10">
        <v>143400</v>
      </c>
      <c r="AB14" s="10">
        <v>178200</v>
      </c>
      <c r="AC14" s="10">
        <v>256479</v>
      </c>
      <c r="AD14" s="10">
        <v>280700</v>
      </c>
      <c r="AE14" s="10"/>
      <c r="AF14" s="10"/>
      <c r="AG14" s="11" t="s">
        <v>1</v>
      </c>
      <c r="AI14" s="10">
        <v>304525</v>
      </c>
      <c r="AJ14" s="10">
        <v>149100</v>
      </c>
      <c r="AK14" s="10">
        <v>217620</v>
      </c>
      <c r="AL14" s="10">
        <v>54200</v>
      </c>
      <c r="AM14" s="10">
        <v>53300</v>
      </c>
      <c r="AN14" s="10">
        <v>270035</v>
      </c>
      <c r="AO14" s="10">
        <v>234700</v>
      </c>
      <c r="AP14" s="10">
        <v>188200</v>
      </c>
      <c r="AQ14" s="10">
        <v>190250</v>
      </c>
      <c r="AR14" s="10">
        <v>141600</v>
      </c>
      <c r="AS14" s="10">
        <v>257435</v>
      </c>
      <c r="AT14" s="10">
        <v>102000</v>
      </c>
      <c r="AU14" s="10">
        <v>248000</v>
      </c>
      <c r="AV14" s="10">
        <v>143100</v>
      </c>
      <c r="AW14" s="10">
        <v>100100</v>
      </c>
      <c r="AX14" s="10"/>
      <c r="AZ14" s="11" t="s">
        <v>1</v>
      </c>
      <c r="BB14" s="10">
        <v>0</v>
      </c>
      <c r="BC14" s="10">
        <v>464915</v>
      </c>
      <c r="BD14" s="10">
        <v>575780</v>
      </c>
      <c r="BE14" s="10">
        <v>447745</v>
      </c>
      <c r="BF14" s="10">
        <v>829811</v>
      </c>
      <c r="BG14" s="10">
        <v>457927</v>
      </c>
      <c r="BH14" s="10">
        <v>196695</v>
      </c>
      <c r="BI14" s="10">
        <v>367984</v>
      </c>
      <c r="BJ14" s="10">
        <v>570929</v>
      </c>
      <c r="BK14" s="10">
        <v>206396</v>
      </c>
      <c r="BL14" s="10">
        <v>126100</v>
      </c>
      <c r="BM14" s="10">
        <v>72550</v>
      </c>
      <c r="BN14" s="10">
        <v>350542</v>
      </c>
      <c r="BO14" s="10">
        <v>150599</v>
      </c>
      <c r="BP14" s="10">
        <v>382416</v>
      </c>
      <c r="BQ14" s="10"/>
      <c r="BS14" s="11" t="s">
        <v>1</v>
      </c>
      <c r="BU14" s="10">
        <v>418225</v>
      </c>
      <c r="BV14" s="10">
        <v>516500</v>
      </c>
      <c r="BW14" s="10">
        <v>299500</v>
      </c>
      <c r="BX14" s="10">
        <v>357215</v>
      </c>
      <c r="BY14" s="10">
        <v>145000</v>
      </c>
      <c r="BZ14" s="10">
        <v>12500</v>
      </c>
      <c r="CA14" s="10">
        <v>0</v>
      </c>
      <c r="CB14" s="10">
        <v>0</v>
      </c>
      <c r="CC14" s="10">
        <v>0</v>
      </c>
      <c r="CD14" s="10">
        <v>0</v>
      </c>
      <c r="CE14" s="10">
        <v>0</v>
      </c>
      <c r="CF14" s="10">
        <v>0</v>
      </c>
      <c r="CG14" s="10">
        <v>0</v>
      </c>
      <c r="CJ14" s="11" t="s">
        <v>1</v>
      </c>
      <c r="CL14" s="10">
        <v>107000</v>
      </c>
      <c r="CM14" s="10">
        <v>211000</v>
      </c>
      <c r="CN14" s="10">
        <v>152000</v>
      </c>
      <c r="CO14" s="10">
        <v>214500</v>
      </c>
      <c r="CP14" s="10">
        <v>0</v>
      </c>
      <c r="CQ14" s="10">
        <v>18000</v>
      </c>
      <c r="CR14" s="10">
        <v>5000</v>
      </c>
      <c r="CS14" s="10">
        <v>0</v>
      </c>
      <c r="CT14" s="10">
        <v>0</v>
      </c>
      <c r="CU14" s="10">
        <v>0</v>
      </c>
      <c r="CV14" s="10">
        <v>0</v>
      </c>
      <c r="CW14" s="10">
        <v>0</v>
      </c>
      <c r="CX14" s="10">
        <v>55000</v>
      </c>
      <c r="CY14" s="10">
        <v>9000</v>
      </c>
      <c r="CZ14" s="10">
        <v>0</v>
      </c>
      <c r="DA14" s="10"/>
      <c r="DC14" s="11" t="s">
        <v>1</v>
      </c>
      <c r="DE14" s="10">
        <v>648000</v>
      </c>
      <c r="DF14" s="10">
        <v>743200</v>
      </c>
      <c r="DG14" s="10">
        <v>553600</v>
      </c>
      <c r="DH14" s="10">
        <v>477300</v>
      </c>
      <c r="DI14" s="10">
        <v>398700</v>
      </c>
      <c r="DJ14" s="10">
        <v>338000</v>
      </c>
      <c r="DK14" s="10">
        <v>287100</v>
      </c>
      <c r="DL14" s="10">
        <v>74000</v>
      </c>
      <c r="DM14" s="10">
        <v>40100</v>
      </c>
      <c r="DN14" s="10">
        <v>46000</v>
      </c>
      <c r="DO14" s="10">
        <v>129650</v>
      </c>
      <c r="DP14" s="10">
        <v>129800</v>
      </c>
      <c r="DQ14" s="10">
        <v>215900</v>
      </c>
      <c r="DR14" s="10">
        <v>211400</v>
      </c>
      <c r="DS14" s="10">
        <v>207300</v>
      </c>
      <c r="DT14" s="10"/>
      <c r="DV14" s="11" t="s">
        <v>1</v>
      </c>
      <c r="DX14" s="10">
        <v>596400</v>
      </c>
      <c r="DY14" s="10">
        <v>848700</v>
      </c>
      <c r="DZ14" s="10">
        <v>270500</v>
      </c>
      <c r="EA14" s="10">
        <v>346400</v>
      </c>
      <c r="EB14" s="10">
        <v>296100</v>
      </c>
      <c r="EC14" s="10">
        <v>431700</v>
      </c>
      <c r="ED14" s="10">
        <v>245700</v>
      </c>
      <c r="EE14" s="10">
        <v>353900</v>
      </c>
      <c r="EF14" s="10">
        <v>338900</v>
      </c>
      <c r="EG14" s="10">
        <v>321400</v>
      </c>
      <c r="EH14" s="10">
        <v>250687</v>
      </c>
      <c r="EI14" s="10">
        <v>196600</v>
      </c>
      <c r="EJ14" s="10">
        <v>212550</v>
      </c>
      <c r="EK14" s="10">
        <v>118290</v>
      </c>
      <c r="EL14" s="10">
        <v>194600</v>
      </c>
      <c r="EM14" s="10"/>
      <c r="EN14" s="10"/>
      <c r="EO14" s="11" t="s">
        <v>176</v>
      </c>
      <c r="EP14" s="10">
        <v>34267.800000000003</v>
      </c>
      <c r="EQ14" s="10">
        <v>21859.5</v>
      </c>
      <c r="ER14" s="10">
        <v>7374.8</v>
      </c>
      <c r="ES14" s="10">
        <v>27825.7</v>
      </c>
      <c r="ET14" s="10">
        <v>7014.2</v>
      </c>
      <c r="EU14" s="10">
        <v>0</v>
      </c>
      <c r="EX14" s="9"/>
      <c r="EY14" s="9"/>
      <c r="EZ14" s="9"/>
      <c r="FA14" s="9"/>
      <c r="FB14" s="9"/>
      <c r="FC14" s="9"/>
      <c r="FD14" s="9"/>
      <c r="FE14" s="36"/>
      <c r="FF14" s="1"/>
      <c r="FG14" s="1"/>
      <c r="FH14" s="1"/>
    </row>
    <row r="15" spans="1:164" x14ac:dyDescent="0.25">
      <c r="A15" s="2" t="s">
        <v>8</v>
      </c>
      <c r="B15" s="40">
        <f>B12+B13+B14</f>
        <v>2818847.5714285718</v>
      </c>
      <c r="C15" s="40">
        <f>C12+C13+C14</f>
        <v>2476947.1428571427</v>
      </c>
      <c r="D15" s="40">
        <f t="shared" ref="D15:L15" si="3">D12+D13+D14</f>
        <v>2238884</v>
      </c>
      <c r="E15" s="40">
        <f t="shared" si="3"/>
        <v>1924533.4285714286</v>
      </c>
      <c r="F15" s="40">
        <f t="shared" si="3"/>
        <v>1720552.2857142859</v>
      </c>
      <c r="G15" s="40">
        <f t="shared" si="3"/>
        <v>1588843.5714285716</v>
      </c>
      <c r="H15" s="40">
        <f t="shared" si="3"/>
        <v>1362539.857142857</v>
      </c>
      <c r="I15" s="40">
        <f t="shared" si="3"/>
        <v>1162161.1428571427</v>
      </c>
      <c r="J15" s="40">
        <f t="shared" si="3"/>
        <v>987195.71428571432</v>
      </c>
      <c r="K15" s="40">
        <f t="shared" si="3"/>
        <v>891943.14285714296</v>
      </c>
      <c r="L15" s="40">
        <f t="shared" si="3"/>
        <v>883356.42857142864</v>
      </c>
      <c r="M15" s="10"/>
      <c r="N15" s="2" t="s">
        <v>8</v>
      </c>
      <c r="O15" s="2"/>
      <c r="P15" s="53">
        <f t="shared" ref="P15:Q15" si="4">P12+P13+P14</f>
        <v>2412052</v>
      </c>
      <c r="Q15" s="53">
        <f t="shared" si="4"/>
        <v>1584046</v>
      </c>
      <c r="R15" s="53">
        <f t="shared" ref="R15:W15" si="5">R12+R13+R14</f>
        <v>1456114</v>
      </c>
      <c r="S15" s="53">
        <f t="shared" si="5"/>
        <v>1428455</v>
      </c>
      <c r="T15" s="53">
        <f t="shared" si="5"/>
        <v>1246702</v>
      </c>
      <c r="U15" s="53">
        <f t="shared" si="5"/>
        <v>921083</v>
      </c>
      <c r="V15" s="53">
        <f t="shared" si="5"/>
        <v>933714</v>
      </c>
      <c r="W15" s="53">
        <f t="shared" si="5"/>
        <v>947129</v>
      </c>
      <c r="X15" s="53">
        <f t="shared" ref="X15:AD15" si="6">X12+X13+X14</f>
        <v>812729</v>
      </c>
      <c r="Y15" s="53">
        <f t="shared" si="6"/>
        <v>593722</v>
      </c>
      <c r="Z15" s="53">
        <f t="shared" si="6"/>
        <v>607782</v>
      </c>
      <c r="AA15" s="53">
        <f t="shared" si="6"/>
        <v>605402</v>
      </c>
      <c r="AB15" s="53">
        <f t="shared" si="6"/>
        <v>693436</v>
      </c>
      <c r="AC15" s="53">
        <f t="shared" si="6"/>
        <v>644001</v>
      </c>
      <c r="AD15" s="53">
        <f t="shared" si="6"/>
        <v>616771</v>
      </c>
      <c r="AE15" s="10"/>
      <c r="AF15" s="10"/>
      <c r="AG15" s="2" t="s">
        <v>8</v>
      </c>
      <c r="AH15" s="2"/>
      <c r="AI15" s="53">
        <f t="shared" ref="AI15:AN15" si="7">AI12+AI13+AI14</f>
        <v>1259950</v>
      </c>
      <c r="AJ15" s="53">
        <f t="shared" si="7"/>
        <v>1030164</v>
      </c>
      <c r="AK15" s="53">
        <f t="shared" si="7"/>
        <v>953856</v>
      </c>
      <c r="AL15" s="53">
        <f t="shared" si="7"/>
        <v>834087</v>
      </c>
      <c r="AM15" s="53">
        <f t="shared" si="7"/>
        <v>772623</v>
      </c>
      <c r="AN15" s="53">
        <f t="shared" si="7"/>
        <v>864453</v>
      </c>
      <c r="AO15" s="53">
        <f t="shared" ref="AO15" si="8">AO12+AO13+AO14</f>
        <v>896400</v>
      </c>
      <c r="AP15" s="53">
        <f t="shared" ref="AP15:AW15" si="9">AP12+AP13+AP14</f>
        <v>929900</v>
      </c>
      <c r="AQ15" s="53">
        <f t="shared" si="9"/>
        <v>881950</v>
      </c>
      <c r="AR15" s="53">
        <f t="shared" si="9"/>
        <v>823300</v>
      </c>
      <c r="AS15" s="53">
        <f t="shared" si="9"/>
        <v>859135</v>
      </c>
      <c r="AT15" s="53">
        <f t="shared" si="9"/>
        <v>738700</v>
      </c>
      <c r="AU15" s="53">
        <f t="shared" si="9"/>
        <v>760000</v>
      </c>
      <c r="AV15" s="53">
        <f t="shared" si="9"/>
        <v>660100</v>
      </c>
      <c r="AW15" s="53">
        <f t="shared" si="9"/>
        <v>646600</v>
      </c>
      <c r="AX15" s="10"/>
      <c r="AZ15" s="2" t="s">
        <v>8</v>
      </c>
      <c r="BA15" s="2"/>
      <c r="BB15" s="53">
        <f t="shared" ref="BB15:BG15" si="10">BB12+BB13+BB14</f>
        <v>4531944</v>
      </c>
      <c r="BC15" s="53">
        <f t="shared" si="10"/>
        <v>3994367</v>
      </c>
      <c r="BD15" s="53">
        <f t="shared" si="10"/>
        <v>3644445</v>
      </c>
      <c r="BE15" s="53">
        <f t="shared" si="10"/>
        <v>3514790</v>
      </c>
      <c r="BF15" s="53">
        <f t="shared" si="10"/>
        <v>3268590</v>
      </c>
      <c r="BG15" s="53">
        <f t="shared" si="10"/>
        <v>2895442</v>
      </c>
      <c r="BH15" s="53">
        <f t="shared" ref="BH15" si="11">BH12+BH13+BH14</f>
        <v>2652681</v>
      </c>
      <c r="BI15" s="53">
        <f t="shared" ref="BI15:BP15" si="12">BI12+BI13+BI14</f>
        <v>2823655</v>
      </c>
      <c r="BJ15" s="53">
        <f t="shared" si="12"/>
        <v>2527365</v>
      </c>
      <c r="BK15" s="53">
        <f t="shared" si="12"/>
        <v>2414947</v>
      </c>
      <c r="BL15" s="53">
        <f t="shared" si="12"/>
        <v>2295782</v>
      </c>
      <c r="BM15" s="53">
        <f t="shared" si="12"/>
        <v>2242081</v>
      </c>
      <c r="BN15" s="53">
        <f t="shared" si="12"/>
        <v>2471119</v>
      </c>
      <c r="BO15" s="53">
        <f t="shared" si="12"/>
        <v>2280745</v>
      </c>
      <c r="BP15" s="53">
        <f t="shared" si="12"/>
        <v>2565964</v>
      </c>
      <c r="BQ15" s="10"/>
      <c r="BS15" s="2" t="s">
        <v>8</v>
      </c>
      <c r="BT15" s="2"/>
      <c r="BU15" s="53">
        <f t="shared" ref="BU15" si="13">BU12+BU13+BU14</f>
        <v>2000653</v>
      </c>
      <c r="BV15" s="53">
        <f t="shared" ref="BV15:BY15" si="14">BV12+BV13+BV14</f>
        <v>1802564</v>
      </c>
      <c r="BW15" s="53">
        <f t="shared" si="14"/>
        <v>1584983</v>
      </c>
      <c r="BX15" s="53">
        <f t="shared" si="14"/>
        <v>1550472</v>
      </c>
      <c r="BY15" s="53">
        <f t="shared" si="14"/>
        <v>1337453</v>
      </c>
      <c r="BZ15" s="53">
        <f t="shared" ref="BZ15:CG15" si="15">BZ12+BZ13+BZ14</f>
        <v>1204167</v>
      </c>
      <c r="CA15" s="53">
        <f t="shared" si="15"/>
        <v>0</v>
      </c>
      <c r="CB15" s="53">
        <f t="shared" si="15"/>
        <v>0</v>
      </c>
      <c r="CC15" s="53">
        <f t="shared" si="15"/>
        <v>0</v>
      </c>
      <c r="CD15" s="53">
        <f t="shared" si="15"/>
        <v>0</v>
      </c>
      <c r="CE15" s="53">
        <f t="shared" si="15"/>
        <v>0</v>
      </c>
      <c r="CF15" s="53">
        <f t="shared" si="15"/>
        <v>0</v>
      </c>
      <c r="CG15" s="53">
        <f t="shared" si="15"/>
        <v>0</v>
      </c>
      <c r="CJ15" s="2" t="s">
        <v>8</v>
      </c>
      <c r="CK15" s="2"/>
      <c r="CL15" s="53">
        <f t="shared" ref="CL15" si="16">CL12+CL13+CL14</f>
        <v>2879633</v>
      </c>
      <c r="CM15" s="53">
        <f t="shared" ref="CM15:CP15" si="17">CM12+CM13+CM14</f>
        <v>2674994</v>
      </c>
      <c r="CN15" s="53">
        <f t="shared" si="17"/>
        <v>2292318</v>
      </c>
      <c r="CO15" s="53">
        <f t="shared" ref="CO15:CR15" si="18">CO12+CO13+CO14</f>
        <v>2038422</v>
      </c>
      <c r="CP15" s="53">
        <f t="shared" si="17"/>
        <v>1600084</v>
      </c>
      <c r="CQ15" s="53">
        <f t="shared" si="18"/>
        <v>1588679</v>
      </c>
      <c r="CR15" s="53">
        <f t="shared" si="18"/>
        <v>1661784</v>
      </c>
      <c r="CS15" s="53">
        <f t="shared" ref="CS15:CZ15" si="19">CS12+CS13+CS14</f>
        <v>1392432</v>
      </c>
      <c r="CT15" s="53">
        <f t="shared" si="19"/>
        <v>1318510</v>
      </c>
      <c r="CU15" s="53">
        <f t="shared" si="19"/>
        <v>1253476</v>
      </c>
      <c r="CV15" s="53">
        <f t="shared" si="19"/>
        <v>1199761</v>
      </c>
      <c r="CW15" s="53">
        <f t="shared" si="19"/>
        <v>1270684</v>
      </c>
      <c r="CX15" s="53">
        <f t="shared" si="19"/>
        <v>1348307</v>
      </c>
      <c r="CY15" s="53">
        <f t="shared" si="19"/>
        <v>1413146</v>
      </c>
      <c r="CZ15" s="53">
        <f t="shared" si="19"/>
        <v>1413899</v>
      </c>
      <c r="DA15" s="10"/>
      <c r="DC15" s="2" t="s">
        <v>8</v>
      </c>
      <c r="DD15" s="2"/>
      <c r="DE15" s="53">
        <f t="shared" ref="DE15:DF15" si="20">DE12+DE13+DE14</f>
        <v>3132100</v>
      </c>
      <c r="DF15" s="53">
        <f t="shared" si="20"/>
        <v>2865800</v>
      </c>
      <c r="DG15" s="53">
        <f t="shared" ref="DG15:DI15" si="21">DG12+DG13+DG14</f>
        <v>2629200</v>
      </c>
      <c r="DH15" s="53">
        <f t="shared" ref="DH15:DK15" si="22">DH12+DH13+DH14</f>
        <v>2572300</v>
      </c>
      <c r="DI15" s="53">
        <f t="shared" si="21"/>
        <v>2482400</v>
      </c>
      <c r="DJ15" s="53">
        <f t="shared" si="22"/>
        <v>2189500</v>
      </c>
      <c r="DK15" s="53">
        <f t="shared" si="22"/>
        <v>2138100</v>
      </c>
      <c r="DL15" s="53">
        <f t="shared" ref="DL15:DS15" si="23">DL12+DL13+DL14</f>
        <v>986712</v>
      </c>
      <c r="DM15" s="53">
        <f t="shared" si="23"/>
        <v>404516</v>
      </c>
      <c r="DN15" s="53">
        <f t="shared" si="23"/>
        <v>410357</v>
      </c>
      <c r="DO15" s="53">
        <f t="shared" si="23"/>
        <v>518948</v>
      </c>
      <c r="DP15" s="53">
        <f t="shared" si="23"/>
        <v>519040</v>
      </c>
      <c r="DQ15" s="53">
        <f t="shared" si="23"/>
        <v>605241</v>
      </c>
      <c r="DR15" s="53">
        <f t="shared" si="23"/>
        <v>607082</v>
      </c>
      <c r="DS15" s="53">
        <f t="shared" si="23"/>
        <v>602900</v>
      </c>
      <c r="DT15" s="10"/>
      <c r="DV15" s="2" t="s">
        <v>8</v>
      </c>
      <c r="DW15" s="2"/>
      <c r="DX15" s="53">
        <f t="shared" ref="DX15" si="24">DX12+DX13+DX14</f>
        <v>3515601</v>
      </c>
      <c r="DY15" s="53">
        <f t="shared" ref="DY15:EB15" si="25">DY12+DY13+DY14</f>
        <v>3386695</v>
      </c>
      <c r="DZ15" s="53">
        <f t="shared" si="25"/>
        <v>3111272</v>
      </c>
      <c r="EA15" s="53">
        <f t="shared" ref="EA15:ED15" si="26">EA12+EA13+EA14</f>
        <v>1533208</v>
      </c>
      <c r="EB15" s="53">
        <f t="shared" si="25"/>
        <v>1336014</v>
      </c>
      <c r="EC15" s="53">
        <f t="shared" si="26"/>
        <v>1458581</v>
      </c>
      <c r="ED15" s="53">
        <f t="shared" si="26"/>
        <v>1255100</v>
      </c>
      <c r="EE15" s="53">
        <f t="shared" ref="EE15:EL15" si="27">EE12+EE13+EE14</f>
        <v>1055300</v>
      </c>
      <c r="EF15" s="53">
        <f t="shared" si="27"/>
        <v>965300</v>
      </c>
      <c r="EG15" s="53">
        <f t="shared" si="27"/>
        <v>747800</v>
      </c>
      <c r="EH15" s="53">
        <f t="shared" si="27"/>
        <v>702087</v>
      </c>
      <c r="EI15" s="53">
        <f t="shared" si="27"/>
        <v>544512</v>
      </c>
      <c r="EJ15" s="53">
        <f t="shared" si="27"/>
        <v>570446</v>
      </c>
      <c r="EK15" s="53">
        <f t="shared" si="27"/>
        <v>476292</v>
      </c>
      <c r="EL15" s="53">
        <f t="shared" si="27"/>
        <v>554991</v>
      </c>
      <c r="EM15" s="10"/>
      <c r="EO15" s="2" t="s">
        <v>8</v>
      </c>
      <c r="EP15" s="53">
        <f t="shared" ref="EP15:EU15" si="28">EP12+EP13+EP14</f>
        <v>188642.8</v>
      </c>
      <c r="EQ15" s="53">
        <f t="shared" si="28"/>
        <v>164234.5</v>
      </c>
      <c r="ER15" s="53">
        <f t="shared" si="28"/>
        <v>134749.79999999999</v>
      </c>
      <c r="ES15" s="53">
        <f t="shared" si="28"/>
        <v>142200.70000000001</v>
      </c>
      <c r="ET15" s="53">
        <f t="shared" si="28"/>
        <v>121389.2</v>
      </c>
      <c r="EU15" s="53">
        <f t="shared" si="28"/>
        <v>87585</v>
      </c>
      <c r="EX15" s="9"/>
      <c r="EY15" s="9"/>
      <c r="EZ15" s="9"/>
      <c r="FA15" s="9"/>
      <c r="FB15" s="9"/>
      <c r="FC15" s="9"/>
      <c r="FD15" s="9"/>
      <c r="FE15" s="36"/>
      <c r="FF15" s="1"/>
      <c r="FG15" s="1"/>
      <c r="FH15" s="1"/>
    </row>
    <row r="16" spans="1:164" x14ac:dyDescent="0.25">
      <c r="A16" s="11" t="s">
        <v>3</v>
      </c>
      <c r="B16" s="10">
        <f t="shared" ref="B16:L16" si="29">(P16+AI16+BB16+BU16+CL16+DE16+DX16)/7</f>
        <v>34571.428571428572</v>
      </c>
      <c r="C16" s="10">
        <f t="shared" si="29"/>
        <v>34571.428571428572</v>
      </c>
      <c r="D16" s="10">
        <f t="shared" si="29"/>
        <v>0</v>
      </c>
      <c r="E16" s="10">
        <f t="shared" si="29"/>
        <v>0</v>
      </c>
      <c r="F16" s="10">
        <f t="shared" si="29"/>
        <v>0</v>
      </c>
      <c r="G16" s="10">
        <f t="shared" si="29"/>
        <v>0</v>
      </c>
      <c r="H16" s="10">
        <f t="shared" si="29"/>
        <v>0</v>
      </c>
      <c r="I16" s="10">
        <f t="shared" si="29"/>
        <v>0</v>
      </c>
      <c r="J16" s="10">
        <f t="shared" si="29"/>
        <v>0</v>
      </c>
      <c r="K16" s="10">
        <f t="shared" si="29"/>
        <v>0</v>
      </c>
      <c r="L16" s="10">
        <f t="shared" si="29"/>
        <v>0</v>
      </c>
      <c r="M16" s="10"/>
      <c r="N16" s="11" t="s">
        <v>3</v>
      </c>
      <c r="P16" s="10"/>
      <c r="Q16" s="10">
        <v>0</v>
      </c>
      <c r="R16" s="10">
        <v>0</v>
      </c>
      <c r="S16" s="10">
        <v>0</v>
      </c>
      <c r="T16" s="10">
        <v>0</v>
      </c>
      <c r="U16" s="10">
        <v>0</v>
      </c>
      <c r="V16" s="10">
        <v>0</v>
      </c>
      <c r="W16" s="10">
        <v>0</v>
      </c>
      <c r="X16" s="10">
        <v>0</v>
      </c>
      <c r="Y16" s="10">
        <v>0</v>
      </c>
      <c r="Z16" s="10">
        <v>0</v>
      </c>
      <c r="AA16" s="10">
        <v>0</v>
      </c>
      <c r="AB16" s="10">
        <v>0</v>
      </c>
      <c r="AC16" s="10">
        <v>0</v>
      </c>
      <c r="AD16" s="10">
        <v>0</v>
      </c>
      <c r="AE16" s="10"/>
      <c r="AF16" s="10"/>
      <c r="AG16" s="11" t="s">
        <v>3</v>
      </c>
      <c r="AI16" s="10">
        <v>0</v>
      </c>
      <c r="AJ16" s="10">
        <v>0</v>
      </c>
      <c r="AK16" s="10">
        <v>0</v>
      </c>
      <c r="AL16" s="10">
        <v>0</v>
      </c>
      <c r="AM16" s="10">
        <v>0</v>
      </c>
      <c r="AN16" s="10">
        <v>0</v>
      </c>
      <c r="AO16" s="10">
        <v>0</v>
      </c>
      <c r="AP16" s="10">
        <v>0</v>
      </c>
      <c r="AQ16" s="10">
        <v>0</v>
      </c>
      <c r="AR16" s="10">
        <v>0</v>
      </c>
      <c r="AS16" s="10">
        <v>0</v>
      </c>
      <c r="AT16" s="10">
        <v>0</v>
      </c>
      <c r="AU16" s="10">
        <v>0</v>
      </c>
      <c r="AV16" s="10">
        <v>0</v>
      </c>
      <c r="AW16" s="10">
        <v>0</v>
      </c>
      <c r="AX16" s="10"/>
      <c r="AZ16" s="11" t="s">
        <v>3</v>
      </c>
      <c r="BB16" s="10">
        <v>0</v>
      </c>
      <c r="BC16" s="10">
        <v>0</v>
      </c>
      <c r="BD16" s="9">
        <v>0</v>
      </c>
      <c r="BE16" s="9">
        <v>0</v>
      </c>
      <c r="BF16" s="10">
        <v>0</v>
      </c>
      <c r="BG16" s="10"/>
      <c r="BH16" s="10">
        <v>0</v>
      </c>
      <c r="BI16" s="10">
        <v>0</v>
      </c>
      <c r="BJ16" s="10">
        <v>0</v>
      </c>
      <c r="BK16" s="9">
        <v>0</v>
      </c>
      <c r="BL16" s="10">
        <v>0</v>
      </c>
      <c r="BM16" s="10">
        <v>0</v>
      </c>
      <c r="BN16" s="10">
        <v>0</v>
      </c>
      <c r="BO16" s="10">
        <v>0</v>
      </c>
      <c r="BP16" s="10">
        <v>0</v>
      </c>
      <c r="BQ16" s="10"/>
      <c r="BS16" s="11" t="s">
        <v>3</v>
      </c>
      <c r="BU16" s="10">
        <v>0</v>
      </c>
      <c r="BV16" s="10">
        <v>0</v>
      </c>
      <c r="BW16" s="10">
        <v>0</v>
      </c>
      <c r="BX16" s="10">
        <v>0</v>
      </c>
      <c r="BY16" s="10">
        <v>0</v>
      </c>
      <c r="BZ16" s="10">
        <v>0</v>
      </c>
      <c r="CA16" s="10">
        <v>0</v>
      </c>
      <c r="CB16" s="10">
        <v>0</v>
      </c>
      <c r="CC16" s="10">
        <v>0</v>
      </c>
      <c r="CD16" s="10">
        <v>0</v>
      </c>
      <c r="CE16" s="10">
        <v>0</v>
      </c>
      <c r="CF16" s="10">
        <v>0</v>
      </c>
      <c r="CG16" s="10">
        <v>0</v>
      </c>
      <c r="CJ16" s="11" t="s">
        <v>3</v>
      </c>
      <c r="CL16" s="58">
        <v>0</v>
      </c>
      <c r="CM16" s="58">
        <v>0</v>
      </c>
      <c r="CN16" s="9">
        <v>0</v>
      </c>
      <c r="CO16" s="9">
        <v>0</v>
      </c>
      <c r="CP16" s="10">
        <v>0</v>
      </c>
      <c r="CQ16" s="10">
        <v>0</v>
      </c>
      <c r="CR16" s="10"/>
      <c r="CS16" s="10"/>
      <c r="CT16" s="10">
        <v>0</v>
      </c>
      <c r="CU16" s="10">
        <v>0</v>
      </c>
      <c r="CV16" s="10">
        <v>0</v>
      </c>
      <c r="CW16" s="10">
        <v>0</v>
      </c>
      <c r="CX16" s="10">
        <v>0</v>
      </c>
      <c r="CY16" s="10">
        <v>0</v>
      </c>
      <c r="CZ16" s="10">
        <v>0</v>
      </c>
      <c r="DA16" s="10"/>
      <c r="DC16" s="11" t="s">
        <v>3</v>
      </c>
      <c r="DE16" s="10">
        <v>242000</v>
      </c>
      <c r="DF16" s="10">
        <v>242000</v>
      </c>
      <c r="DG16" s="10">
        <v>0</v>
      </c>
      <c r="DH16" s="10">
        <v>0</v>
      </c>
      <c r="DI16" s="10">
        <v>0</v>
      </c>
      <c r="DJ16" s="10">
        <v>0</v>
      </c>
      <c r="DK16" s="10">
        <v>0</v>
      </c>
      <c r="DL16" s="10">
        <v>0</v>
      </c>
      <c r="DM16" s="10">
        <v>0</v>
      </c>
      <c r="DN16" s="10">
        <v>0</v>
      </c>
      <c r="DO16" s="10">
        <v>0</v>
      </c>
      <c r="DP16" s="10">
        <v>0</v>
      </c>
      <c r="DQ16" s="10">
        <v>467</v>
      </c>
      <c r="DR16" s="10">
        <v>627</v>
      </c>
      <c r="DS16" s="10">
        <v>787</v>
      </c>
      <c r="DT16" s="10"/>
      <c r="DV16" s="11" t="s">
        <v>3</v>
      </c>
      <c r="DX16" s="10">
        <v>0</v>
      </c>
      <c r="DY16" s="10">
        <v>0</v>
      </c>
      <c r="DZ16" s="9">
        <v>0</v>
      </c>
      <c r="EA16" s="9">
        <v>0</v>
      </c>
      <c r="EB16" s="10">
        <v>0</v>
      </c>
      <c r="EC16" s="10">
        <v>0</v>
      </c>
      <c r="ED16" s="10"/>
      <c r="EE16" s="10"/>
      <c r="EF16" s="10"/>
      <c r="EG16" s="10">
        <v>0</v>
      </c>
      <c r="EH16" s="10">
        <v>0</v>
      </c>
      <c r="EI16" s="10">
        <v>0</v>
      </c>
      <c r="EJ16" s="10">
        <v>0</v>
      </c>
      <c r="EK16" s="10">
        <v>0</v>
      </c>
      <c r="EL16" s="10">
        <v>0</v>
      </c>
      <c r="EM16" s="10"/>
      <c r="EN16" s="10"/>
      <c r="EO16" s="11" t="s">
        <v>3</v>
      </c>
      <c r="EP16" s="58">
        <v>0</v>
      </c>
      <c r="EQ16" s="58">
        <v>0</v>
      </c>
      <c r="ER16" s="10">
        <v>0</v>
      </c>
      <c r="ES16" s="10">
        <v>0</v>
      </c>
      <c r="ET16" s="10">
        <v>0</v>
      </c>
      <c r="EU16" s="10">
        <v>0</v>
      </c>
      <c r="EX16" s="9"/>
      <c r="EY16" s="9"/>
      <c r="EZ16" s="9"/>
      <c r="FA16" s="9"/>
      <c r="FB16" s="9"/>
      <c r="FC16" s="9"/>
      <c r="FD16" s="9"/>
      <c r="FE16" s="36"/>
      <c r="FF16" s="1"/>
      <c r="FG16" s="1"/>
      <c r="FH16" s="1"/>
    </row>
    <row r="17" spans="1:164" x14ac:dyDescent="0.25">
      <c r="A17" s="11" t="s">
        <v>4</v>
      </c>
      <c r="B17" s="10">
        <f t="shared" ref="B17:C19" si="30">(P17+AI17+BB17+BU17+CL17+DE17+DX17)/7</f>
        <v>1721892.857142857</v>
      </c>
      <c r="C17" s="10">
        <f t="shared" si="30"/>
        <v>1534159.5714285714</v>
      </c>
      <c r="D17" s="10">
        <f t="shared" ref="D17:L19" si="31">(R17+AK17+BD17+BW17+CN17+DG17+DZ17)/7</f>
        <v>1346735.7142857143</v>
      </c>
      <c r="E17" s="10">
        <f t="shared" si="31"/>
        <v>1180718.857142857</v>
      </c>
      <c r="F17" s="10">
        <f t="shared" si="31"/>
        <v>1128808.142857143</v>
      </c>
      <c r="G17" s="10">
        <f t="shared" si="31"/>
        <v>1045497.5714285715</v>
      </c>
      <c r="H17" s="10">
        <f t="shared" si="31"/>
        <v>1015052.4285714285</v>
      </c>
      <c r="I17" s="10">
        <f t="shared" si="31"/>
        <v>624285.42857142852</v>
      </c>
      <c r="J17" s="10">
        <f t="shared" si="31"/>
        <v>546050.42857142852</v>
      </c>
      <c r="K17" s="10">
        <f t="shared" si="31"/>
        <v>529443.14285714284</v>
      </c>
      <c r="L17" s="10">
        <f t="shared" si="31"/>
        <v>519829.85714285716</v>
      </c>
      <c r="M17" s="10"/>
      <c r="N17" s="11" t="s">
        <v>4</v>
      </c>
      <c r="P17" s="10">
        <f>240243+491982+8485</f>
        <v>740710</v>
      </c>
      <c r="Q17" s="10">
        <f>291331+226649-10436</f>
        <v>507544</v>
      </c>
      <c r="R17" s="10">
        <f>226196+274748-76473</f>
        <v>424471</v>
      </c>
      <c r="S17" s="10">
        <f>222258+219696-70039</f>
        <v>371915</v>
      </c>
      <c r="T17" s="10">
        <f>221654+215580-81044</f>
        <v>356190</v>
      </c>
      <c r="U17" s="10">
        <f>220838+209931-92164</f>
        <v>338605</v>
      </c>
      <c r="V17" s="10">
        <f>112777+305185-121031</f>
        <v>296931</v>
      </c>
      <c r="W17" s="10">
        <f>112563+300196-128638</f>
        <v>284121</v>
      </c>
      <c r="X17" s="10">
        <v>266971</v>
      </c>
      <c r="Y17" s="10">
        <f>110258+265524-117683</f>
        <v>258099</v>
      </c>
      <c r="Z17" s="10">
        <f>109713+251147-110385</f>
        <v>250475</v>
      </c>
      <c r="AA17" s="10">
        <f>109386+249219-84598</f>
        <v>274007</v>
      </c>
      <c r="AB17" s="10">
        <f>108599+237001-65564</f>
        <v>280036</v>
      </c>
      <c r="AC17" s="10">
        <f>108223+226571-69948</f>
        <v>264846</v>
      </c>
      <c r="AD17" s="10">
        <f>107612+218300-65039</f>
        <v>260873</v>
      </c>
      <c r="AE17" s="10"/>
      <c r="AF17" s="10"/>
      <c r="AG17" s="11" t="s">
        <v>4</v>
      </c>
      <c r="AI17" s="10">
        <v>565112</v>
      </c>
      <c r="AJ17" s="10">
        <v>558282</v>
      </c>
      <c r="AK17" s="10">
        <v>457640</v>
      </c>
      <c r="AL17" s="10">
        <v>448865</v>
      </c>
      <c r="AM17" s="10">
        <v>445187</v>
      </c>
      <c r="AN17" s="10">
        <v>383144</v>
      </c>
      <c r="AO17" s="10">
        <v>375117</v>
      </c>
      <c r="AP17" s="10">
        <v>364549</v>
      </c>
      <c r="AQ17" s="10">
        <v>356571</v>
      </c>
      <c r="AR17" s="10">
        <v>348383</v>
      </c>
      <c r="AS17" s="10">
        <v>342978</v>
      </c>
      <c r="AT17" s="10">
        <v>337361</v>
      </c>
      <c r="AU17" s="10">
        <v>336754</v>
      </c>
      <c r="AV17" s="10">
        <v>331595</v>
      </c>
      <c r="AW17" s="10">
        <v>371127</v>
      </c>
      <c r="AX17" s="10"/>
      <c r="AZ17" s="11" t="s">
        <v>4</v>
      </c>
      <c r="BB17" s="10">
        <f>629+4377149</f>
        <v>4377778</v>
      </c>
      <c r="BC17" s="10">
        <f>597+3712194</f>
        <v>3712791</v>
      </c>
      <c r="BD17" s="10">
        <f>556+2974926</f>
        <v>2975482</v>
      </c>
      <c r="BE17" s="10">
        <f>531+2536365</f>
        <v>2536896</v>
      </c>
      <c r="BF17" s="10">
        <f>520+2388027</f>
        <v>2388547</v>
      </c>
      <c r="BG17" s="10">
        <f>507+2230591</f>
        <v>2231098</v>
      </c>
      <c r="BH17" s="10">
        <f>502+2180151</f>
        <v>2180653</v>
      </c>
      <c r="BI17" s="10">
        <f>1765811+453</f>
        <v>1766264</v>
      </c>
      <c r="BJ17" s="10">
        <v>1745918</v>
      </c>
      <c r="BK17" s="10">
        <f>451+1732935</f>
        <v>1733386</v>
      </c>
      <c r="BL17" s="10">
        <f>1714364+451</f>
        <v>1714815</v>
      </c>
      <c r="BM17" s="10">
        <f>1791129+463</f>
        <v>1791592</v>
      </c>
      <c r="BN17" s="10">
        <f>1744384+454</f>
        <v>1744838</v>
      </c>
      <c r="BO17" s="10">
        <f>1700378+447</f>
        <v>1700825</v>
      </c>
      <c r="BP17" s="10">
        <f>1467240+409</f>
        <v>1467649</v>
      </c>
      <c r="BQ17" s="10"/>
      <c r="BS17" s="11" t="s">
        <v>4</v>
      </c>
      <c r="BU17" s="10">
        <f>532+1756921</f>
        <v>1757453</v>
      </c>
      <c r="BV17" s="10">
        <f>528+1733092</f>
        <v>1733620</v>
      </c>
      <c r="BW17" s="10">
        <f>526+1727492-2145</f>
        <v>1725873</v>
      </c>
      <c r="BX17" s="10">
        <f>526+1737551-18496</f>
        <v>1719581</v>
      </c>
      <c r="BY17" s="10">
        <f>526+1749574-18126</f>
        <v>1731974</v>
      </c>
      <c r="BZ17" s="10">
        <f>526+1764875-14491</f>
        <v>1750910</v>
      </c>
      <c r="CA17" s="10">
        <f>521+1758796</f>
        <v>1759317</v>
      </c>
      <c r="CB17" s="10">
        <v>0</v>
      </c>
      <c r="CC17" s="10">
        <v>0</v>
      </c>
      <c r="CD17" s="10">
        <v>0</v>
      </c>
      <c r="CE17" s="10">
        <v>0</v>
      </c>
      <c r="CF17" s="10">
        <v>0</v>
      </c>
      <c r="CG17" s="10">
        <v>0</v>
      </c>
      <c r="CJ17" s="11" t="s">
        <v>4</v>
      </c>
      <c r="CL17" s="10">
        <f>58823+1609155</f>
        <v>1667978</v>
      </c>
      <c r="CM17" s="10">
        <f>1466937+56637</f>
        <v>1523574</v>
      </c>
      <c r="CN17" s="10">
        <f>1305769+54656</f>
        <v>1360425</v>
      </c>
      <c r="CO17" s="10">
        <f>49720+955332</f>
        <v>1005052</v>
      </c>
      <c r="CP17" s="10">
        <f>49112+903123</f>
        <v>952235</v>
      </c>
      <c r="CQ17" s="10">
        <f>49007+896448</f>
        <v>945455</v>
      </c>
      <c r="CR17" s="10">
        <f>48153+851381-2257</f>
        <v>897277</v>
      </c>
      <c r="CS17" s="10">
        <f>47986+840521-2128</f>
        <v>886379</v>
      </c>
      <c r="CT17" s="10">
        <v>876555</v>
      </c>
      <c r="CU17" s="10">
        <f>47586+821640</f>
        <v>869226</v>
      </c>
      <c r="CV17" s="10">
        <f>47229+807885</f>
        <v>855114</v>
      </c>
      <c r="CW17" s="10">
        <f>46722+792339</f>
        <v>839061</v>
      </c>
      <c r="CX17" s="10">
        <f>45822+770463</f>
        <v>816285</v>
      </c>
      <c r="CY17" s="10">
        <f>44436+732319</f>
        <v>776755</v>
      </c>
      <c r="CZ17" s="10">
        <f>698258+43400</f>
        <v>741658</v>
      </c>
      <c r="DA17" s="10"/>
      <c r="DC17" s="11" t="s">
        <v>4</v>
      </c>
      <c r="DE17" s="10">
        <f>51600+1549200</f>
        <v>1600800</v>
      </c>
      <c r="DF17" s="10">
        <f>51000+1505800+3400</f>
        <v>1560200</v>
      </c>
      <c r="DG17" s="10">
        <f>50700+1482700</f>
        <v>1533400</v>
      </c>
      <c r="DH17" s="10">
        <f>48300+1325600</f>
        <v>1373900</v>
      </c>
      <c r="DI17" s="10">
        <f>45600+1175900</f>
        <v>1221500</v>
      </c>
      <c r="DJ17" s="10">
        <f>43300+1038100</f>
        <v>1081400</v>
      </c>
      <c r="DK17" s="10">
        <f>43200+1029400</f>
        <v>1072600</v>
      </c>
      <c r="DL17" s="10">
        <f>32697+594269</f>
        <v>626966</v>
      </c>
      <c r="DM17" s="10">
        <v>191146</v>
      </c>
      <c r="DN17" s="10">
        <f>22431+163702</f>
        <v>186133</v>
      </c>
      <c r="DO17" s="10">
        <v>180991</v>
      </c>
      <c r="DP17" s="10">
        <v>176386</v>
      </c>
      <c r="DQ17" s="10">
        <v>169234</v>
      </c>
      <c r="DR17" s="10">
        <v>157707</v>
      </c>
      <c r="DS17" s="10">
        <v>148487</v>
      </c>
      <c r="DT17" s="10"/>
      <c r="DV17" s="11" t="s">
        <v>4</v>
      </c>
      <c r="DX17" s="10">
        <f>125740+1218000-321</f>
        <v>1343419</v>
      </c>
      <c r="DY17" s="10">
        <f>115493+1027902-289</f>
        <v>1143106</v>
      </c>
      <c r="DZ17" s="10">
        <f>106883+843268-292</f>
        <v>949859</v>
      </c>
      <c r="EA17" s="10">
        <f>99436+709658-271</f>
        <v>808823</v>
      </c>
      <c r="EB17" s="10">
        <f>99347+706943-266</f>
        <v>806024</v>
      </c>
      <c r="EC17" s="10">
        <f>88707+499460-296</f>
        <v>587871</v>
      </c>
      <c r="ED17" s="10">
        <f>42709+480928-165</f>
        <v>523472</v>
      </c>
      <c r="EE17" s="10">
        <f>40894+401011-186</f>
        <v>441719</v>
      </c>
      <c r="EF17" s="10">
        <v>385192</v>
      </c>
      <c r="EG17" s="10">
        <f>37765+273303-193</f>
        <v>310875</v>
      </c>
      <c r="EH17" s="10">
        <f>37341+257274-179</f>
        <v>294436</v>
      </c>
      <c r="EI17" s="10">
        <f>37245+254503-183</f>
        <v>291565</v>
      </c>
      <c r="EJ17" s="10">
        <f>37161+252495-176</f>
        <v>289480</v>
      </c>
      <c r="EK17" s="10">
        <f>37010+248449-187</f>
        <v>285272</v>
      </c>
      <c r="EL17" s="10">
        <f>36657+239763</f>
        <v>276420</v>
      </c>
      <c r="EM17" s="10"/>
      <c r="EN17" s="10"/>
      <c r="EO17" s="11" t="s">
        <v>4</v>
      </c>
      <c r="EP17" s="10">
        <f>23806.2+15018.5</f>
        <v>38824.699999999997</v>
      </c>
      <c r="EQ17" s="10">
        <f>23806.2+9018.524</f>
        <v>32824.724000000002</v>
      </c>
      <c r="ER17" s="10">
        <f>23806.2+9018.524</f>
        <v>32824.724000000002</v>
      </c>
      <c r="ES17" s="10">
        <f>23806.2+6518.524</f>
        <v>30324.724000000002</v>
      </c>
      <c r="ET17" s="10">
        <f>23806.2+6518.524</f>
        <v>30324.724000000002</v>
      </c>
      <c r="EU17" s="10">
        <f>23806.2+6518.524</f>
        <v>30324.724000000002</v>
      </c>
      <c r="EX17" s="9"/>
      <c r="EY17" s="9"/>
      <c r="EZ17" s="9"/>
      <c r="FA17" s="9"/>
      <c r="FB17" s="9"/>
      <c r="FC17" s="9"/>
      <c r="FD17" s="9"/>
      <c r="FE17" s="36"/>
      <c r="FF17" s="1"/>
      <c r="FG17" s="1"/>
      <c r="FH17" s="1"/>
    </row>
    <row r="18" spans="1:164" x14ac:dyDescent="0.25">
      <c r="A18" s="11" t="s">
        <v>5</v>
      </c>
      <c r="B18" s="10">
        <f>(P18+AI18+BB18+BU18+CL18+DE18+DX18)/7</f>
        <v>940546.42857142852</v>
      </c>
      <c r="C18" s="10">
        <f t="shared" si="30"/>
        <v>868106.14285714284</v>
      </c>
      <c r="D18" s="10">
        <f t="shared" si="31"/>
        <v>788775.28571428568</v>
      </c>
      <c r="E18" s="10">
        <f t="shared" si="31"/>
        <v>682203.85714285716</v>
      </c>
      <c r="F18" s="10">
        <f t="shared" si="31"/>
        <v>640304.57142857148</v>
      </c>
      <c r="G18" s="10">
        <f t="shared" si="31"/>
        <v>574056.85714285716</v>
      </c>
      <c r="H18" s="10">
        <f t="shared" si="31"/>
        <v>507265.28571428574</v>
      </c>
      <c r="I18" s="10">
        <f t="shared" si="31"/>
        <v>452527.14285714284</v>
      </c>
      <c r="J18" s="10">
        <f t="shared" si="31"/>
        <v>412203.85714285716</v>
      </c>
      <c r="K18" s="10">
        <f t="shared" si="31"/>
        <v>372894.57142857142</v>
      </c>
      <c r="L18" s="10">
        <f t="shared" si="31"/>
        <v>333282</v>
      </c>
      <c r="M18" s="10"/>
      <c r="N18" s="11" t="s">
        <v>5</v>
      </c>
      <c r="P18" s="10">
        <v>1148297</v>
      </c>
      <c r="Q18" s="10">
        <v>1075960</v>
      </c>
      <c r="R18" s="10">
        <v>1007117</v>
      </c>
      <c r="S18" s="10">
        <v>867984</v>
      </c>
      <c r="T18" s="10">
        <v>825556</v>
      </c>
      <c r="U18" s="10">
        <v>777745</v>
      </c>
      <c r="V18" s="10">
        <v>674829</v>
      </c>
      <c r="W18" s="10">
        <v>604884</v>
      </c>
      <c r="X18" s="10">
        <v>557665</v>
      </c>
      <c r="Y18" s="10">
        <v>528762</v>
      </c>
      <c r="Z18" s="10">
        <v>487015</v>
      </c>
      <c r="AA18" s="10">
        <v>425771</v>
      </c>
      <c r="AB18" s="10">
        <v>450746</v>
      </c>
      <c r="AC18" s="10">
        <v>386734</v>
      </c>
      <c r="AD18" s="10">
        <v>358047</v>
      </c>
      <c r="AE18" s="10"/>
      <c r="AF18" s="10"/>
      <c r="AG18" s="11" t="s">
        <v>5</v>
      </c>
      <c r="AI18" s="10">
        <v>336523</v>
      </c>
      <c r="AJ18" s="10">
        <v>318450</v>
      </c>
      <c r="AK18" s="10">
        <v>312182</v>
      </c>
      <c r="AL18" s="10">
        <v>302349</v>
      </c>
      <c r="AM18" s="10">
        <v>412261</v>
      </c>
      <c r="AN18" s="10">
        <v>404990</v>
      </c>
      <c r="AO18" s="10">
        <v>402280</v>
      </c>
      <c r="AP18" s="10">
        <v>393681</v>
      </c>
      <c r="AQ18" s="10">
        <v>385753</v>
      </c>
      <c r="AR18" s="10">
        <v>373905</v>
      </c>
      <c r="AS18" s="10">
        <v>356727</v>
      </c>
      <c r="AT18" s="10">
        <v>328712</v>
      </c>
      <c r="AU18" s="10">
        <v>296005</v>
      </c>
      <c r="AV18" s="10">
        <v>266658</v>
      </c>
      <c r="AW18" s="10">
        <v>230774</v>
      </c>
      <c r="AX18" s="10"/>
      <c r="AZ18" s="11" t="s">
        <v>5</v>
      </c>
      <c r="BB18" s="10">
        <v>2471014</v>
      </c>
      <c r="BC18" s="10">
        <v>2152015</v>
      </c>
      <c r="BD18" s="9">
        <v>1878116</v>
      </c>
      <c r="BE18" s="9">
        <v>1467024</v>
      </c>
      <c r="BF18" s="10">
        <v>1262534</v>
      </c>
      <c r="BG18" s="10">
        <v>1073029</v>
      </c>
      <c r="BH18" s="10">
        <v>917972</v>
      </c>
      <c r="BI18" s="10">
        <v>775267</v>
      </c>
      <c r="BJ18" s="10">
        <v>660932</v>
      </c>
      <c r="BK18" s="10">
        <v>570495</v>
      </c>
      <c r="BL18" s="10">
        <v>486905</v>
      </c>
      <c r="BM18" s="10">
        <v>405353</v>
      </c>
      <c r="BN18" s="10">
        <v>343601</v>
      </c>
      <c r="BO18" s="10">
        <v>281127</v>
      </c>
      <c r="BP18" s="10">
        <v>224299</v>
      </c>
      <c r="BQ18" s="10"/>
      <c r="BS18" s="11" t="s">
        <v>5</v>
      </c>
      <c r="BU18" s="10">
        <v>483635</v>
      </c>
      <c r="BV18" s="10">
        <v>402509</v>
      </c>
      <c r="BW18" s="10">
        <v>320869</v>
      </c>
      <c r="BX18" s="10">
        <v>246121</v>
      </c>
      <c r="BY18" s="10">
        <v>161021</v>
      </c>
      <c r="BZ18" s="10">
        <v>95046</v>
      </c>
      <c r="CA18" s="10">
        <v>39894</v>
      </c>
      <c r="CB18" s="10">
        <v>0</v>
      </c>
      <c r="CC18" s="10">
        <v>0</v>
      </c>
      <c r="CD18" s="10">
        <v>0</v>
      </c>
      <c r="CE18" s="10">
        <v>0</v>
      </c>
      <c r="CF18" s="10">
        <v>0</v>
      </c>
      <c r="CG18" s="10">
        <v>0</v>
      </c>
      <c r="CJ18" s="11" t="s">
        <v>5</v>
      </c>
      <c r="CL18" s="10">
        <v>1067978</v>
      </c>
      <c r="CM18" s="10">
        <v>1039072</v>
      </c>
      <c r="CN18" s="9">
        <v>944285</v>
      </c>
      <c r="CO18" s="9">
        <v>857398</v>
      </c>
      <c r="CP18" s="10">
        <v>759263</v>
      </c>
      <c r="CQ18" s="10">
        <v>699221</v>
      </c>
      <c r="CR18" s="10">
        <v>639164</v>
      </c>
      <c r="CS18" s="10">
        <v>567714</v>
      </c>
      <c r="CT18" s="10">
        <v>484369</v>
      </c>
      <c r="CU18" s="10">
        <v>406125</v>
      </c>
      <c r="CV18" s="10">
        <v>343131</v>
      </c>
      <c r="CW18" s="10">
        <v>285316</v>
      </c>
      <c r="CX18" s="10">
        <v>240982</v>
      </c>
      <c r="CY18" s="10">
        <v>219768</v>
      </c>
      <c r="CZ18" s="10">
        <v>173433</v>
      </c>
      <c r="DA18" s="10"/>
      <c r="DC18" s="11" t="s">
        <v>5</v>
      </c>
      <c r="DE18" s="10">
        <v>720700</v>
      </c>
      <c r="DF18" s="10">
        <v>775500</v>
      </c>
      <c r="DG18" s="10">
        <v>715600</v>
      </c>
      <c r="DH18" s="10">
        <v>614200</v>
      </c>
      <c r="DI18" s="10">
        <v>550900</v>
      </c>
      <c r="DJ18" s="10">
        <v>494200</v>
      </c>
      <c r="DK18" s="10">
        <v>437500</v>
      </c>
      <c r="DL18" s="10">
        <v>420103</v>
      </c>
      <c r="DM18" s="10">
        <v>414581</v>
      </c>
      <c r="DN18" s="10">
        <v>389298</v>
      </c>
      <c r="DO18" s="10">
        <v>361723</v>
      </c>
      <c r="DP18" s="10">
        <v>342810</v>
      </c>
      <c r="DQ18" s="10">
        <v>312808</v>
      </c>
      <c r="DR18" s="10">
        <v>268761</v>
      </c>
      <c r="DS18" s="10">
        <v>250495</v>
      </c>
      <c r="DT18" s="10"/>
      <c r="DV18" s="11" t="s">
        <v>5</v>
      </c>
      <c r="DX18" s="10">
        <v>355678</v>
      </c>
      <c r="DY18" s="10">
        <v>313237</v>
      </c>
      <c r="DZ18" s="9">
        <v>343258</v>
      </c>
      <c r="EA18" s="9">
        <v>420351</v>
      </c>
      <c r="EB18" s="10">
        <v>510597</v>
      </c>
      <c r="EC18" s="10">
        <v>474167</v>
      </c>
      <c r="ED18" s="10">
        <v>439218</v>
      </c>
      <c r="EE18" s="10">
        <v>406041</v>
      </c>
      <c r="EF18" s="10">
        <v>382127</v>
      </c>
      <c r="EG18" s="10">
        <v>341677</v>
      </c>
      <c r="EH18" s="10">
        <v>297473</v>
      </c>
      <c r="EI18" s="10">
        <v>271505</v>
      </c>
      <c r="EJ18" s="10">
        <v>249973</v>
      </c>
      <c r="EK18" s="10">
        <v>206123</v>
      </c>
      <c r="EL18" s="10">
        <v>174407</v>
      </c>
      <c r="EM18" s="10"/>
      <c r="EN18" s="10"/>
      <c r="EO18" s="11" t="s">
        <v>5</v>
      </c>
      <c r="EP18" s="10">
        <v>147438.22500000001</v>
      </c>
      <c r="EQ18" s="10">
        <v>135860.20199999999</v>
      </c>
      <c r="ER18" s="10">
        <v>120508.202</v>
      </c>
      <c r="ES18" s="10">
        <v>102661.094</v>
      </c>
      <c r="ET18" s="10">
        <v>89979.850999999995</v>
      </c>
      <c r="EU18" s="10">
        <v>84098.592999999993</v>
      </c>
      <c r="EX18" s="9"/>
      <c r="EY18" s="9"/>
      <c r="EZ18" s="9"/>
      <c r="FA18" s="9"/>
      <c r="FB18" s="9"/>
      <c r="FC18" s="9"/>
      <c r="FD18" s="9"/>
      <c r="FE18" s="36"/>
      <c r="FF18" s="1"/>
      <c r="FG18" s="1"/>
      <c r="FH18" s="1"/>
    </row>
    <row r="19" spans="1:164" x14ac:dyDescent="0.25">
      <c r="A19" s="11" t="s">
        <v>45</v>
      </c>
      <c r="B19" s="10">
        <f t="shared" si="30"/>
        <v>-37571.714285714283</v>
      </c>
      <c r="C19" s="10">
        <f t="shared" si="30"/>
        <v>-40633.142857142855</v>
      </c>
      <c r="D19" s="10">
        <f t="shared" si="31"/>
        <v>-25699.142857142859</v>
      </c>
      <c r="E19" s="10">
        <f t="shared" si="31"/>
        <v>-29098.285714285714</v>
      </c>
      <c r="F19" s="10">
        <f t="shared" si="31"/>
        <v>-42061.714285714283</v>
      </c>
      <c r="G19" s="10">
        <f t="shared" si="31"/>
        <v>-29579.142857142859</v>
      </c>
      <c r="H19" s="10">
        <f t="shared" si="31"/>
        <v>-16481.428571428572</v>
      </c>
      <c r="I19" s="10">
        <f t="shared" si="31"/>
        <v>-4620.8571428571431</v>
      </c>
      <c r="J19" s="10">
        <f t="shared" si="31"/>
        <v>-22188</v>
      </c>
      <c r="K19" s="10">
        <f t="shared" si="31"/>
        <v>-21103.142857142859</v>
      </c>
      <c r="L19" s="10">
        <f t="shared" si="31"/>
        <v>-14597.285714285714</v>
      </c>
      <c r="M19" s="10"/>
      <c r="N19" s="11" t="s">
        <v>45</v>
      </c>
      <c r="P19" s="10">
        <v>-44315</v>
      </c>
      <c r="Q19" s="10">
        <v>-31787</v>
      </c>
      <c r="R19" s="10">
        <v>-12610</v>
      </c>
      <c r="S19" s="10">
        <v>-3256</v>
      </c>
      <c r="T19" s="10">
        <v>-15155</v>
      </c>
      <c r="U19" s="10">
        <v>-9394</v>
      </c>
      <c r="V19" s="10">
        <v>-5594</v>
      </c>
      <c r="W19" s="10">
        <v>-1621</v>
      </c>
      <c r="X19" s="10">
        <v>-10771</v>
      </c>
      <c r="Y19" s="10">
        <v>-10604</v>
      </c>
      <c r="Z19" s="10">
        <v>-12007</v>
      </c>
      <c r="AA19" s="10">
        <v>-10052</v>
      </c>
      <c r="AB19" s="10">
        <v>-2714</v>
      </c>
      <c r="AC19" s="10">
        <v>-931</v>
      </c>
      <c r="AD19" s="10">
        <v>2742</v>
      </c>
      <c r="AE19" s="10"/>
      <c r="AF19" s="10"/>
      <c r="AG19" s="11" t="s">
        <v>45</v>
      </c>
      <c r="AI19" s="10">
        <v>-12902</v>
      </c>
      <c r="AJ19" s="10">
        <v>-10733</v>
      </c>
      <c r="AK19" s="10">
        <v>-7188</v>
      </c>
      <c r="AL19" s="10">
        <v>-8438</v>
      </c>
      <c r="AM19" s="10">
        <v>-6951</v>
      </c>
      <c r="AN19" s="10">
        <v>-7162</v>
      </c>
      <c r="AO19" s="10">
        <v>-10076</v>
      </c>
      <c r="AP19" s="10">
        <v>-6358</v>
      </c>
      <c r="AQ19" s="10">
        <v>-9291</v>
      </c>
      <c r="AR19" s="10">
        <v>-7800</v>
      </c>
      <c r="AS19" s="10">
        <v>-6604</v>
      </c>
      <c r="AT19" s="10">
        <v>-5968</v>
      </c>
      <c r="AU19" s="10">
        <v>-4386</v>
      </c>
      <c r="AV19" s="10">
        <f>-3502</f>
        <v>-3502</v>
      </c>
      <c r="AW19" s="10">
        <v>-2356</v>
      </c>
      <c r="AX19" s="10"/>
      <c r="AZ19" s="11" t="s">
        <v>45</v>
      </c>
      <c r="BB19" s="10">
        <v>-57589</v>
      </c>
      <c r="BC19" s="10">
        <v>-114583</v>
      </c>
      <c r="BD19" s="10">
        <v>-83647</v>
      </c>
      <c r="BE19" s="10">
        <v>-105254</v>
      </c>
      <c r="BF19" s="10">
        <v>-188022</v>
      </c>
      <c r="BG19" s="10">
        <v>-109330</v>
      </c>
      <c r="BH19" s="10">
        <v>-12393</v>
      </c>
      <c r="BI19" s="10">
        <v>38878</v>
      </c>
      <c r="BJ19" s="10">
        <v>-47607</v>
      </c>
      <c r="BK19" s="10">
        <v>-48460</v>
      </c>
      <c r="BL19" s="10">
        <v>-23372</v>
      </c>
      <c r="BM19" s="10">
        <v>-20184</v>
      </c>
      <c r="BN19" s="10">
        <v>-35947</v>
      </c>
      <c r="BO19" s="10">
        <v>-16198</v>
      </c>
      <c r="BP19" s="10">
        <v>-43850</v>
      </c>
      <c r="BQ19" s="10"/>
      <c r="BS19" s="11" t="s">
        <v>45</v>
      </c>
      <c r="BU19" s="10">
        <v>-7777</v>
      </c>
      <c r="BV19" s="10">
        <v>-6739</v>
      </c>
      <c r="BW19" s="10">
        <v>-4086</v>
      </c>
      <c r="BX19" s="10">
        <v>-5493</v>
      </c>
      <c r="BY19" s="10">
        <v>-4715</v>
      </c>
      <c r="BZ19" s="10">
        <v>-4401</v>
      </c>
      <c r="CA19" s="10">
        <v>-5174</v>
      </c>
      <c r="CB19" s="10">
        <v>0</v>
      </c>
      <c r="CC19" s="10">
        <v>0</v>
      </c>
      <c r="CD19" s="10">
        <v>0</v>
      </c>
      <c r="CE19" s="10">
        <v>0</v>
      </c>
      <c r="CF19" s="10">
        <v>0</v>
      </c>
      <c r="CG19" s="10">
        <v>0</v>
      </c>
      <c r="CJ19" s="11" t="s">
        <v>45</v>
      </c>
      <c r="CL19" s="10">
        <v>-61003</v>
      </c>
      <c r="CM19" s="10">
        <v>-56732</v>
      </c>
      <c r="CN19" s="9">
        <v>-52668</v>
      </c>
      <c r="CO19" s="9">
        <v>-47682</v>
      </c>
      <c r="CP19" s="10">
        <v>-48008</v>
      </c>
      <c r="CQ19" s="10">
        <v>-50268</v>
      </c>
      <c r="CR19" s="10">
        <v>-50175</v>
      </c>
      <c r="CS19" s="10">
        <v>-41698</v>
      </c>
      <c r="CT19" s="10">
        <v>-52426</v>
      </c>
      <c r="CU19" s="10">
        <f>-49331-989</f>
        <v>-50320</v>
      </c>
      <c r="CV19" s="10">
        <f>-30784-465</f>
        <v>-31249</v>
      </c>
      <c r="CW19" s="10">
        <f>-22250-41</f>
        <v>-22291</v>
      </c>
      <c r="CX19" s="10">
        <v>-19426</v>
      </c>
      <c r="CY19" s="10">
        <v>-12850</v>
      </c>
      <c r="CZ19" s="10">
        <v>-13666</v>
      </c>
      <c r="DA19" s="10"/>
      <c r="DC19" s="11" t="s">
        <v>45</v>
      </c>
      <c r="DE19" s="10">
        <v>-41200</v>
      </c>
      <c r="DF19" s="10">
        <v>-31300</v>
      </c>
      <c r="DG19" s="10">
        <v>6400</v>
      </c>
      <c r="DH19" s="10">
        <v>3200</v>
      </c>
      <c r="DI19" s="10">
        <v>-4200</v>
      </c>
      <c r="DJ19" s="10">
        <v>-2000</v>
      </c>
      <c r="DK19" s="10">
        <v>-1700</v>
      </c>
      <c r="DL19" s="10">
        <v>-787</v>
      </c>
      <c r="DM19" s="10">
        <v>-4116</v>
      </c>
      <c r="DN19" s="10">
        <v>-2100</v>
      </c>
      <c r="DO19" s="10">
        <v>-7137</v>
      </c>
      <c r="DP19" s="10">
        <v>-2166</v>
      </c>
      <c r="DQ19" s="10">
        <v>4437</v>
      </c>
      <c r="DR19" s="10">
        <v>1857</v>
      </c>
      <c r="DS19" s="10">
        <v>3655</v>
      </c>
      <c r="DT19" s="10"/>
      <c r="DV19" s="11" t="s">
        <v>45</v>
      </c>
      <c r="DX19" s="10">
        <v>-38216</v>
      </c>
      <c r="DY19" s="10">
        <v>-32558</v>
      </c>
      <c r="DZ19" s="10">
        <v>-26095</v>
      </c>
      <c r="EA19" s="10">
        <v>-36765</v>
      </c>
      <c r="EB19" s="10">
        <v>-27381</v>
      </c>
      <c r="EC19" s="10">
        <v>-24499</v>
      </c>
      <c r="ED19" s="10">
        <v>-30258</v>
      </c>
      <c r="EE19" s="10">
        <v>-20760</v>
      </c>
      <c r="EF19" s="10">
        <v>-31105</v>
      </c>
      <c r="EG19" s="10">
        <v>-28438</v>
      </c>
      <c r="EH19" s="10">
        <v>-21812</v>
      </c>
      <c r="EI19" s="10">
        <f>-19469+963</f>
        <v>-18506</v>
      </c>
      <c r="EJ19" s="10">
        <v>-24199</v>
      </c>
      <c r="EK19" s="10">
        <v>-10315</v>
      </c>
      <c r="EL19" s="10">
        <v>-7791</v>
      </c>
      <c r="EM19" s="10"/>
      <c r="EN19" s="10"/>
      <c r="EO19" s="11" t="s">
        <v>45</v>
      </c>
      <c r="EP19" s="58">
        <v>0</v>
      </c>
      <c r="EQ19" s="58">
        <v>0</v>
      </c>
      <c r="ER19" s="10">
        <v>0</v>
      </c>
      <c r="ES19" s="10">
        <v>0</v>
      </c>
      <c r="ET19" s="10">
        <v>0</v>
      </c>
      <c r="EU19" s="10">
        <v>0</v>
      </c>
      <c r="EX19" s="9"/>
      <c r="EY19" s="9"/>
      <c r="EZ19" s="9"/>
      <c r="FA19" s="9"/>
      <c r="FB19" s="9"/>
      <c r="FC19" s="9"/>
      <c r="FD19" s="9"/>
      <c r="FE19" s="36"/>
      <c r="FF19" s="1"/>
      <c r="FG19" s="1"/>
      <c r="FH19" s="1"/>
    </row>
    <row r="20" spans="1:164" x14ac:dyDescent="0.25">
      <c r="A20" s="2" t="s">
        <v>6</v>
      </c>
      <c r="B20" s="53">
        <f>B16+B17+B18+B19</f>
        <v>2659439</v>
      </c>
      <c r="C20" s="53">
        <f t="shared" ref="C20" si="32">C16+C17+C18+C19</f>
        <v>2396204</v>
      </c>
      <c r="D20" s="53">
        <f t="shared" ref="D20:L20" si="33">D16+D17+D18+D19</f>
        <v>2109811.8571428573</v>
      </c>
      <c r="E20" s="53">
        <f t="shared" si="33"/>
        <v>1833824.4285714284</v>
      </c>
      <c r="F20" s="53">
        <f t="shared" si="33"/>
        <v>1727051.0000000002</v>
      </c>
      <c r="G20" s="53">
        <f t="shared" si="33"/>
        <v>1589975.2857142857</v>
      </c>
      <c r="H20" s="53">
        <f t="shared" si="33"/>
        <v>1505836.2857142857</v>
      </c>
      <c r="I20" s="53">
        <f t="shared" si="33"/>
        <v>1072191.7142857143</v>
      </c>
      <c r="J20" s="53">
        <f t="shared" si="33"/>
        <v>936066.28571428568</v>
      </c>
      <c r="K20" s="53">
        <f t="shared" si="33"/>
        <v>881234.57142857148</v>
      </c>
      <c r="L20" s="53">
        <f t="shared" si="33"/>
        <v>838514.57142857148</v>
      </c>
      <c r="M20" s="10"/>
      <c r="N20" s="2" t="s">
        <v>6</v>
      </c>
      <c r="O20" s="2"/>
      <c r="P20" s="53">
        <f>P16+P17+P18+P19</f>
        <v>1844692</v>
      </c>
      <c r="Q20" s="53">
        <f>Q16+Q17+Q18+Q19</f>
        <v>1551717</v>
      </c>
      <c r="R20" s="53">
        <f t="shared" ref="R20:T20" si="34">R16+R17+R18+R19</f>
        <v>1418978</v>
      </c>
      <c r="S20" s="53">
        <f t="shared" si="34"/>
        <v>1236643</v>
      </c>
      <c r="T20" s="53">
        <f t="shared" si="34"/>
        <v>1166591</v>
      </c>
      <c r="U20" s="53">
        <f t="shared" ref="U20:W20" si="35">U16+U17+U18+U19</f>
        <v>1106956</v>
      </c>
      <c r="V20" s="53">
        <f t="shared" si="35"/>
        <v>966166</v>
      </c>
      <c r="W20" s="53">
        <f t="shared" si="35"/>
        <v>887384</v>
      </c>
      <c r="X20" s="53">
        <f t="shared" ref="X20" si="36">X16+X17+X18+X19</f>
        <v>813865</v>
      </c>
      <c r="Y20" s="53">
        <f t="shared" ref="Y20:AD20" si="37">Y16+Y17+Y18+Y19</f>
        <v>776257</v>
      </c>
      <c r="Z20" s="53">
        <f t="shared" si="37"/>
        <v>725483</v>
      </c>
      <c r="AA20" s="53">
        <f t="shared" si="37"/>
        <v>689726</v>
      </c>
      <c r="AB20" s="53">
        <f t="shared" si="37"/>
        <v>728068</v>
      </c>
      <c r="AC20" s="53">
        <f t="shared" si="37"/>
        <v>650649</v>
      </c>
      <c r="AD20" s="53">
        <f t="shared" si="37"/>
        <v>621662</v>
      </c>
      <c r="AE20" s="10"/>
      <c r="AF20" s="10"/>
      <c r="AG20" s="2" t="s">
        <v>6</v>
      </c>
      <c r="AH20" s="2"/>
      <c r="AI20" s="53">
        <f t="shared" ref="AI20:AJ20" si="38">AI16+AI17+AI18+AI19</f>
        <v>888733</v>
      </c>
      <c r="AJ20" s="53">
        <f t="shared" si="38"/>
        <v>865999</v>
      </c>
      <c r="AK20" s="53">
        <f t="shared" ref="AK20:AL20" si="39">AK16+AK17+AK18+AK19</f>
        <v>762634</v>
      </c>
      <c r="AL20" s="53">
        <f t="shared" si="39"/>
        <v>742776</v>
      </c>
      <c r="AM20" s="53">
        <f t="shared" ref="AM20:AN20" si="40">AM16+AM17+AM18+AM19</f>
        <v>850497</v>
      </c>
      <c r="AN20" s="53">
        <f t="shared" si="40"/>
        <v>780972</v>
      </c>
      <c r="AO20" s="53">
        <f t="shared" ref="AO20" si="41">AO16+AO17+AO18+AO19</f>
        <v>767321</v>
      </c>
      <c r="AP20" s="53">
        <f t="shared" ref="AP20" si="42">AP16+AP17+AP18+AP19</f>
        <v>751872</v>
      </c>
      <c r="AQ20" s="53">
        <f t="shared" ref="AQ20" si="43">AQ16+AQ17+AQ18+AQ19</f>
        <v>733033</v>
      </c>
      <c r="AR20" s="53">
        <f t="shared" ref="AR20:AW20" si="44">AR16+AR17+AR18+AR19</f>
        <v>714488</v>
      </c>
      <c r="AS20" s="53">
        <f t="shared" si="44"/>
        <v>693101</v>
      </c>
      <c r="AT20" s="53">
        <f t="shared" si="44"/>
        <v>660105</v>
      </c>
      <c r="AU20" s="53">
        <f t="shared" si="44"/>
        <v>628373</v>
      </c>
      <c r="AV20" s="53">
        <f t="shared" si="44"/>
        <v>594751</v>
      </c>
      <c r="AW20" s="53">
        <f t="shared" si="44"/>
        <v>599545</v>
      </c>
      <c r="AZ20" s="2" t="s">
        <v>6</v>
      </c>
      <c r="BA20" s="2"/>
      <c r="BB20" s="53">
        <f t="shared" ref="BB20:BC20" si="45">BB16+BB17+BB18+BB19</f>
        <v>6791203</v>
      </c>
      <c r="BC20" s="53">
        <f t="shared" si="45"/>
        <v>5750223</v>
      </c>
      <c r="BD20" s="53">
        <f t="shared" ref="BD20:BE20" si="46">BD16+BD17+BD18+BD19</f>
        <v>4769951</v>
      </c>
      <c r="BE20" s="53">
        <f t="shared" si="46"/>
        <v>3898666</v>
      </c>
      <c r="BF20" s="53">
        <f t="shared" ref="BF20:BG20" si="47">BF16+BF17+BF18+BF19</f>
        <v>3463059</v>
      </c>
      <c r="BG20" s="53">
        <f t="shared" si="47"/>
        <v>3194797</v>
      </c>
      <c r="BH20" s="53">
        <f t="shared" ref="BH20" si="48">BH16+BH17+BH18+BH19</f>
        <v>3086232</v>
      </c>
      <c r="BI20" s="53">
        <f t="shared" ref="BI20:BJ20" si="49">BI16+BI17+BI18+BI19</f>
        <v>2580409</v>
      </c>
      <c r="BJ20" s="53">
        <f t="shared" si="49"/>
        <v>2359243</v>
      </c>
      <c r="BK20" s="53">
        <f t="shared" ref="BK20:BP20" si="50">BK16+BK17+BK18+BK19</f>
        <v>2255421</v>
      </c>
      <c r="BL20" s="53">
        <f t="shared" si="50"/>
        <v>2178348</v>
      </c>
      <c r="BM20" s="53">
        <f t="shared" si="50"/>
        <v>2176761</v>
      </c>
      <c r="BN20" s="53">
        <f t="shared" si="50"/>
        <v>2052492</v>
      </c>
      <c r="BO20" s="53">
        <f t="shared" si="50"/>
        <v>1965754</v>
      </c>
      <c r="BP20" s="53">
        <f t="shared" si="50"/>
        <v>1648098</v>
      </c>
      <c r="BS20" s="2" t="s">
        <v>6</v>
      </c>
      <c r="BT20" s="2"/>
      <c r="BU20" s="53">
        <f t="shared" ref="BU20" si="51">BU16+BU17+BU18+BU19</f>
        <v>2233311</v>
      </c>
      <c r="BV20" s="53">
        <f t="shared" ref="BV20:BW20" si="52">BV16+BV17+BV18+BV19</f>
        <v>2129390</v>
      </c>
      <c r="BW20" s="53">
        <f t="shared" si="52"/>
        <v>2042656</v>
      </c>
      <c r="BX20" s="53">
        <f t="shared" ref="BX20:CA20" si="53">BX16+BX17+BX18+BX19</f>
        <v>1960209</v>
      </c>
      <c r="BY20" s="53">
        <f t="shared" si="53"/>
        <v>1888280</v>
      </c>
      <c r="BZ20" s="53">
        <f t="shared" si="53"/>
        <v>1841555</v>
      </c>
      <c r="CA20" s="53">
        <f t="shared" si="53"/>
        <v>1794037</v>
      </c>
      <c r="CB20" s="53">
        <f t="shared" ref="CB20:CG20" si="54">CB16+CB17+CB18+CB19</f>
        <v>0</v>
      </c>
      <c r="CC20" s="53">
        <f t="shared" si="54"/>
        <v>0</v>
      </c>
      <c r="CD20" s="53">
        <f t="shared" si="54"/>
        <v>0</v>
      </c>
      <c r="CE20" s="53">
        <f t="shared" si="54"/>
        <v>0</v>
      </c>
      <c r="CF20" s="53">
        <f t="shared" si="54"/>
        <v>0</v>
      </c>
      <c r="CG20" s="53">
        <f t="shared" si="54"/>
        <v>0</v>
      </c>
      <c r="CJ20" s="2" t="s">
        <v>6</v>
      </c>
      <c r="CK20" s="2"/>
      <c r="CL20" s="53">
        <f t="shared" ref="CL20" si="55">CL16+CL17+CL18+CL19</f>
        <v>2674953</v>
      </c>
      <c r="CM20" s="53">
        <f t="shared" ref="CM20" si="56">CM16+CM17+CM18+CM19</f>
        <v>2505914</v>
      </c>
      <c r="CN20" s="53">
        <f t="shared" ref="CN20:CO20" si="57">CN16+CN17+CN18+CN19</f>
        <v>2252042</v>
      </c>
      <c r="CO20" s="53">
        <f t="shared" si="57"/>
        <v>1814768</v>
      </c>
      <c r="CP20" s="53">
        <f t="shared" ref="CP20" si="58">CP16+CP17+CP18+CP19</f>
        <v>1663490</v>
      </c>
      <c r="CQ20" s="53">
        <f t="shared" ref="CQ20:CR20" si="59">CQ16+CQ17+CQ18+CQ19</f>
        <v>1594408</v>
      </c>
      <c r="CR20" s="53">
        <f t="shared" si="59"/>
        <v>1486266</v>
      </c>
      <c r="CS20" s="53">
        <f t="shared" ref="CS20" si="60">CS16+CS17+CS18+CS19</f>
        <v>1412395</v>
      </c>
      <c r="CT20" s="53">
        <f t="shared" ref="CT20" si="61">CT16+CT17+CT18+CT19</f>
        <v>1308498</v>
      </c>
      <c r="CU20" s="53">
        <f t="shared" ref="CU20:CZ20" si="62">CU16+CU17+CU18+CU19</f>
        <v>1225031</v>
      </c>
      <c r="CV20" s="53">
        <f t="shared" si="62"/>
        <v>1166996</v>
      </c>
      <c r="CW20" s="53">
        <f t="shared" si="62"/>
        <v>1102086</v>
      </c>
      <c r="CX20" s="53">
        <f t="shared" si="62"/>
        <v>1037841</v>
      </c>
      <c r="CY20" s="53">
        <f t="shared" si="62"/>
        <v>983673</v>
      </c>
      <c r="CZ20" s="53">
        <f t="shared" si="62"/>
        <v>901425</v>
      </c>
      <c r="DC20" s="2" t="s">
        <v>6</v>
      </c>
      <c r="DD20" s="2"/>
      <c r="DE20" s="53">
        <f t="shared" ref="DE20:DJ20" si="63">DE16+DE17+DE18+DE19</f>
        <v>2522300</v>
      </c>
      <c r="DF20" s="53">
        <f t="shared" si="63"/>
        <v>2546400</v>
      </c>
      <c r="DG20" s="53">
        <f t="shared" si="63"/>
        <v>2255400</v>
      </c>
      <c r="DH20" s="53">
        <f t="shared" si="63"/>
        <v>1991300</v>
      </c>
      <c r="DI20" s="53">
        <f t="shared" si="63"/>
        <v>1768200</v>
      </c>
      <c r="DJ20" s="53">
        <f t="shared" si="63"/>
        <v>1573600</v>
      </c>
      <c r="DK20" s="53">
        <f t="shared" ref="DK20" si="64">DK16+DK17+DK18+DK19</f>
        <v>1508400</v>
      </c>
      <c r="DL20" s="53">
        <f t="shared" ref="DL20" si="65">DL16+DL17+DL18+DL19</f>
        <v>1046282</v>
      </c>
      <c r="DM20" s="53">
        <f t="shared" ref="DM20" si="66">DM16+DM17+DM18+DM19</f>
        <v>601611</v>
      </c>
      <c r="DN20" s="53">
        <f t="shared" ref="DN20:DS20" si="67">DN16+DN17+DN18+DN19</f>
        <v>573331</v>
      </c>
      <c r="DO20" s="53">
        <f t="shared" si="67"/>
        <v>535577</v>
      </c>
      <c r="DP20" s="53">
        <f t="shared" si="67"/>
        <v>517030</v>
      </c>
      <c r="DQ20" s="53">
        <f t="shared" si="67"/>
        <v>486946</v>
      </c>
      <c r="DR20" s="53">
        <f t="shared" si="67"/>
        <v>428952</v>
      </c>
      <c r="DS20" s="53">
        <f t="shared" si="67"/>
        <v>403424</v>
      </c>
      <c r="DV20" s="2" t="s">
        <v>6</v>
      </c>
      <c r="DW20" s="2"/>
      <c r="DX20" s="53">
        <f t="shared" ref="DX20:DY20" si="68">DX16+DX17+DX18+DX19</f>
        <v>1660881</v>
      </c>
      <c r="DY20" s="53">
        <f t="shared" si="68"/>
        <v>1423785</v>
      </c>
      <c r="DZ20" s="53">
        <f t="shared" ref="DZ20:EA20" si="69">DZ16+DZ17+DZ18+DZ19</f>
        <v>1267022</v>
      </c>
      <c r="EA20" s="53">
        <f t="shared" si="69"/>
        <v>1192409</v>
      </c>
      <c r="EB20" s="53">
        <f t="shared" ref="EB20:EC20" si="70">EB16+EB17+EB18+EB19</f>
        <v>1289240</v>
      </c>
      <c r="EC20" s="53">
        <f t="shared" si="70"/>
        <v>1037539</v>
      </c>
      <c r="ED20" s="53">
        <f t="shared" ref="ED20" si="71">ED16+ED17+ED18+ED19</f>
        <v>932432</v>
      </c>
      <c r="EE20" s="53">
        <f t="shared" ref="EE20" si="72">EE16+EE17+EE18+EE19</f>
        <v>827000</v>
      </c>
      <c r="EF20" s="53">
        <f t="shared" ref="EF20" si="73">EF16+EF17+EF18+EF19</f>
        <v>736214</v>
      </c>
      <c r="EG20" s="53">
        <f t="shared" ref="EG20:EL20" si="74">EG16+EG17+EG18+EG19</f>
        <v>624114</v>
      </c>
      <c r="EH20" s="53">
        <f t="shared" si="74"/>
        <v>570097</v>
      </c>
      <c r="EI20" s="53">
        <f t="shared" si="74"/>
        <v>544564</v>
      </c>
      <c r="EJ20" s="53">
        <f t="shared" si="74"/>
        <v>515254</v>
      </c>
      <c r="EK20" s="53">
        <f t="shared" si="74"/>
        <v>481080</v>
      </c>
      <c r="EL20" s="53">
        <f t="shared" si="74"/>
        <v>443036</v>
      </c>
      <c r="EO20" s="2" t="s">
        <v>6</v>
      </c>
      <c r="EP20" s="53">
        <f t="shared" ref="EP20:EU20" si="75">EP16+EP17+EP18+EP19-EP27</f>
        <v>186262.92499999999</v>
      </c>
      <c r="EQ20" s="53">
        <f t="shared" si="75"/>
        <v>168684.92599999998</v>
      </c>
      <c r="ER20" s="53">
        <f t="shared" si="75"/>
        <v>153332.92600000001</v>
      </c>
      <c r="ES20" s="53">
        <f t="shared" si="75"/>
        <v>132985.818</v>
      </c>
      <c r="ET20" s="53">
        <f t="shared" si="75"/>
        <v>120304.575</v>
      </c>
      <c r="EU20" s="53">
        <f t="shared" si="75"/>
        <v>114423.317</v>
      </c>
      <c r="EX20" s="9"/>
      <c r="EY20" s="9"/>
      <c r="EZ20" s="9"/>
      <c r="FA20" s="9"/>
      <c r="FB20" s="9"/>
      <c r="FC20" s="9"/>
      <c r="FD20" s="9"/>
      <c r="FE20" s="36"/>
      <c r="FF20" s="1"/>
      <c r="FG20" s="1"/>
      <c r="FH20" s="1"/>
    </row>
    <row r="21" spans="1:164" x14ac:dyDescent="0.25">
      <c r="A21" s="2" t="s">
        <v>9</v>
      </c>
      <c r="B21" s="53">
        <f t="shared" ref="B21" si="76">B15+B20</f>
        <v>5478286.5714285718</v>
      </c>
      <c r="C21" s="53">
        <f t="shared" ref="C21" si="77">C15+C20</f>
        <v>4873151.1428571427</v>
      </c>
      <c r="D21" s="53">
        <f t="shared" ref="D21:L21" si="78">D15+D20</f>
        <v>4348695.8571428573</v>
      </c>
      <c r="E21" s="53">
        <f t="shared" si="78"/>
        <v>3758357.8571428573</v>
      </c>
      <c r="F21" s="53">
        <f t="shared" si="78"/>
        <v>3447603.2857142864</v>
      </c>
      <c r="G21" s="53">
        <f t="shared" si="78"/>
        <v>3178818.8571428573</v>
      </c>
      <c r="H21" s="53">
        <f t="shared" si="78"/>
        <v>2868376.1428571427</v>
      </c>
      <c r="I21" s="53">
        <f t="shared" si="78"/>
        <v>2234352.8571428573</v>
      </c>
      <c r="J21" s="53">
        <f t="shared" si="78"/>
        <v>1923262</v>
      </c>
      <c r="K21" s="53">
        <f t="shared" si="78"/>
        <v>1773177.7142857146</v>
      </c>
      <c r="L21" s="53">
        <f t="shared" si="78"/>
        <v>1721871</v>
      </c>
      <c r="M21" s="10"/>
      <c r="N21" s="2" t="s">
        <v>9</v>
      </c>
      <c r="O21" s="2"/>
      <c r="P21" s="53">
        <f>P15+P20</f>
        <v>4256744</v>
      </c>
      <c r="Q21" s="53">
        <f>Q15+Q20</f>
        <v>3135763</v>
      </c>
      <c r="R21" s="53">
        <f t="shared" ref="R21:T21" si="79">R15+R20</f>
        <v>2875092</v>
      </c>
      <c r="S21" s="53">
        <f t="shared" ref="S21:U21" si="80">S15+S20</f>
        <v>2665098</v>
      </c>
      <c r="T21" s="53">
        <f t="shared" si="79"/>
        <v>2413293</v>
      </c>
      <c r="U21" s="53">
        <f t="shared" si="80"/>
        <v>2028039</v>
      </c>
      <c r="V21" s="53">
        <f t="shared" ref="V21:W21" si="81">V15+V20</f>
        <v>1899880</v>
      </c>
      <c r="W21" s="53">
        <f t="shared" si="81"/>
        <v>1834513</v>
      </c>
      <c r="X21" s="53">
        <f t="shared" ref="X21" si="82">X15+X20</f>
        <v>1626594</v>
      </c>
      <c r="Y21" s="53">
        <f t="shared" ref="Y21:AD21" si="83">Y15+Y20</f>
        <v>1369979</v>
      </c>
      <c r="Z21" s="53">
        <f t="shared" si="83"/>
        <v>1333265</v>
      </c>
      <c r="AA21" s="53">
        <f t="shared" si="83"/>
        <v>1295128</v>
      </c>
      <c r="AB21" s="53">
        <f t="shared" si="83"/>
        <v>1421504</v>
      </c>
      <c r="AC21" s="53">
        <f t="shared" si="83"/>
        <v>1294650</v>
      </c>
      <c r="AD21" s="53">
        <f t="shared" si="83"/>
        <v>1238433</v>
      </c>
      <c r="AE21" s="10"/>
      <c r="AF21" s="10"/>
      <c r="AG21" s="2" t="s">
        <v>9</v>
      </c>
      <c r="AH21" s="2"/>
      <c r="AI21" s="53">
        <f t="shared" ref="AI21:AJ21" si="84">AI15+AI20</f>
        <v>2148683</v>
      </c>
      <c r="AJ21" s="53">
        <f t="shared" si="84"/>
        <v>1896163</v>
      </c>
      <c r="AK21" s="53">
        <f t="shared" ref="AK21:AL21" si="85">AK15+AK20</f>
        <v>1716490</v>
      </c>
      <c r="AL21" s="53">
        <f t="shared" si="85"/>
        <v>1576863</v>
      </c>
      <c r="AM21" s="53">
        <f t="shared" ref="AM21:AN21" si="86">AM15+AM20</f>
        <v>1623120</v>
      </c>
      <c r="AN21" s="53">
        <f t="shared" si="86"/>
        <v>1645425</v>
      </c>
      <c r="AO21" s="53">
        <f t="shared" ref="AO21" si="87">AO15+AO20</f>
        <v>1663721</v>
      </c>
      <c r="AP21" s="53">
        <f t="shared" ref="AP21" si="88">AP15+AP20</f>
        <v>1681772</v>
      </c>
      <c r="AQ21" s="53">
        <f t="shared" ref="AQ21" si="89">AQ15+AQ20</f>
        <v>1614983</v>
      </c>
      <c r="AR21" s="53">
        <f t="shared" ref="AR21:AW21" si="90">AR15+AR20</f>
        <v>1537788</v>
      </c>
      <c r="AS21" s="53">
        <f t="shared" si="90"/>
        <v>1552236</v>
      </c>
      <c r="AT21" s="53">
        <f t="shared" si="90"/>
        <v>1398805</v>
      </c>
      <c r="AU21" s="53">
        <f t="shared" si="90"/>
        <v>1388373</v>
      </c>
      <c r="AV21" s="53">
        <f t="shared" si="90"/>
        <v>1254851</v>
      </c>
      <c r="AW21" s="53">
        <f t="shared" si="90"/>
        <v>1246145</v>
      </c>
      <c r="AZ21" s="2" t="s">
        <v>9</v>
      </c>
      <c r="BA21" s="2"/>
      <c r="BB21" s="53">
        <f t="shared" ref="BB21:BC21" si="91">BB15+BB20</f>
        <v>11323147</v>
      </c>
      <c r="BC21" s="53">
        <f t="shared" si="91"/>
        <v>9744590</v>
      </c>
      <c r="BD21" s="53">
        <f t="shared" ref="BD21:BE21" si="92">BD15+BD20</f>
        <v>8414396</v>
      </c>
      <c r="BE21" s="53">
        <f t="shared" si="92"/>
        <v>7413456</v>
      </c>
      <c r="BF21" s="53">
        <f t="shared" ref="BF21:BG21" si="93">BF15+BF20</f>
        <v>6731649</v>
      </c>
      <c r="BG21" s="53">
        <f t="shared" si="93"/>
        <v>6090239</v>
      </c>
      <c r="BH21" s="53">
        <f t="shared" ref="BH21" si="94">BH15+BH20</f>
        <v>5738913</v>
      </c>
      <c r="BI21" s="53">
        <f t="shared" ref="BI21:BJ21" si="95">BI15+BI20</f>
        <v>5404064</v>
      </c>
      <c r="BJ21" s="53">
        <f t="shared" si="95"/>
        <v>4886608</v>
      </c>
      <c r="BK21" s="53">
        <f t="shared" ref="BK21:BP21" si="96">BK15+BK20</f>
        <v>4670368</v>
      </c>
      <c r="BL21" s="53">
        <f t="shared" si="96"/>
        <v>4474130</v>
      </c>
      <c r="BM21" s="53">
        <f t="shared" si="96"/>
        <v>4418842</v>
      </c>
      <c r="BN21" s="53">
        <f t="shared" si="96"/>
        <v>4523611</v>
      </c>
      <c r="BO21" s="53">
        <f t="shared" si="96"/>
        <v>4246499</v>
      </c>
      <c r="BP21" s="53">
        <f t="shared" si="96"/>
        <v>4214062</v>
      </c>
      <c r="BS21" s="2" t="s">
        <v>9</v>
      </c>
      <c r="BT21" s="2"/>
      <c r="BU21" s="53">
        <f t="shared" ref="BU21" si="97">BU15+BU20</f>
        <v>4233964</v>
      </c>
      <c r="BV21" s="53">
        <f t="shared" ref="BV21:BW21" si="98">BV15+BV20</f>
        <v>3931954</v>
      </c>
      <c r="BW21" s="53">
        <f t="shared" si="98"/>
        <v>3627639</v>
      </c>
      <c r="BX21" s="53">
        <f t="shared" ref="BX21:CA21" si="99">BX15+BX20</f>
        <v>3510681</v>
      </c>
      <c r="BY21" s="53">
        <f t="shared" si="99"/>
        <v>3225733</v>
      </c>
      <c r="BZ21" s="53">
        <f t="shared" si="99"/>
        <v>3045722</v>
      </c>
      <c r="CA21" s="53">
        <f t="shared" si="99"/>
        <v>1794037</v>
      </c>
      <c r="CB21" s="53">
        <f t="shared" ref="CB21:CG21" si="100">CB15+CB20</f>
        <v>0</v>
      </c>
      <c r="CC21" s="53">
        <f t="shared" si="100"/>
        <v>0</v>
      </c>
      <c r="CD21" s="53">
        <f t="shared" si="100"/>
        <v>0</v>
      </c>
      <c r="CE21" s="53">
        <f t="shared" si="100"/>
        <v>0</v>
      </c>
      <c r="CF21" s="53">
        <f t="shared" si="100"/>
        <v>0</v>
      </c>
      <c r="CG21" s="53">
        <f t="shared" si="100"/>
        <v>0</v>
      </c>
      <c r="CJ21" s="2" t="s">
        <v>9</v>
      </c>
      <c r="CK21" s="2"/>
      <c r="CL21" s="53">
        <f t="shared" ref="CL21" si="101">CL15+CL20</f>
        <v>5554586</v>
      </c>
      <c r="CM21" s="53">
        <f t="shared" ref="CM21" si="102">CM15+CM20</f>
        <v>5180908</v>
      </c>
      <c r="CN21" s="53">
        <f t="shared" ref="CN21:CO21" si="103">CN15+CN20</f>
        <v>4544360</v>
      </c>
      <c r="CO21" s="53">
        <f t="shared" si="103"/>
        <v>3853190</v>
      </c>
      <c r="CP21" s="53">
        <f t="shared" ref="CP21" si="104">CP15+CP20</f>
        <v>3263574</v>
      </c>
      <c r="CQ21" s="53">
        <f t="shared" ref="CQ21:CR21" si="105">CQ15+CQ20</f>
        <v>3183087</v>
      </c>
      <c r="CR21" s="53">
        <f t="shared" si="105"/>
        <v>3148050</v>
      </c>
      <c r="CS21" s="53">
        <f t="shared" ref="CS21" si="106">CS15+CS20</f>
        <v>2804827</v>
      </c>
      <c r="CT21" s="53">
        <f t="shared" ref="CT21" si="107">CT15+CT20</f>
        <v>2627008</v>
      </c>
      <c r="CU21" s="53">
        <f t="shared" ref="CU21:CZ21" si="108">CU15+CU20</f>
        <v>2478507</v>
      </c>
      <c r="CV21" s="53">
        <f t="shared" si="108"/>
        <v>2366757</v>
      </c>
      <c r="CW21" s="53">
        <f t="shared" si="108"/>
        <v>2372770</v>
      </c>
      <c r="CX21" s="53">
        <f t="shared" si="108"/>
        <v>2386148</v>
      </c>
      <c r="CY21" s="53">
        <f t="shared" si="108"/>
        <v>2396819</v>
      </c>
      <c r="CZ21" s="53">
        <f t="shared" si="108"/>
        <v>2315324</v>
      </c>
      <c r="DC21" s="2" t="s">
        <v>9</v>
      </c>
      <c r="DD21" s="2"/>
      <c r="DE21" s="53">
        <f t="shared" ref="DE21:DF21" si="109">DE15+DE20</f>
        <v>5654400</v>
      </c>
      <c r="DF21" s="53">
        <f t="shared" si="109"/>
        <v>5412200</v>
      </c>
      <c r="DG21" s="53">
        <f t="shared" ref="DG21:DH21" si="110">DG15+DG20</f>
        <v>4884600</v>
      </c>
      <c r="DH21" s="53">
        <f t="shared" si="110"/>
        <v>4563600</v>
      </c>
      <c r="DI21" s="53">
        <f t="shared" ref="DI21:DJ21" si="111">DI15+DI20</f>
        <v>4250600</v>
      </c>
      <c r="DJ21" s="53">
        <f t="shared" si="111"/>
        <v>3763100</v>
      </c>
      <c r="DK21" s="53">
        <f t="shared" ref="DK21" si="112">DK15+DK20</f>
        <v>3646500</v>
      </c>
      <c r="DL21" s="53">
        <f t="shared" ref="DL21" si="113">DL15+DL20</f>
        <v>2032994</v>
      </c>
      <c r="DM21" s="53">
        <f t="shared" ref="DM21" si="114">DM15+DM20</f>
        <v>1006127</v>
      </c>
      <c r="DN21" s="53">
        <f t="shared" ref="DN21:DS21" si="115">DN15+DN20</f>
        <v>983688</v>
      </c>
      <c r="DO21" s="53">
        <f t="shared" si="115"/>
        <v>1054525</v>
      </c>
      <c r="DP21" s="53">
        <f t="shared" si="115"/>
        <v>1036070</v>
      </c>
      <c r="DQ21" s="53">
        <f t="shared" si="115"/>
        <v>1092187</v>
      </c>
      <c r="DR21" s="53">
        <f t="shared" si="115"/>
        <v>1036034</v>
      </c>
      <c r="DS21" s="53">
        <f t="shared" si="115"/>
        <v>1006324</v>
      </c>
      <c r="DV21" s="2" t="s">
        <v>9</v>
      </c>
      <c r="DW21" s="2"/>
      <c r="DX21" s="53">
        <f t="shared" ref="DX21:DY21" si="116">DX15+DX20</f>
        <v>5176482</v>
      </c>
      <c r="DY21" s="53">
        <f t="shared" si="116"/>
        <v>4810480</v>
      </c>
      <c r="DZ21" s="53">
        <f t="shared" ref="DZ21:EA21" si="117">DZ15+DZ20</f>
        <v>4378294</v>
      </c>
      <c r="EA21" s="53">
        <f t="shared" si="117"/>
        <v>2725617</v>
      </c>
      <c r="EB21" s="53">
        <f t="shared" ref="EB21:EC21" si="118">EB15+EB20</f>
        <v>2625254</v>
      </c>
      <c r="EC21" s="53">
        <f t="shared" si="118"/>
        <v>2496120</v>
      </c>
      <c r="ED21" s="53">
        <f t="shared" ref="ED21" si="119">ED15+ED20</f>
        <v>2187532</v>
      </c>
      <c r="EE21" s="53">
        <f t="shared" ref="EE21" si="120">EE15+EE20</f>
        <v>1882300</v>
      </c>
      <c r="EF21" s="53">
        <f t="shared" ref="EF21" si="121">EF15+EF20</f>
        <v>1701514</v>
      </c>
      <c r="EG21" s="53">
        <f t="shared" ref="EG21:EL21" si="122">EG15+EG20</f>
        <v>1371914</v>
      </c>
      <c r="EH21" s="53">
        <f t="shared" si="122"/>
        <v>1272184</v>
      </c>
      <c r="EI21" s="53">
        <f t="shared" si="122"/>
        <v>1089076</v>
      </c>
      <c r="EJ21" s="53">
        <f t="shared" si="122"/>
        <v>1085700</v>
      </c>
      <c r="EK21" s="53">
        <f t="shared" si="122"/>
        <v>957372</v>
      </c>
      <c r="EL21" s="53">
        <f t="shared" si="122"/>
        <v>998027</v>
      </c>
      <c r="EO21" s="2" t="s">
        <v>9</v>
      </c>
      <c r="EP21" s="53">
        <f t="shared" ref="EP21:EU21" si="123">EP15+EP20</f>
        <v>374905.72499999998</v>
      </c>
      <c r="EQ21" s="53">
        <f t="shared" si="123"/>
        <v>332919.42599999998</v>
      </c>
      <c r="ER21" s="53">
        <f t="shared" si="123"/>
        <v>288082.72600000002</v>
      </c>
      <c r="ES21" s="53">
        <f t="shared" si="123"/>
        <v>275186.51800000004</v>
      </c>
      <c r="ET21" s="53">
        <f t="shared" si="123"/>
        <v>241693.77499999999</v>
      </c>
      <c r="EU21" s="53">
        <f t="shared" si="123"/>
        <v>202008.31699999998</v>
      </c>
      <c r="EX21" s="9"/>
      <c r="EY21" s="9"/>
      <c r="EZ21" s="9"/>
      <c r="FA21" s="9"/>
      <c r="FB21" s="9"/>
      <c r="FC21" s="9"/>
      <c r="FD21" s="9"/>
      <c r="FE21" s="36"/>
      <c r="FF21" s="1"/>
      <c r="FG21" s="1"/>
      <c r="FH21" s="1"/>
    </row>
    <row r="22" spans="1:164" x14ac:dyDescent="0.25">
      <c r="A22" s="2" t="s">
        <v>13</v>
      </c>
      <c r="B22" s="53">
        <f t="shared" ref="B22" si="124">B21-B26</f>
        <v>5515858.2857142864</v>
      </c>
      <c r="C22" s="53">
        <f t="shared" ref="C22" si="125">C21-C26</f>
        <v>4913784.2857142854</v>
      </c>
      <c r="D22" s="53">
        <f t="shared" ref="D22:L22" si="126">D21-D26</f>
        <v>4374395</v>
      </c>
      <c r="E22" s="53">
        <f t="shared" si="126"/>
        <v>3787456.1428571432</v>
      </c>
      <c r="F22" s="53">
        <f t="shared" si="126"/>
        <v>3489665.0000000005</v>
      </c>
      <c r="G22" s="53">
        <f t="shared" si="126"/>
        <v>3208398</v>
      </c>
      <c r="H22" s="53">
        <f t="shared" si="126"/>
        <v>2884857.5714285714</v>
      </c>
      <c r="I22" s="53">
        <f t="shared" si="126"/>
        <v>2238973.7142857146</v>
      </c>
      <c r="J22" s="53">
        <f t="shared" si="126"/>
        <v>1945450</v>
      </c>
      <c r="K22" s="53">
        <f t="shared" si="126"/>
        <v>1794280.8571428575</v>
      </c>
      <c r="L22" s="53">
        <f t="shared" si="126"/>
        <v>1736468.2857142857</v>
      </c>
      <c r="M22" s="10"/>
      <c r="N22" s="2" t="s">
        <v>13</v>
      </c>
      <c r="O22" s="2"/>
      <c r="P22" s="53">
        <f>P21-P26</f>
        <v>4301059</v>
      </c>
      <c r="Q22" s="53">
        <f>Q21-Q26</f>
        <v>3167550</v>
      </c>
      <c r="R22" s="53">
        <f t="shared" ref="R22:T22" si="127">R21-R26</f>
        <v>2887702</v>
      </c>
      <c r="S22" s="53">
        <f t="shared" ref="S22:U22" si="128">S21-S26</f>
        <v>2668354</v>
      </c>
      <c r="T22" s="53">
        <f t="shared" si="127"/>
        <v>2428448</v>
      </c>
      <c r="U22" s="53">
        <f t="shared" si="128"/>
        <v>2037433</v>
      </c>
      <c r="V22" s="53">
        <f t="shared" ref="V22:W22" si="129">V21-V26</f>
        <v>1905474</v>
      </c>
      <c r="W22" s="53">
        <f t="shared" si="129"/>
        <v>1836134</v>
      </c>
      <c r="X22" s="53">
        <f t="shared" ref="X22" si="130">X21-X26</f>
        <v>1637365</v>
      </c>
      <c r="Y22" s="53">
        <f t="shared" ref="Y22:AD22" si="131">Y21-Y26</f>
        <v>1380583</v>
      </c>
      <c r="Z22" s="53">
        <f t="shared" si="131"/>
        <v>1345272</v>
      </c>
      <c r="AA22" s="53">
        <f t="shared" si="131"/>
        <v>1305180</v>
      </c>
      <c r="AB22" s="53">
        <f t="shared" si="131"/>
        <v>1424218</v>
      </c>
      <c r="AC22" s="53">
        <f t="shared" si="131"/>
        <v>1295581</v>
      </c>
      <c r="AD22" s="53">
        <f t="shared" si="131"/>
        <v>1235691</v>
      </c>
      <c r="AE22" s="10"/>
      <c r="AF22" s="10"/>
      <c r="AG22" s="2" t="s">
        <v>13</v>
      </c>
      <c r="AH22" s="2"/>
      <c r="AI22" s="53">
        <f t="shared" ref="AI22:AJ22" si="132">AI21-AI26</f>
        <v>2161585</v>
      </c>
      <c r="AJ22" s="53">
        <f t="shared" si="132"/>
        <v>1906896</v>
      </c>
      <c r="AK22" s="53">
        <f t="shared" ref="AK22:AL22" si="133">AK21-AK26</f>
        <v>1723678</v>
      </c>
      <c r="AL22" s="53">
        <f t="shared" si="133"/>
        <v>1585301</v>
      </c>
      <c r="AM22" s="53">
        <f t="shared" ref="AM22:AN22" si="134">AM21-AM26</f>
        <v>1630071</v>
      </c>
      <c r="AN22" s="53">
        <f t="shared" si="134"/>
        <v>1652587</v>
      </c>
      <c r="AO22" s="53">
        <f t="shared" ref="AO22" si="135">AO21-AO26</f>
        <v>1673797</v>
      </c>
      <c r="AP22" s="53">
        <f t="shared" ref="AP22" si="136">AP21-AP26</f>
        <v>1688130</v>
      </c>
      <c r="AQ22" s="53">
        <f t="shared" ref="AQ22" si="137">AQ21-AQ26</f>
        <v>1624274</v>
      </c>
      <c r="AR22" s="53">
        <f t="shared" ref="AR22:AW22" si="138">AR21-AR26</f>
        <v>1545588</v>
      </c>
      <c r="AS22" s="53">
        <f t="shared" si="138"/>
        <v>1558840</v>
      </c>
      <c r="AT22" s="53">
        <f t="shared" si="138"/>
        <v>1404773</v>
      </c>
      <c r="AU22" s="53">
        <f t="shared" si="138"/>
        <v>1392759</v>
      </c>
      <c r="AV22" s="53">
        <f t="shared" si="138"/>
        <v>1258353</v>
      </c>
      <c r="AW22" s="53">
        <f t="shared" si="138"/>
        <v>1248501</v>
      </c>
      <c r="AZ22" s="2" t="s">
        <v>13</v>
      </c>
      <c r="BA22" s="2"/>
      <c r="BB22" s="53">
        <f t="shared" ref="BB22:BC22" si="139">BB21-BB26</f>
        <v>11380736</v>
      </c>
      <c r="BC22" s="53">
        <f t="shared" si="139"/>
        <v>9859173</v>
      </c>
      <c r="BD22" s="53">
        <f t="shared" ref="BD22:BE22" si="140">BD21-BD26</f>
        <v>8498043</v>
      </c>
      <c r="BE22" s="53">
        <f t="shared" si="140"/>
        <v>7518710</v>
      </c>
      <c r="BF22" s="53">
        <f t="shared" ref="BF22:BG22" si="141">BF21-BF26</f>
        <v>6919671</v>
      </c>
      <c r="BG22" s="53">
        <f t="shared" si="141"/>
        <v>6199569</v>
      </c>
      <c r="BH22" s="53">
        <f t="shared" ref="BH22" si="142">BH21-BH26</f>
        <v>5751306</v>
      </c>
      <c r="BI22" s="53">
        <f t="shared" ref="BI22:BJ22" si="143">BI21-BI26</f>
        <v>5365186</v>
      </c>
      <c r="BJ22" s="53">
        <f t="shared" si="143"/>
        <v>4934215</v>
      </c>
      <c r="BK22" s="53">
        <f t="shared" ref="BK22:BP22" si="144">BK21-BK26</f>
        <v>4718828</v>
      </c>
      <c r="BL22" s="53">
        <f t="shared" si="144"/>
        <v>4497502</v>
      </c>
      <c r="BM22" s="53">
        <f t="shared" si="144"/>
        <v>4439026</v>
      </c>
      <c r="BN22" s="53">
        <f t="shared" si="144"/>
        <v>4559558</v>
      </c>
      <c r="BO22" s="53">
        <f t="shared" si="144"/>
        <v>4262697</v>
      </c>
      <c r="BP22" s="53">
        <f t="shared" si="144"/>
        <v>4257912</v>
      </c>
      <c r="BS22" s="2" t="s">
        <v>13</v>
      </c>
      <c r="BT22" s="2"/>
      <c r="BU22" s="53">
        <f t="shared" ref="BU22" si="145">BU21-BU26</f>
        <v>4241741</v>
      </c>
      <c r="BV22" s="53">
        <f t="shared" ref="BV22:BW22" si="146">BV21-BV26</f>
        <v>3938693</v>
      </c>
      <c r="BW22" s="53">
        <f t="shared" si="146"/>
        <v>3631725</v>
      </c>
      <c r="BX22" s="53">
        <f t="shared" ref="BX22:CA22" si="147">BX21-BX26</f>
        <v>3516174</v>
      </c>
      <c r="BY22" s="53">
        <f t="shared" si="147"/>
        <v>3230448</v>
      </c>
      <c r="BZ22" s="53">
        <f t="shared" si="147"/>
        <v>3050123</v>
      </c>
      <c r="CA22" s="53">
        <f t="shared" si="147"/>
        <v>1799211</v>
      </c>
      <c r="CB22" s="53">
        <f t="shared" ref="CB22:CG22" si="148">CB21-CB26</f>
        <v>0</v>
      </c>
      <c r="CC22" s="53">
        <f t="shared" si="148"/>
        <v>0</v>
      </c>
      <c r="CD22" s="53">
        <f t="shared" si="148"/>
        <v>0</v>
      </c>
      <c r="CE22" s="53">
        <f t="shared" si="148"/>
        <v>0</v>
      </c>
      <c r="CF22" s="53">
        <f t="shared" si="148"/>
        <v>0</v>
      </c>
      <c r="CG22" s="53">
        <f t="shared" si="148"/>
        <v>0</v>
      </c>
      <c r="CJ22" s="2" t="s">
        <v>13</v>
      </c>
      <c r="CK22" s="2"/>
      <c r="CL22" s="53">
        <f t="shared" ref="CL22" si="149">CL21-CL26</f>
        <v>5615589</v>
      </c>
      <c r="CM22" s="53">
        <f t="shared" ref="CM22" si="150">CM21-CM26</f>
        <v>5237640</v>
      </c>
      <c r="CN22" s="53">
        <f t="shared" ref="CN22:CO22" si="151">CN21-CN26</f>
        <v>4597028</v>
      </c>
      <c r="CO22" s="53">
        <f t="shared" si="151"/>
        <v>3900872</v>
      </c>
      <c r="CP22" s="53">
        <f t="shared" ref="CP22" si="152">CP21-CP26</f>
        <v>3311582</v>
      </c>
      <c r="CQ22" s="53">
        <f t="shared" ref="CQ22:CR22" si="153">CQ21-CQ26</f>
        <v>3233355</v>
      </c>
      <c r="CR22" s="53">
        <f t="shared" si="153"/>
        <v>3198225</v>
      </c>
      <c r="CS22" s="53">
        <f t="shared" ref="CS22" si="154">CS21-CS26</f>
        <v>2846525</v>
      </c>
      <c r="CT22" s="53">
        <f t="shared" ref="CT22" si="155">CT21-CT26</f>
        <v>2679434</v>
      </c>
      <c r="CU22" s="53">
        <f t="shared" ref="CU22:CZ22" si="156">CU21-CU26</f>
        <v>2528827</v>
      </c>
      <c r="CV22" s="53">
        <f t="shared" si="156"/>
        <v>2398006</v>
      </c>
      <c r="CW22" s="53">
        <f t="shared" si="156"/>
        <v>2395061</v>
      </c>
      <c r="CX22" s="53">
        <f t="shared" si="156"/>
        <v>2405574</v>
      </c>
      <c r="CY22" s="53">
        <f t="shared" si="156"/>
        <v>2409669</v>
      </c>
      <c r="CZ22" s="53">
        <f t="shared" si="156"/>
        <v>2328990</v>
      </c>
      <c r="DC22" s="2" t="s">
        <v>13</v>
      </c>
      <c r="DD22" s="2"/>
      <c r="DE22" s="53">
        <f t="shared" ref="DE22:DF22" si="157">DE21-DE26</f>
        <v>5695600</v>
      </c>
      <c r="DF22" s="53">
        <f t="shared" si="157"/>
        <v>5443500</v>
      </c>
      <c r="DG22" s="53">
        <f t="shared" ref="DG22:DH22" si="158">DG21-DG26</f>
        <v>4878200</v>
      </c>
      <c r="DH22" s="53">
        <f t="shared" si="158"/>
        <v>4560400</v>
      </c>
      <c r="DI22" s="53">
        <f t="shared" ref="DI22:DJ22" si="159">DI21-DI26</f>
        <v>4254800</v>
      </c>
      <c r="DJ22" s="53">
        <f t="shared" si="159"/>
        <v>3765100</v>
      </c>
      <c r="DK22" s="53">
        <f t="shared" ref="DK22" si="160">DK21-DK26</f>
        <v>3648200</v>
      </c>
      <c r="DL22" s="53">
        <f t="shared" ref="DL22" si="161">DL21-DL26</f>
        <v>2033781</v>
      </c>
      <c r="DM22" s="53">
        <f t="shared" ref="DM22" si="162">DM21-DM26</f>
        <v>1010243</v>
      </c>
      <c r="DN22" s="53">
        <f t="shared" ref="DN22:DS22" si="163">DN21-DN26</f>
        <v>985788</v>
      </c>
      <c r="DO22" s="53">
        <f t="shared" si="163"/>
        <v>1061662</v>
      </c>
      <c r="DP22" s="53">
        <f t="shared" si="163"/>
        <v>1038236</v>
      </c>
      <c r="DQ22" s="53">
        <f t="shared" si="163"/>
        <v>1087750</v>
      </c>
      <c r="DR22" s="53">
        <f t="shared" si="163"/>
        <v>1034177</v>
      </c>
      <c r="DS22" s="53">
        <f t="shared" si="163"/>
        <v>1002669</v>
      </c>
      <c r="DV22" s="2" t="s">
        <v>13</v>
      </c>
      <c r="DW22" s="2"/>
      <c r="DX22" s="53">
        <f t="shared" ref="DX22:DY22" si="164">DX21-DX26</f>
        <v>5214698</v>
      </c>
      <c r="DY22" s="53">
        <f t="shared" si="164"/>
        <v>4843038</v>
      </c>
      <c r="DZ22" s="53">
        <f t="shared" ref="DZ22:EA22" si="165">DZ21-DZ26</f>
        <v>4404389</v>
      </c>
      <c r="EA22" s="53">
        <f t="shared" si="165"/>
        <v>2762382</v>
      </c>
      <c r="EB22" s="53">
        <f t="shared" ref="EB22:EC22" si="166">EB21-EB26</f>
        <v>2652635</v>
      </c>
      <c r="EC22" s="53">
        <f t="shared" si="166"/>
        <v>2520619</v>
      </c>
      <c r="ED22" s="53">
        <f t="shared" ref="ED22" si="167">ED21-ED26</f>
        <v>2217790</v>
      </c>
      <c r="EE22" s="53">
        <f t="shared" ref="EE22" si="168">EE21-EE26</f>
        <v>1903060</v>
      </c>
      <c r="EF22" s="53">
        <f t="shared" ref="EF22" si="169">EF21-EF26</f>
        <v>1732619</v>
      </c>
      <c r="EG22" s="53">
        <f t="shared" ref="EG22:EL22" si="170">EG21-EG26</f>
        <v>1400352</v>
      </c>
      <c r="EH22" s="53">
        <f t="shared" si="170"/>
        <v>1293996</v>
      </c>
      <c r="EI22" s="53">
        <f t="shared" si="170"/>
        <v>1107582</v>
      </c>
      <c r="EJ22" s="53">
        <f t="shared" si="170"/>
        <v>1109899</v>
      </c>
      <c r="EK22" s="53">
        <f t="shared" si="170"/>
        <v>967687</v>
      </c>
      <c r="EL22" s="53">
        <f t="shared" si="170"/>
        <v>1005818</v>
      </c>
      <c r="EO22" s="2" t="s">
        <v>13</v>
      </c>
      <c r="EP22" s="53">
        <f t="shared" ref="EP22:EU22" si="171">EP21-EP26</f>
        <v>374905.72499999998</v>
      </c>
      <c r="EQ22" s="53">
        <f t="shared" si="171"/>
        <v>332919.42599999998</v>
      </c>
      <c r="ER22" s="53">
        <f t="shared" si="171"/>
        <v>288082.72600000002</v>
      </c>
      <c r="ES22" s="53">
        <f t="shared" si="171"/>
        <v>275186.51800000004</v>
      </c>
      <c r="ET22" s="53">
        <f t="shared" si="171"/>
        <v>241693.77499999999</v>
      </c>
      <c r="EU22" s="53">
        <f t="shared" si="171"/>
        <v>202008.31699999998</v>
      </c>
      <c r="EX22" s="9"/>
      <c r="EY22" s="9"/>
      <c r="EZ22" s="9"/>
      <c r="FA22" s="9"/>
      <c r="FB22" s="9"/>
      <c r="FC22" s="9"/>
      <c r="FD22" s="9"/>
      <c r="FE22" s="36"/>
      <c r="FF22" s="1"/>
      <c r="FG22" s="1"/>
      <c r="FH22" s="1"/>
    </row>
    <row r="23" spans="1:164" x14ac:dyDescent="0.25">
      <c r="A23" s="2" t="s">
        <v>11</v>
      </c>
      <c r="B23" s="53">
        <f t="shared" ref="B23" si="172">B12+B20</f>
        <v>5111732.4285714291</v>
      </c>
      <c r="C23" s="53">
        <f t="shared" ref="C23" si="173">C12+C20</f>
        <v>4340749.1428571427</v>
      </c>
      <c r="D23" s="53">
        <f t="shared" ref="D23:L23" si="174">D12+D20</f>
        <v>3792702.5714285718</v>
      </c>
      <c r="E23" s="53">
        <f t="shared" si="174"/>
        <v>3384844.5714285714</v>
      </c>
      <c r="F23" s="53">
        <f t="shared" si="174"/>
        <v>3057879.1428571432</v>
      </c>
      <c r="G23" s="53">
        <f t="shared" si="174"/>
        <v>2927453.2857142854</v>
      </c>
      <c r="H23" s="53">
        <f t="shared" si="174"/>
        <v>2652118.8571428573</v>
      </c>
      <c r="I23" s="53">
        <f t="shared" si="174"/>
        <v>2018576.8571428573</v>
      </c>
      <c r="J23" s="53">
        <f t="shared" si="174"/>
        <v>1704975.2857142857</v>
      </c>
      <c r="K23" s="53">
        <f t="shared" si="174"/>
        <v>1594669.142857143</v>
      </c>
      <c r="L23" s="53">
        <f t="shared" si="174"/>
        <v>1504108.142857143</v>
      </c>
      <c r="M23" s="10"/>
      <c r="N23" s="2" t="s">
        <v>11</v>
      </c>
      <c r="O23" s="2"/>
      <c r="P23" s="53">
        <f>P12+P20</f>
        <v>4104158</v>
      </c>
      <c r="Q23" s="53">
        <f>Q12+Q20</f>
        <v>3088894</v>
      </c>
      <c r="R23" s="53">
        <f t="shared" ref="R23:T23" si="175">R12+R20</f>
        <v>2599597</v>
      </c>
      <c r="S23" s="53">
        <f t="shared" ref="S23:U23" si="176">S12+S20</f>
        <v>2233723</v>
      </c>
      <c r="T23" s="53">
        <f t="shared" si="175"/>
        <v>2230141</v>
      </c>
      <c r="U23" s="53">
        <f t="shared" si="176"/>
        <v>1950551</v>
      </c>
      <c r="V23" s="53">
        <f t="shared" ref="V23:W23" si="177">V12+V20</f>
        <v>1564375</v>
      </c>
      <c r="W23" s="53">
        <f t="shared" si="177"/>
        <v>1400270</v>
      </c>
      <c r="X23" s="53">
        <f t="shared" ref="X23" si="178">X12+X20</f>
        <v>1339034</v>
      </c>
      <c r="Y23" s="53">
        <f t="shared" ref="Y23:AD23" si="179">Y12+Y20</f>
        <v>1203054</v>
      </c>
      <c r="Z23" s="53">
        <f t="shared" si="179"/>
        <v>1154408</v>
      </c>
      <c r="AA23" s="53">
        <f t="shared" si="179"/>
        <v>1145218</v>
      </c>
      <c r="AB23" s="53">
        <f t="shared" si="179"/>
        <v>1183185</v>
      </c>
      <c r="AC23" s="53">
        <f t="shared" si="179"/>
        <v>1033833</v>
      </c>
      <c r="AD23" s="53">
        <f t="shared" si="179"/>
        <v>953994</v>
      </c>
      <c r="AE23" s="10"/>
      <c r="AF23" s="10"/>
      <c r="AG23" s="2" t="s">
        <v>11</v>
      </c>
      <c r="AH23" s="2"/>
      <c r="AI23" s="53">
        <f t="shared" ref="AI23:AJ23" si="180">AI12+AI20</f>
        <v>1748814</v>
      </c>
      <c r="AJ23" s="53">
        <f t="shared" si="180"/>
        <v>1671954</v>
      </c>
      <c r="AK23" s="53">
        <f t="shared" ref="AK23:AL23" si="181">AK12+AK20</f>
        <v>1468881</v>
      </c>
      <c r="AL23" s="53">
        <f t="shared" si="181"/>
        <v>1425960</v>
      </c>
      <c r="AM23" s="53">
        <f t="shared" ref="AM23:AN23" si="182">AM12+AM20</f>
        <v>1529831</v>
      </c>
      <c r="AN23" s="53">
        <f t="shared" si="182"/>
        <v>1350417</v>
      </c>
      <c r="AO23" s="53">
        <f t="shared" ref="AO23" si="183">AO12+AO20</f>
        <v>1389021</v>
      </c>
      <c r="AP23" s="53">
        <f t="shared" ref="AP23" si="184">AP12+AP20</f>
        <v>1433572</v>
      </c>
      <c r="AQ23" s="53">
        <f t="shared" ref="AQ23" si="185">AQ12+AQ20</f>
        <v>1424733</v>
      </c>
      <c r="AR23" s="53">
        <f t="shared" ref="AR23:AW23" si="186">AR12+AR20</f>
        <v>1356188</v>
      </c>
      <c r="AS23" s="53">
        <f t="shared" si="186"/>
        <v>1284801</v>
      </c>
      <c r="AT23" s="53">
        <f t="shared" si="186"/>
        <v>1261805</v>
      </c>
      <c r="AU23" s="53">
        <f t="shared" si="186"/>
        <v>1140373</v>
      </c>
      <c r="AV23" s="53">
        <f t="shared" si="186"/>
        <v>1106751</v>
      </c>
      <c r="AW23" s="53">
        <f t="shared" si="186"/>
        <v>1116545</v>
      </c>
      <c r="AZ23" s="2" t="s">
        <v>11</v>
      </c>
      <c r="BA23" s="2"/>
      <c r="BB23" s="53">
        <f t="shared" ref="BB23:BC23" si="187">BB12+BB20</f>
        <v>11322982</v>
      </c>
      <c r="BC23" s="53">
        <f t="shared" si="187"/>
        <v>9279675</v>
      </c>
      <c r="BD23" s="53">
        <f t="shared" ref="BD23:BE23" si="188">BD12+BD20</f>
        <v>7263616</v>
      </c>
      <c r="BE23" s="53">
        <f t="shared" si="188"/>
        <v>6965711</v>
      </c>
      <c r="BF23" s="53">
        <f t="shared" ref="BF23:BG23" si="189">BF12+BF20</f>
        <v>5651838</v>
      </c>
      <c r="BG23" s="53">
        <f t="shared" si="189"/>
        <v>5632312</v>
      </c>
      <c r="BH23" s="53">
        <f t="shared" ref="BH23" si="190">BH12+BH20</f>
        <v>5542218</v>
      </c>
      <c r="BI23" s="53">
        <f t="shared" ref="BI23:BJ23" si="191">BI12+BI20</f>
        <v>5036080</v>
      </c>
      <c r="BJ23" s="53">
        <f t="shared" si="191"/>
        <v>4315548</v>
      </c>
      <c r="BK23" s="53">
        <f t="shared" ref="BK23:BP23" si="192">BK12+BK20</f>
        <v>4461538</v>
      </c>
      <c r="BL23" s="53">
        <f t="shared" si="192"/>
        <v>3987899</v>
      </c>
      <c r="BM23" s="53">
        <f t="shared" si="192"/>
        <v>4346161</v>
      </c>
      <c r="BN23" s="53">
        <f t="shared" si="192"/>
        <v>4172284</v>
      </c>
      <c r="BO23" s="53">
        <f t="shared" si="192"/>
        <v>4092069</v>
      </c>
      <c r="BP23" s="53">
        <f t="shared" si="192"/>
        <v>3828460</v>
      </c>
      <c r="BS23" s="2" t="s">
        <v>11</v>
      </c>
      <c r="BT23" s="2"/>
      <c r="BU23" s="53">
        <f t="shared" ref="BU23" si="193">BU12+BU20</f>
        <v>3815739</v>
      </c>
      <c r="BV23" s="53">
        <f t="shared" ref="BV23:BW23" si="194">BV12+BV20</f>
        <v>3415454</v>
      </c>
      <c r="BW23" s="53">
        <f t="shared" si="194"/>
        <v>3328139</v>
      </c>
      <c r="BX23" s="53">
        <f t="shared" ref="BX23:CA23" si="195">BX12+BX20</f>
        <v>3153466</v>
      </c>
      <c r="BY23" s="53">
        <f t="shared" si="195"/>
        <v>3080726</v>
      </c>
      <c r="BZ23" s="53">
        <f t="shared" si="195"/>
        <v>3033215</v>
      </c>
      <c r="CA23" s="53">
        <f t="shared" si="195"/>
        <v>1794037</v>
      </c>
      <c r="CB23" s="53">
        <f t="shared" ref="CB23:CG23" si="196">CB12+CB20</f>
        <v>0</v>
      </c>
      <c r="CC23" s="53">
        <f t="shared" si="196"/>
        <v>0</v>
      </c>
      <c r="CD23" s="53">
        <f t="shared" si="196"/>
        <v>0</v>
      </c>
      <c r="CE23" s="53">
        <f t="shared" si="196"/>
        <v>0</v>
      </c>
      <c r="CF23" s="53">
        <f t="shared" si="196"/>
        <v>0</v>
      </c>
      <c r="CG23" s="53">
        <f t="shared" si="196"/>
        <v>0</v>
      </c>
      <c r="CJ23" s="2" t="s">
        <v>11</v>
      </c>
      <c r="CK23" s="2"/>
      <c r="CL23" s="53">
        <f t="shared" ref="CL23" si="197">CL12+CL20</f>
        <v>5407153</v>
      </c>
      <c r="CM23" s="53">
        <f t="shared" ref="CM23" si="198">CM12+CM20</f>
        <v>4806396</v>
      </c>
      <c r="CN23" s="53">
        <f t="shared" ref="CN23:CO23" si="199">CN12+CN20</f>
        <v>4359300</v>
      </c>
      <c r="CO23" s="53">
        <f t="shared" si="199"/>
        <v>3613344</v>
      </c>
      <c r="CP23" s="53">
        <f t="shared" ref="CP23" si="200">CP12+CP20</f>
        <v>3213473</v>
      </c>
      <c r="CQ23" s="53">
        <f t="shared" ref="CQ23:CR23" si="201">CQ12+CQ20</f>
        <v>3145612</v>
      </c>
      <c r="CR23" s="53">
        <f t="shared" si="201"/>
        <v>3123858</v>
      </c>
      <c r="CS23" s="53">
        <f t="shared" ref="CS23" si="202">CS12+CS20</f>
        <v>2793722</v>
      </c>
      <c r="CT23" s="53">
        <f t="shared" ref="CT23" si="203">CT12+CT20</f>
        <v>2576871</v>
      </c>
      <c r="CU23" s="53">
        <f t="shared" ref="CU23:CZ23" si="204">CU12+CU20</f>
        <v>2155889</v>
      </c>
      <c r="CV23" s="53">
        <f t="shared" si="204"/>
        <v>2291677</v>
      </c>
      <c r="CW23" s="53">
        <f t="shared" si="204"/>
        <v>2371443</v>
      </c>
      <c r="CX23" s="53">
        <f t="shared" si="204"/>
        <v>2323315</v>
      </c>
      <c r="CY23" s="53">
        <f t="shared" si="204"/>
        <v>2349740</v>
      </c>
      <c r="CZ23" s="53">
        <f t="shared" si="204"/>
        <v>2287779</v>
      </c>
      <c r="DC23" s="2" t="s">
        <v>11</v>
      </c>
      <c r="DD23" s="2"/>
      <c r="DE23" s="53">
        <f t="shared" ref="DE23:DF23" si="205">DE12+DE20</f>
        <v>4946000</v>
      </c>
      <c r="DF23" s="53">
        <f t="shared" si="205"/>
        <v>4629000</v>
      </c>
      <c r="DG23" s="53">
        <f t="shared" ref="DG23:DH23" si="206">DG12+DG20</f>
        <v>4155500</v>
      </c>
      <c r="DH23" s="53">
        <f t="shared" si="206"/>
        <v>3986300</v>
      </c>
      <c r="DI23" s="53">
        <f t="shared" ref="DI23:DJ23" si="207">DI12+DI20</f>
        <v>3601900</v>
      </c>
      <c r="DJ23" s="53">
        <f t="shared" si="207"/>
        <v>3345100</v>
      </c>
      <c r="DK23" s="53">
        <f t="shared" ref="DK23" si="208">DK12+DK20</f>
        <v>3359400</v>
      </c>
      <c r="DL23" s="53">
        <f t="shared" ref="DL23" si="209">DL12+DL20</f>
        <v>1958994</v>
      </c>
      <c r="DM23" s="53">
        <f t="shared" ref="DM23" si="210">DM12+DM20</f>
        <v>941027</v>
      </c>
      <c r="DN23" s="53">
        <f t="shared" ref="DN23:DS23" si="211">DN12+DN20</f>
        <v>937688</v>
      </c>
      <c r="DO23" s="53">
        <f t="shared" si="211"/>
        <v>899875</v>
      </c>
      <c r="DP23" s="53">
        <f t="shared" si="211"/>
        <v>906270</v>
      </c>
      <c r="DQ23" s="53">
        <f t="shared" si="211"/>
        <v>876127</v>
      </c>
      <c r="DR23" s="53">
        <f t="shared" si="211"/>
        <v>784474</v>
      </c>
      <c r="DS23" s="53">
        <f t="shared" si="211"/>
        <v>798865</v>
      </c>
      <c r="DV23" s="2" t="s">
        <v>11</v>
      </c>
      <c r="DW23" s="2"/>
      <c r="DX23" s="53">
        <f t="shared" ref="DX23:DY23" si="212">DX12+DX20</f>
        <v>4437281</v>
      </c>
      <c r="DY23" s="53">
        <f t="shared" si="212"/>
        <v>3493871</v>
      </c>
      <c r="DZ23" s="53">
        <f t="shared" ref="DZ23:EA23" si="213">DZ12+DZ20</f>
        <v>3373885</v>
      </c>
      <c r="EA23" s="53">
        <f t="shared" si="213"/>
        <v>2315408</v>
      </c>
      <c r="EB23" s="53">
        <f t="shared" ref="EB23:EC23" si="214">EB12+EB20</f>
        <v>2097245</v>
      </c>
      <c r="EC23" s="53">
        <f t="shared" si="214"/>
        <v>2034966</v>
      </c>
      <c r="ED23" s="53">
        <f t="shared" ref="ED23" si="215">ED12+ED20</f>
        <v>1791923</v>
      </c>
      <c r="EE23" s="53">
        <f t="shared" ref="EE23" si="216">EE12+EE20</f>
        <v>1507400</v>
      </c>
      <c r="EF23" s="53">
        <f t="shared" ref="EF23" si="217">EF12+EF20</f>
        <v>1337614</v>
      </c>
      <c r="EG23" s="53">
        <f t="shared" ref="EG23:EL23" si="218">EG12+EG20</f>
        <v>1048327</v>
      </c>
      <c r="EH23" s="53">
        <f t="shared" si="218"/>
        <v>910097</v>
      </c>
      <c r="EI23" s="53">
        <f t="shared" si="218"/>
        <v>857357</v>
      </c>
      <c r="EJ23" s="53">
        <f t="shared" si="218"/>
        <v>848038</v>
      </c>
      <c r="EK23" s="53">
        <f t="shared" si="218"/>
        <v>838976</v>
      </c>
      <c r="EL23" s="53">
        <f t="shared" si="218"/>
        <v>801058</v>
      </c>
      <c r="EO23" s="2" t="s">
        <v>11</v>
      </c>
      <c r="EP23" s="53">
        <f t="shared" ref="EP23:EU23" si="219">EP12+EP20</f>
        <v>340637.92499999999</v>
      </c>
      <c r="EQ23" s="53">
        <f t="shared" si="219"/>
        <v>311059.92599999998</v>
      </c>
      <c r="ER23" s="53">
        <f t="shared" si="219"/>
        <v>280707.92599999998</v>
      </c>
      <c r="ES23" s="53">
        <f t="shared" si="219"/>
        <v>247360.818</v>
      </c>
      <c r="ET23" s="53">
        <f t="shared" si="219"/>
        <v>234679.57500000001</v>
      </c>
      <c r="EU23" s="53">
        <f t="shared" si="219"/>
        <v>202008.31699999998</v>
      </c>
      <c r="EX23" s="9"/>
      <c r="EY23" s="9"/>
      <c r="EZ23" s="9"/>
      <c r="FA23" s="9"/>
      <c r="FB23" s="9"/>
      <c r="FC23" s="9"/>
      <c r="FD23" s="9"/>
      <c r="FE23" s="36"/>
      <c r="FF23" s="1"/>
      <c r="FG23" s="1"/>
      <c r="FH23" s="1"/>
    </row>
    <row r="24" spans="1:164" x14ac:dyDescent="0.25">
      <c r="A24" s="2" t="s">
        <v>12</v>
      </c>
      <c r="B24" s="53">
        <f t="shared" ref="B24" si="220">B23-B26</f>
        <v>5149304.1428571437</v>
      </c>
      <c r="C24" s="53">
        <f t="shared" ref="C24" si="221">C23-C26</f>
        <v>4381382.2857142854</v>
      </c>
      <c r="D24" s="53">
        <f t="shared" ref="D24:L24" si="222">D23-D26</f>
        <v>3818401.7142857146</v>
      </c>
      <c r="E24" s="53">
        <f t="shared" si="222"/>
        <v>3413942.8571428573</v>
      </c>
      <c r="F24" s="53">
        <f t="shared" si="222"/>
        <v>3099940.8571428573</v>
      </c>
      <c r="G24" s="53">
        <f t="shared" si="222"/>
        <v>2957032.4285714282</v>
      </c>
      <c r="H24" s="53">
        <f t="shared" si="222"/>
        <v>2668600.2857142859</v>
      </c>
      <c r="I24" s="53">
        <f t="shared" si="222"/>
        <v>2023197.7142857143</v>
      </c>
      <c r="J24" s="53">
        <f t="shared" si="222"/>
        <v>1727163.2857142857</v>
      </c>
      <c r="K24" s="53">
        <f t="shared" si="222"/>
        <v>1615772.2857142859</v>
      </c>
      <c r="L24" s="53">
        <f t="shared" si="222"/>
        <v>1518705.4285714286</v>
      </c>
      <c r="M24" s="10"/>
      <c r="N24" s="2" t="s">
        <v>12</v>
      </c>
      <c r="O24" s="2"/>
      <c r="P24" s="53">
        <f>P23-P26</f>
        <v>4148473</v>
      </c>
      <c r="Q24" s="53">
        <f>Q23-Q26</f>
        <v>3120681</v>
      </c>
      <c r="R24" s="53">
        <f t="shared" ref="R24:T24" si="223">R23-R26</f>
        <v>2612207</v>
      </c>
      <c r="S24" s="53">
        <f t="shared" ref="S24:U24" si="224">S23-S26</f>
        <v>2236979</v>
      </c>
      <c r="T24" s="53">
        <f t="shared" si="223"/>
        <v>2245296</v>
      </c>
      <c r="U24" s="53">
        <f t="shared" si="224"/>
        <v>1959945</v>
      </c>
      <c r="V24" s="53">
        <f t="shared" ref="V24:W24" si="225">V23-V26</f>
        <v>1569969</v>
      </c>
      <c r="W24" s="53">
        <f t="shared" si="225"/>
        <v>1401891</v>
      </c>
      <c r="X24" s="53">
        <f t="shared" ref="X24" si="226">X23-X26</f>
        <v>1349805</v>
      </c>
      <c r="Y24" s="53">
        <f t="shared" ref="Y24:AD24" si="227">Y23-Y26</f>
        <v>1213658</v>
      </c>
      <c r="Z24" s="53">
        <f t="shared" si="227"/>
        <v>1166415</v>
      </c>
      <c r="AA24" s="53">
        <f t="shared" si="227"/>
        <v>1155270</v>
      </c>
      <c r="AB24" s="53">
        <f t="shared" si="227"/>
        <v>1185899</v>
      </c>
      <c r="AC24" s="53">
        <f t="shared" si="227"/>
        <v>1034764</v>
      </c>
      <c r="AD24" s="53">
        <f t="shared" si="227"/>
        <v>951252</v>
      </c>
      <c r="AE24" s="10"/>
      <c r="AF24" s="10"/>
      <c r="AG24" s="2" t="s">
        <v>12</v>
      </c>
      <c r="AH24" s="2"/>
      <c r="AI24" s="53">
        <f t="shared" ref="AI24:AJ24" si="228">AI23-AI26</f>
        <v>1761716</v>
      </c>
      <c r="AJ24" s="53">
        <f t="shared" si="228"/>
        <v>1682687</v>
      </c>
      <c r="AK24" s="53">
        <f t="shared" ref="AK24:AL24" si="229">AK23-AK26</f>
        <v>1476069</v>
      </c>
      <c r="AL24" s="53">
        <f t="shared" si="229"/>
        <v>1434398</v>
      </c>
      <c r="AM24" s="53">
        <f t="shared" ref="AM24:AN24" si="230">AM23-AM26</f>
        <v>1536782</v>
      </c>
      <c r="AN24" s="53">
        <f t="shared" si="230"/>
        <v>1357579</v>
      </c>
      <c r="AO24" s="53">
        <f t="shared" ref="AO24" si="231">AO23-AO26</f>
        <v>1399097</v>
      </c>
      <c r="AP24" s="53">
        <f t="shared" ref="AP24" si="232">AP23-AP26</f>
        <v>1439930</v>
      </c>
      <c r="AQ24" s="53">
        <f t="shared" ref="AQ24" si="233">AQ23-AQ26</f>
        <v>1434024</v>
      </c>
      <c r="AR24" s="53">
        <f t="shared" ref="AR24:AW24" si="234">AR23-AR26</f>
        <v>1363988</v>
      </c>
      <c r="AS24" s="53">
        <f t="shared" si="234"/>
        <v>1291405</v>
      </c>
      <c r="AT24" s="53">
        <f t="shared" si="234"/>
        <v>1267773</v>
      </c>
      <c r="AU24" s="53">
        <f t="shared" si="234"/>
        <v>1144759</v>
      </c>
      <c r="AV24" s="53">
        <f t="shared" si="234"/>
        <v>1110253</v>
      </c>
      <c r="AW24" s="53">
        <f t="shared" si="234"/>
        <v>1118901</v>
      </c>
      <c r="AZ24" s="2" t="s">
        <v>12</v>
      </c>
      <c r="BA24" s="2"/>
      <c r="BB24" s="53">
        <f t="shared" ref="BB24:BC24" si="235">BB23-BB26</f>
        <v>11380571</v>
      </c>
      <c r="BC24" s="53">
        <f t="shared" si="235"/>
        <v>9394258</v>
      </c>
      <c r="BD24" s="53">
        <f t="shared" ref="BD24:BE24" si="236">BD23-BD26</f>
        <v>7347263</v>
      </c>
      <c r="BE24" s="53">
        <f t="shared" si="236"/>
        <v>7070965</v>
      </c>
      <c r="BF24" s="53">
        <f t="shared" ref="BF24:BG24" si="237">BF23-BF26</f>
        <v>5839860</v>
      </c>
      <c r="BG24" s="53">
        <f t="shared" si="237"/>
        <v>5741642</v>
      </c>
      <c r="BH24" s="53">
        <f t="shared" ref="BH24" si="238">BH23-BH26</f>
        <v>5554611</v>
      </c>
      <c r="BI24" s="53">
        <f t="shared" ref="BI24:BJ24" si="239">BI23-BI26</f>
        <v>4997202</v>
      </c>
      <c r="BJ24" s="53">
        <f t="shared" si="239"/>
        <v>4363155</v>
      </c>
      <c r="BK24" s="53">
        <f t="shared" ref="BK24:BP24" si="240">BK23-BK26</f>
        <v>4509998</v>
      </c>
      <c r="BL24" s="53">
        <f t="shared" si="240"/>
        <v>4011271</v>
      </c>
      <c r="BM24" s="53">
        <f t="shared" si="240"/>
        <v>4366345</v>
      </c>
      <c r="BN24" s="53">
        <f t="shared" si="240"/>
        <v>4208231</v>
      </c>
      <c r="BO24" s="53">
        <f t="shared" si="240"/>
        <v>4108267</v>
      </c>
      <c r="BP24" s="53">
        <f t="shared" si="240"/>
        <v>3872310</v>
      </c>
      <c r="BS24" s="2" t="s">
        <v>12</v>
      </c>
      <c r="BT24" s="2"/>
      <c r="BU24" s="53">
        <f t="shared" ref="BU24" si="241">BU23-BU26</f>
        <v>3823516</v>
      </c>
      <c r="BV24" s="53">
        <f t="shared" ref="BV24:BW24" si="242">BV23-BV26</f>
        <v>3422193</v>
      </c>
      <c r="BW24" s="53">
        <f t="shared" si="242"/>
        <v>3332225</v>
      </c>
      <c r="BX24" s="53">
        <f t="shared" ref="BX24:CA24" si="243">BX23-BX26</f>
        <v>3158959</v>
      </c>
      <c r="BY24" s="53">
        <f t="shared" si="243"/>
        <v>3085441</v>
      </c>
      <c r="BZ24" s="53">
        <f t="shared" si="243"/>
        <v>3037616</v>
      </c>
      <c r="CA24" s="53">
        <f t="shared" si="243"/>
        <v>1799211</v>
      </c>
      <c r="CB24" s="53">
        <f t="shared" ref="CB24:CG24" si="244">CB23-CB26</f>
        <v>0</v>
      </c>
      <c r="CC24" s="53">
        <f t="shared" si="244"/>
        <v>0</v>
      </c>
      <c r="CD24" s="53">
        <f t="shared" si="244"/>
        <v>0</v>
      </c>
      <c r="CE24" s="53">
        <f t="shared" si="244"/>
        <v>0</v>
      </c>
      <c r="CF24" s="53">
        <f t="shared" si="244"/>
        <v>0</v>
      </c>
      <c r="CG24" s="53">
        <f t="shared" si="244"/>
        <v>0</v>
      </c>
      <c r="CJ24" s="2" t="s">
        <v>12</v>
      </c>
      <c r="CK24" s="2"/>
      <c r="CL24" s="53">
        <f t="shared" ref="CL24" si="245">CL23-CL26</f>
        <v>5468156</v>
      </c>
      <c r="CM24" s="53">
        <f t="shared" ref="CM24" si="246">CM23-CM26</f>
        <v>4863128</v>
      </c>
      <c r="CN24" s="53">
        <f t="shared" ref="CN24:CO24" si="247">CN23-CN26</f>
        <v>4411968</v>
      </c>
      <c r="CO24" s="53">
        <f t="shared" si="247"/>
        <v>3661026</v>
      </c>
      <c r="CP24" s="53">
        <f t="shared" ref="CP24" si="248">CP23-CP26</f>
        <v>3261481</v>
      </c>
      <c r="CQ24" s="53">
        <f t="shared" ref="CQ24:CR24" si="249">CQ23-CQ26</f>
        <v>3195880</v>
      </c>
      <c r="CR24" s="53">
        <f t="shared" si="249"/>
        <v>3174033</v>
      </c>
      <c r="CS24" s="53">
        <f t="shared" ref="CS24" si="250">CS23-CS26</f>
        <v>2835420</v>
      </c>
      <c r="CT24" s="53">
        <f t="shared" ref="CT24" si="251">CT23-CT26</f>
        <v>2629297</v>
      </c>
      <c r="CU24" s="53">
        <f t="shared" ref="CU24:CZ24" si="252">CU23-CU26</f>
        <v>2206209</v>
      </c>
      <c r="CV24" s="53">
        <f t="shared" si="252"/>
        <v>2322926</v>
      </c>
      <c r="CW24" s="53">
        <f t="shared" si="252"/>
        <v>2393734</v>
      </c>
      <c r="CX24" s="53">
        <f t="shared" si="252"/>
        <v>2342741</v>
      </c>
      <c r="CY24" s="53">
        <f t="shared" si="252"/>
        <v>2362590</v>
      </c>
      <c r="CZ24" s="53">
        <f t="shared" si="252"/>
        <v>2301445</v>
      </c>
      <c r="DC24" s="2" t="s">
        <v>12</v>
      </c>
      <c r="DD24" s="2"/>
      <c r="DE24" s="53">
        <f t="shared" ref="DE24:DF24" si="253">DE23-DE26</f>
        <v>4987200</v>
      </c>
      <c r="DF24" s="53">
        <f t="shared" si="253"/>
        <v>4660300</v>
      </c>
      <c r="DG24" s="53">
        <f t="shared" ref="DG24:DH24" si="254">DG23-DG26</f>
        <v>4149100</v>
      </c>
      <c r="DH24" s="53">
        <f t="shared" si="254"/>
        <v>3983100</v>
      </c>
      <c r="DI24" s="53">
        <f t="shared" ref="DI24:DJ24" si="255">DI23-DI26</f>
        <v>3606100</v>
      </c>
      <c r="DJ24" s="53">
        <f t="shared" si="255"/>
        <v>3347100</v>
      </c>
      <c r="DK24" s="53">
        <f t="shared" ref="DK24" si="256">DK23-DK26</f>
        <v>3361100</v>
      </c>
      <c r="DL24" s="53">
        <f t="shared" ref="DL24" si="257">DL23-DL26</f>
        <v>1959781</v>
      </c>
      <c r="DM24" s="53">
        <f t="shared" ref="DM24" si="258">DM23-DM26</f>
        <v>945143</v>
      </c>
      <c r="DN24" s="53">
        <f t="shared" ref="DN24:DS24" si="259">DN23-DN26</f>
        <v>939788</v>
      </c>
      <c r="DO24" s="53">
        <f t="shared" si="259"/>
        <v>907012</v>
      </c>
      <c r="DP24" s="53">
        <f t="shared" si="259"/>
        <v>908436</v>
      </c>
      <c r="DQ24" s="53">
        <f t="shared" si="259"/>
        <v>871690</v>
      </c>
      <c r="DR24" s="53">
        <f t="shared" si="259"/>
        <v>782617</v>
      </c>
      <c r="DS24" s="53">
        <f t="shared" si="259"/>
        <v>795210</v>
      </c>
      <c r="DV24" s="2" t="s">
        <v>12</v>
      </c>
      <c r="DW24" s="2"/>
      <c r="DX24" s="53">
        <f t="shared" ref="DX24:DY24" si="260">DX23-DX26</f>
        <v>4475497</v>
      </c>
      <c r="DY24" s="53">
        <f t="shared" si="260"/>
        <v>3526429</v>
      </c>
      <c r="DZ24" s="53">
        <f t="shared" ref="DZ24:EA24" si="261">DZ23-DZ26</f>
        <v>3399980</v>
      </c>
      <c r="EA24" s="53">
        <f t="shared" si="261"/>
        <v>2352173</v>
      </c>
      <c r="EB24" s="53">
        <f t="shared" ref="EB24:EC24" si="262">EB23-EB26</f>
        <v>2124626</v>
      </c>
      <c r="EC24" s="53">
        <f t="shared" si="262"/>
        <v>2059465</v>
      </c>
      <c r="ED24" s="53">
        <f t="shared" ref="ED24" si="263">ED23-ED26</f>
        <v>1822181</v>
      </c>
      <c r="EE24" s="53">
        <f t="shared" ref="EE24" si="264">EE23-EE26</f>
        <v>1528160</v>
      </c>
      <c r="EF24" s="53">
        <f t="shared" ref="EF24" si="265">EF23-EF26</f>
        <v>1368719</v>
      </c>
      <c r="EG24" s="53">
        <f t="shared" ref="EG24:EL24" si="266">EG23-EG26</f>
        <v>1076765</v>
      </c>
      <c r="EH24" s="53">
        <f t="shared" si="266"/>
        <v>931909</v>
      </c>
      <c r="EI24" s="53">
        <f t="shared" si="266"/>
        <v>875863</v>
      </c>
      <c r="EJ24" s="53">
        <f t="shared" si="266"/>
        <v>872237</v>
      </c>
      <c r="EK24" s="53">
        <f t="shared" si="266"/>
        <v>849291</v>
      </c>
      <c r="EL24" s="53">
        <f t="shared" si="266"/>
        <v>808849</v>
      </c>
      <c r="EO24" s="2" t="s">
        <v>12</v>
      </c>
      <c r="EP24" s="53">
        <f t="shared" ref="EP24:EU24" si="267">EP23-EP26</f>
        <v>340637.92499999999</v>
      </c>
      <c r="EQ24" s="53">
        <f t="shared" si="267"/>
        <v>311059.92599999998</v>
      </c>
      <c r="ER24" s="53">
        <f t="shared" si="267"/>
        <v>280707.92599999998</v>
      </c>
      <c r="ES24" s="53">
        <f t="shared" si="267"/>
        <v>247360.818</v>
      </c>
      <c r="ET24" s="53">
        <f t="shared" si="267"/>
        <v>234679.57500000001</v>
      </c>
      <c r="EU24" s="53">
        <f t="shared" si="267"/>
        <v>202008.31699999998</v>
      </c>
      <c r="EX24" s="9"/>
      <c r="EY24" s="9"/>
      <c r="EZ24" s="9"/>
      <c r="FA24" s="9"/>
      <c r="FB24" s="9"/>
      <c r="FC24" s="9"/>
      <c r="FD24" s="9"/>
      <c r="FE24" s="36"/>
      <c r="FF24" s="1"/>
      <c r="FG24" s="1"/>
      <c r="FH24" s="1"/>
    </row>
    <row r="25" spans="1:164" x14ac:dyDescent="0.25">
      <c r="A25" s="1"/>
      <c r="M25" s="10"/>
      <c r="N25" s="1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Z25" s="1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S25" s="1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J25" s="1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C25" s="1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V25" s="1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P25" s="10"/>
      <c r="EQ25" s="10"/>
      <c r="ER25" s="10"/>
      <c r="ES25" s="10"/>
      <c r="ET25" s="10"/>
      <c r="EU25" s="10"/>
      <c r="EX25" s="9"/>
      <c r="EY25" s="9"/>
      <c r="EZ25" s="9"/>
      <c r="FA25" s="9"/>
      <c r="FB25" s="9"/>
      <c r="FC25" s="9"/>
      <c r="FD25" s="9"/>
      <c r="FE25" s="36"/>
      <c r="FF25" s="1"/>
      <c r="FG25" s="1"/>
      <c r="FH25" s="1"/>
    </row>
    <row r="26" spans="1:164" x14ac:dyDescent="0.25">
      <c r="A26" s="2" t="s">
        <v>46</v>
      </c>
      <c r="B26" s="53">
        <f t="shared" ref="B26" si="268">B19</f>
        <v>-37571.714285714283</v>
      </c>
      <c r="C26" s="53">
        <f t="shared" ref="C26" si="269">C19</f>
        <v>-40633.142857142855</v>
      </c>
      <c r="D26" s="53">
        <f t="shared" ref="D26:L26" si="270">D19</f>
        <v>-25699.142857142859</v>
      </c>
      <c r="E26" s="53">
        <f t="shared" si="270"/>
        <v>-29098.285714285714</v>
      </c>
      <c r="F26" s="53">
        <f t="shared" si="270"/>
        <v>-42061.714285714283</v>
      </c>
      <c r="G26" s="53">
        <f t="shared" si="270"/>
        <v>-29579.142857142859</v>
      </c>
      <c r="H26" s="53">
        <f t="shared" si="270"/>
        <v>-16481.428571428572</v>
      </c>
      <c r="I26" s="53">
        <f t="shared" si="270"/>
        <v>-4620.8571428571431</v>
      </c>
      <c r="J26" s="53">
        <f t="shared" si="270"/>
        <v>-22188</v>
      </c>
      <c r="K26" s="53">
        <f t="shared" si="270"/>
        <v>-21103.142857142859</v>
      </c>
      <c r="L26" s="53">
        <f t="shared" si="270"/>
        <v>-14597.285714285714</v>
      </c>
      <c r="M26" s="10"/>
      <c r="N26" s="2" t="s">
        <v>46</v>
      </c>
      <c r="O26" s="2"/>
      <c r="P26" s="53">
        <f>P19</f>
        <v>-44315</v>
      </c>
      <c r="Q26" s="53">
        <f>Q19</f>
        <v>-31787</v>
      </c>
      <c r="R26" s="53">
        <f t="shared" ref="R26:S26" si="271">R19</f>
        <v>-12610</v>
      </c>
      <c r="S26" s="53">
        <f t="shared" si="271"/>
        <v>-3256</v>
      </c>
      <c r="T26" s="53">
        <f t="shared" ref="T26:U26" si="272">T19</f>
        <v>-15155</v>
      </c>
      <c r="U26" s="53">
        <f t="shared" si="272"/>
        <v>-9394</v>
      </c>
      <c r="V26" s="53">
        <f t="shared" ref="V26:W26" si="273">V19</f>
        <v>-5594</v>
      </c>
      <c r="W26" s="53">
        <f t="shared" si="273"/>
        <v>-1621</v>
      </c>
      <c r="X26" s="53">
        <f t="shared" ref="X26" si="274">X19</f>
        <v>-10771</v>
      </c>
      <c r="Y26" s="53">
        <f t="shared" ref="Y26:AD26" si="275">Y19</f>
        <v>-10604</v>
      </c>
      <c r="Z26" s="53">
        <f t="shared" si="275"/>
        <v>-12007</v>
      </c>
      <c r="AA26" s="53">
        <f t="shared" si="275"/>
        <v>-10052</v>
      </c>
      <c r="AB26" s="53">
        <f t="shared" si="275"/>
        <v>-2714</v>
      </c>
      <c r="AC26" s="53">
        <f t="shared" si="275"/>
        <v>-931</v>
      </c>
      <c r="AD26" s="53">
        <f t="shared" si="275"/>
        <v>2742</v>
      </c>
      <c r="AE26" s="10"/>
      <c r="AF26" s="10"/>
      <c r="AG26" s="2" t="s">
        <v>46</v>
      </c>
      <c r="AH26" s="2"/>
      <c r="AI26" s="53">
        <f t="shared" ref="AI26:AJ26" si="276">AI19</f>
        <v>-12902</v>
      </c>
      <c r="AJ26" s="53">
        <f t="shared" si="276"/>
        <v>-10733</v>
      </c>
      <c r="AK26" s="53">
        <f t="shared" ref="AK26:AL26" si="277">AK19</f>
        <v>-7188</v>
      </c>
      <c r="AL26" s="53">
        <f t="shared" si="277"/>
        <v>-8438</v>
      </c>
      <c r="AM26" s="53">
        <f t="shared" ref="AM26:AN26" si="278">AM19</f>
        <v>-6951</v>
      </c>
      <c r="AN26" s="53">
        <f t="shared" si="278"/>
        <v>-7162</v>
      </c>
      <c r="AO26" s="53">
        <f t="shared" ref="AO26" si="279">AO19</f>
        <v>-10076</v>
      </c>
      <c r="AP26" s="53">
        <f t="shared" ref="AP26" si="280">AP19</f>
        <v>-6358</v>
      </c>
      <c r="AQ26" s="53">
        <f t="shared" ref="AQ26" si="281">AQ19</f>
        <v>-9291</v>
      </c>
      <c r="AR26" s="53">
        <f t="shared" ref="AR26:AW26" si="282">AR19</f>
        <v>-7800</v>
      </c>
      <c r="AS26" s="53">
        <f t="shared" si="282"/>
        <v>-6604</v>
      </c>
      <c r="AT26" s="53">
        <f t="shared" si="282"/>
        <v>-5968</v>
      </c>
      <c r="AU26" s="53">
        <f t="shared" si="282"/>
        <v>-4386</v>
      </c>
      <c r="AV26" s="53">
        <f t="shared" si="282"/>
        <v>-3502</v>
      </c>
      <c r="AW26" s="53">
        <f t="shared" si="282"/>
        <v>-2356</v>
      </c>
      <c r="AZ26" s="2" t="s">
        <v>46</v>
      </c>
      <c r="BA26" s="2"/>
      <c r="BB26" s="53">
        <f t="shared" ref="BB26:BC26" si="283">BB19</f>
        <v>-57589</v>
      </c>
      <c r="BC26" s="53">
        <f t="shared" si="283"/>
        <v>-114583</v>
      </c>
      <c r="BD26" s="53">
        <f t="shared" ref="BD26:BE26" si="284">BD19</f>
        <v>-83647</v>
      </c>
      <c r="BE26" s="53">
        <f t="shared" si="284"/>
        <v>-105254</v>
      </c>
      <c r="BF26" s="53">
        <f t="shared" ref="BF26" si="285">BF19</f>
        <v>-188022</v>
      </c>
      <c r="BG26" s="53">
        <f t="shared" ref="BG26:BH26" si="286">BG19</f>
        <v>-109330</v>
      </c>
      <c r="BH26" s="53">
        <f t="shared" si="286"/>
        <v>-12393</v>
      </c>
      <c r="BI26" s="53">
        <f t="shared" ref="BI26:BP26" si="287">BI19</f>
        <v>38878</v>
      </c>
      <c r="BJ26" s="53">
        <f t="shared" ref="BJ26" si="288">BJ19</f>
        <v>-47607</v>
      </c>
      <c r="BK26" s="53">
        <f t="shared" si="287"/>
        <v>-48460</v>
      </c>
      <c r="BL26" s="53">
        <f t="shared" si="287"/>
        <v>-23372</v>
      </c>
      <c r="BM26" s="53">
        <f t="shared" si="287"/>
        <v>-20184</v>
      </c>
      <c r="BN26" s="53">
        <f t="shared" si="287"/>
        <v>-35947</v>
      </c>
      <c r="BO26" s="53">
        <f t="shared" si="287"/>
        <v>-16198</v>
      </c>
      <c r="BP26" s="53">
        <f t="shared" si="287"/>
        <v>-43850</v>
      </c>
      <c r="BS26" s="2" t="s">
        <v>46</v>
      </c>
      <c r="BT26" s="2"/>
      <c r="BU26" s="53">
        <f t="shared" ref="BU26" si="289">BU19</f>
        <v>-7777</v>
      </c>
      <c r="BV26" s="53">
        <f t="shared" ref="BV26:BW26" si="290">BV19</f>
        <v>-6739</v>
      </c>
      <c r="BW26" s="53">
        <f t="shared" si="290"/>
        <v>-4086</v>
      </c>
      <c r="BX26" s="53">
        <f t="shared" ref="BX26:CA26" si="291">BX19</f>
        <v>-5493</v>
      </c>
      <c r="BY26" s="53">
        <f t="shared" si="291"/>
        <v>-4715</v>
      </c>
      <c r="BZ26" s="53">
        <f t="shared" si="291"/>
        <v>-4401</v>
      </c>
      <c r="CA26" s="53">
        <f t="shared" si="291"/>
        <v>-5174</v>
      </c>
      <c r="CB26" s="53">
        <f t="shared" ref="CB26:CG26" si="292">CB19</f>
        <v>0</v>
      </c>
      <c r="CC26" s="53">
        <f t="shared" si="292"/>
        <v>0</v>
      </c>
      <c r="CD26" s="53">
        <f t="shared" si="292"/>
        <v>0</v>
      </c>
      <c r="CE26" s="53">
        <f t="shared" si="292"/>
        <v>0</v>
      </c>
      <c r="CF26" s="53">
        <f t="shared" si="292"/>
        <v>0</v>
      </c>
      <c r="CG26" s="53">
        <f t="shared" si="292"/>
        <v>0</v>
      </c>
      <c r="CJ26" s="2" t="s">
        <v>46</v>
      </c>
      <c r="CK26" s="2"/>
      <c r="CL26" s="53">
        <f t="shared" ref="CL26" si="293">CL19</f>
        <v>-61003</v>
      </c>
      <c r="CM26" s="53">
        <f t="shared" ref="CM26" si="294">CM19</f>
        <v>-56732</v>
      </c>
      <c r="CN26" s="53">
        <f t="shared" ref="CN26:CO26" si="295">CN19</f>
        <v>-52668</v>
      </c>
      <c r="CO26" s="53">
        <f t="shared" si="295"/>
        <v>-47682</v>
      </c>
      <c r="CP26" s="53">
        <f t="shared" ref="CP26" si="296">CP19</f>
        <v>-48008</v>
      </c>
      <c r="CQ26" s="53">
        <f t="shared" ref="CQ26:CR26" si="297">CQ19</f>
        <v>-50268</v>
      </c>
      <c r="CR26" s="53">
        <f t="shared" si="297"/>
        <v>-50175</v>
      </c>
      <c r="CS26" s="53">
        <f t="shared" ref="CS26" si="298">CS19</f>
        <v>-41698</v>
      </c>
      <c r="CT26" s="53">
        <f t="shared" ref="CT26" si="299">CT19</f>
        <v>-52426</v>
      </c>
      <c r="CU26" s="53">
        <f t="shared" ref="CU26:CZ26" si="300">CU19</f>
        <v>-50320</v>
      </c>
      <c r="CV26" s="53">
        <f t="shared" si="300"/>
        <v>-31249</v>
      </c>
      <c r="CW26" s="53">
        <f t="shared" si="300"/>
        <v>-22291</v>
      </c>
      <c r="CX26" s="53">
        <f t="shared" si="300"/>
        <v>-19426</v>
      </c>
      <c r="CY26" s="53">
        <f t="shared" si="300"/>
        <v>-12850</v>
      </c>
      <c r="CZ26" s="53">
        <f t="shared" si="300"/>
        <v>-13666</v>
      </c>
      <c r="DC26" s="2" t="s">
        <v>46</v>
      </c>
      <c r="DD26" s="2"/>
      <c r="DE26" s="53">
        <f t="shared" ref="DE26:DF26" si="301">DE19</f>
        <v>-41200</v>
      </c>
      <c r="DF26" s="53">
        <f t="shared" si="301"/>
        <v>-31300</v>
      </c>
      <c r="DG26" s="53">
        <f t="shared" ref="DG26:DH26" si="302">DG19</f>
        <v>6400</v>
      </c>
      <c r="DH26" s="53">
        <f t="shared" si="302"/>
        <v>3200</v>
      </c>
      <c r="DI26" s="53">
        <f t="shared" ref="DI26:DJ26" si="303">DI19</f>
        <v>-4200</v>
      </c>
      <c r="DJ26" s="53">
        <f t="shared" si="303"/>
        <v>-2000</v>
      </c>
      <c r="DK26" s="53">
        <f t="shared" ref="DK26" si="304">DK19</f>
        <v>-1700</v>
      </c>
      <c r="DL26" s="53">
        <f t="shared" ref="DL26" si="305">DL19</f>
        <v>-787</v>
      </c>
      <c r="DM26" s="53">
        <f t="shared" ref="DM26" si="306">DM19</f>
        <v>-4116</v>
      </c>
      <c r="DN26" s="53">
        <f t="shared" ref="DN26:DS26" si="307">DN19</f>
        <v>-2100</v>
      </c>
      <c r="DO26" s="53">
        <f t="shared" si="307"/>
        <v>-7137</v>
      </c>
      <c r="DP26" s="53">
        <f t="shared" si="307"/>
        <v>-2166</v>
      </c>
      <c r="DQ26" s="53">
        <f t="shared" si="307"/>
        <v>4437</v>
      </c>
      <c r="DR26" s="53">
        <f t="shared" si="307"/>
        <v>1857</v>
      </c>
      <c r="DS26" s="53">
        <f t="shared" si="307"/>
        <v>3655</v>
      </c>
      <c r="DV26" s="2" t="s">
        <v>46</v>
      </c>
      <c r="DW26" s="2"/>
      <c r="DX26" s="53">
        <f t="shared" ref="DX26:DY26" si="308">DX19</f>
        <v>-38216</v>
      </c>
      <c r="DY26" s="53">
        <f t="shared" si="308"/>
        <v>-32558</v>
      </c>
      <c r="DZ26" s="53">
        <f t="shared" ref="DZ26:EA26" si="309">DZ19</f>
        <v>-26095</v>
      </c>
      <c r="EA26" s="53">
        <f t="shared" si="309"/>
        <v>-36765</v>
      </c>
      <c r="EB26" s="53">
        <f t="shared" ref="EB26:EC26" si="310">EB19</f>
        <v>-27381</v>
      </c>
      <c r="EC26" s="53">
        <f t="shared" si="310"/>
        <v>-24499</v>
      </c>
      <c r="ED26" s="53">
        <f t="shared" ref="ED26" si="311">ED19</f>
        <v>-30258</v>
      </c>
      <c r="EE26" s="53">
        <f t="shared" ref="EE26" si="312">EE19</f>
        <v>-20760</v>
      </c>
      <c r="EF26" s="53">
        <f t="shared" ref="EF26" si="313">EF19</f>
        <v>-31105</v>
      </c>
      <c r="EG26" s="53">
        <f t="shared" ref="EG26:EL26" si="314">EG19</f>
        <v>-28438</v>
      </c>
      <c r="EH26" s="53">
        <f t="shared" si="314"/>
        <v>-21812</v>
      </c>
      <c r="EI26" s="53">
        <f t="shared" si="314"/>
        <v>-18506</v>
      </c>
      <c r="EJ26" s="53">
        <f t="shared" si="314"/>
        <v>-24199</v>
      </c>
      <c r="EK26" s="53">
        <f t="shared" si="314"/>
        <v>-10315</v>
      </c>
      <c r="EL26" s="53">
        <f t="shared" si="314"/>
        <v>-7791</v>
      </c>
      <c r="EO26" s="2" t="s">
        <v>46</v>
      </c>
      <c r="EP26" s="53">
        <f t="shared" ref="EP26:EU26" si="315">EP19</f>
        <v>0</v>
      </c>
      <c r="EQ26" s="53">
        <f t="shared" si="315"/>
        <v>0</v>
      </c>
      <c r="ER26" s="53">
        <f t="shared" si="315"/>
        <v>0</v>
      </c>
      <c r="ES26" s="53">
        <f t="shared" si="315"/>
        <v>0</v>
      </c>
      <c r="ET26" s="53">
        <f t="shared" si="315"/>
        <v>0</v>
      </c>
      <c r="EU26" s="53">
        <f t="shared" si="315"/>
        <v>0</v>
      </c>
      <c r="EX26" s="9"/>
      <c r="EY26" s="9"/>
      <c r="EZ26" s="9"/>
      <c r="FA26" s="9"/>
      <c r="FB26" s="9"/>
      <c r="FC26" s="9"/>
      <c r="FD26" s="9"/>
      <c r="FE26" s="36"/>
      <c r="FF26" s="1"/>
      <c r="FG26" s="1"/>
      <c r="FH26" s="1"/>
    </row>
    <row r="27" spans="1:164" x14ac:dyDescent="0.25">
      <c r="L27" s="10"/>
      <c r="M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CC27" s="10"/>
      <c r="CD27" s="10"/>
      <c r="CE27" s="10"/>
      <c r="CF27" s="10"/>
      <c r="CG27" s="10"/>
      <c r="CP27" s="10"/>
      <c r="CQ27" s="10"/>
      <c r="CR27" s="10"/>
      <c r="CS27" s="10"/>
      <c r="CT27" s="10"/>
      <c r="CV27" s="10"/>
      <c r="CW27" s="10"/>
      <c r="CX27" s="10"/>
      <c r="CY27" s="10"/>
      <c r="CZ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EB27" s="10"/>
      <c r="EC27" s="10"/>
      <c r="ED27" s="10"/>
      <c r="EE27" s="10"/>
      <c r="EF27" s="10"/>
      <c r="EH27" s="10"/>
      <c r="EI27" s="10"/>
      <c r="EJ27" s="10"/>
      <c r="EK27" s="10"/>
      <c r="EL27" s="10"/>
      <c r="EO27" s="2" t="s">
        <v>164</v>
      </c>
      <c r="EP27" s="53">
        <v>0</v>
      </c>
      <c r="EQ27" s="53">
        <v>0</v>
      </c>
      <c r="ER27" s="53">
        <v>0</v>
      </c>
      <c r="ES27" s="53">
        <v>0</v>
      </c>
      <c r="ET27" s="53">
        <v>0</v>
      </c>
      <c r="EU27" s="53">
        <v>0</v>
      </c>
      <c r="EX27" s="9"/>
      <c r="EY27" s="9"/>
      <c r="EZ27" s="9"/>
      <c r="FA27" s="9"/>
      <c r="FB27" s="9"/>
      <c r="FC27" s="9"/>
      <c r="FD27" s="9"/>
      <c r="FE27" s="36"/>
      <c r="FF27" s="1"/>
      <c r="FG27" s="1"/>
      <c r="FH27" s="1"/>
    </row>
    <row r="28" spans="1:164" x14ac:dyDescent="0.25">
      <c r="F28" s="134"/>
      <c r="G28" s="134"/>
      <c r="H28" s="134"/>
      <c r="I28" s="134"/>
      <c r="J28" s="134"/>
      <c r="K28" s="134"/>
      <c r="L28" s="134"/>
      <c r="M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CC28" s="10"/>
      <c r="CD28" s="10"/>
      <c r="CE28" s="10"/>
      <c r="CF28" s="10"/>
      <c r="CG28" s="10"/>
      <c r="CP28" s="10"/>
      <c r="CQ28" s="10"/>
      <c r="CR28" s="10"/>
      <c r="CS28" s="10"/>
      <c r="CT28" s="10"/>
      <c r="CV28" s="10"/>
      <c r="CW28" s="10"/>
      <c r="CX28" s="10"/>
      <c r="CY28" s="10"/>
      <c r="CZ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EB28" s="10"/>
      <c r="EC28" s="10"/>
      <c r="ED28" s="10"/>
      <c r="EE28" s="10"/>
      <c r="EF28" s="10"/>
      <c r="EH28" s="10"/>
      <c r="EI28" s="10"/>
      <c r="EJ28" s="10"/>
      <c r="EK28" s="10"/>
      <c r="EL28" s="10"/>
      <c r="ET28" s="10"/>
      <c r="EU28" s="10"/>
      <c r="EX28" s="9"/>
      <c r="EY28" s="9"/>
      <c r="EZ28" s="9"/>
      <c r="FA28" s="9"/>
      <c r="FB28" s="9"/>
      <c r="FC28" s="9"/>
      <c r="FD28" s="9"/>
      <c r="FE28" s="1"/>
      <c r="FF28" s="1"/>
      <c r="FG28" s="1"/>
      <c r="FH28" s="1"/>
    </row>
    <row r="29" spans="1:164" x14ac:dyDescent="0.25">
      <c r="F29" s="82" t="str">
        <f>F8</f>
        <v>Gas LDC Proxy Group Average</v>
      </c>
      <c r="K29" s="82"/>
      <c r="L29" s="38"/>
      <c r="M29" s="10"/>
      <c r="T29" s="192" t="str">
        <f>U8</f>
        <v>New Jersey Resources, Corp.</v>
      </c>
      <c r="U29" s="192"/>
      <c r="V29" s="192"/>
      <c r="W29" s="192"/>
      <c r="X29" s="192"/>
      <c r="Y29" s="10"/>
      <c r="AE29" s="10"/>
      <c r="AF29" s="10"/>
      <c r="AM29" s="192" t="str">
        <f>AM8</f>
        <v>Northwest Natural Gas Co.</v>
      </c>
      <c r="AN29" s="192"/>
      <c r="AO29" s="192"/>
      <c r="AP29" s="192"/>
      <c r="AQ29" s="192"/>
      <c r="AR29" s="10"/>
      <c r="BF29" s="193" t="s">
        <v>49</v>
      </c>
      <c r="BG29" s="193"/>
      <c r="BH29" s="193"/>
      <c r="BI29" s="193"/>
      <c r="BJ29" s="193"/>
      <c r="BK29" s="10"/>
      <c r="BL29" s="192">
        <f>BL8</f>
        <v>0</v>
      </c>
      <c r="BM29" s="192"/>
      <c r="BN29" s="192"/>
      <c r="BO29" s="192"/>
      <c r="BP29" s="192"/>
      <c r="BY29" s="192" t="str">
        <f>BY8</f>
        <v>ONE Gas Inc.</v>
      </c>
      <c r="BZ29" s="192"/>
      <c r="CA29" s="192"/>
      <c r="CB29" s="133"/>
      <c r="CC29" s="133"/>
      <c r="CP29" s="192" t="str">
        <f>CP8</f>
        <v>Southwest Gas Corp.</v>
      </c>
      <c r="CQ29" s="192"/>
      <c r="CR29" s="192"/>
      <c r="CS29" s="192"/>
      <c r="CT29" s="192"/>
      <c r="DI29" s="192" t="str">
        <f>DI8</f>
        <v>Spire, Inc.</v>
      </c>
      <c r="DJ29" s="192"/>
      <c r="DK29" s="192"/>
      <c r="DL29" s="192"/>
      <c r="DM29" s="192"/>
      <c r="DN29" s="10"/>
      <c r="EC29" s="132" t="s">
        <v>51</v>
      </c>
      <c r="ED29" s="132"/>
      <c r="EE29" s="133"/>
      <c r="EF29" s="133"/>
      <c r="ES29" s="169" t="s">
        <v>163</v>
      </c>
      <c r="EU29" s="10"/>
      <c r="EX29" s="9"/>
      <c r="EY29" s="9"/>
      <c r="EZ29" s="190"/>
      <c r="FA29" s="190"/>
      <c r="FB29" s="190"/>
      <c r="FC29" s="190"/>
      <c r="FD29" s="190"/>
      <c r="FE29" s="1"/>
      <c r="FF29" s="1"/>
      <c r="FG29" s="1"/>
      <c r="FH29" s="1"/>
    </row>
    <row r="30" spans="1:164" x14ac:dyDescent="0.25">
      <c r="A30" s="83" t="s">
        <v>14</v>
      </c>
      <c r="B30" s="54">
        <v>2020</v>
      </c>
      <c r="C30" s="54">
        <v>2019</v>
      </c>
      <c r="D30" s="54">
        <f>D9</f>
        <v>2018</v>
      </c>
      <c r="E30" s="54">
        <f>E9</f>
        <v>2017</v>
      </c>
      <c r="F30" s="54">
        <f>F9</f>
        <v>2016</v>
      </c>
      <c r="G30" s="54">
        <f>G9</f>
        <v>2015</v>
      </c>
      <c r="H30" s="54">
        <f>H9</f>
        <v>2014</v>
      </c>
      <c r="I30" s="54">
        <v>2013</v>
      </c>
      <c r="J30" s="54">
        <v>2012</v>
      </c>
      <c r="K30" s="39">
        <v>2011</v>
      </c>
      <c r="L30" s="41">
        <f>L9</f>
        <v>2010</v>
      </c>
      <c r="M30" s="10"/>
      <c r="N30" s="83" t="s">
        <v>14</v>
      </c>
      <c r="P30" s="54">
        <v>2020</v>
      </c>
      <c r="Q30" s="39">
        <v>2019</v>
      </c>
      <c r="R30" s="39">
        <v>2018</v>
      </c>
      <c r="S30" s="39">
        <v>2017</v>
      </c>
      <c r="T30" s="39">
        <v>2016</v>
      </c>
      <c r="U30" s="39">
        <v>2015</v>
      </c>
      <c r="V30" s="39">
        <v>2014</v>
      </c>
      <c r="W30" s="39">
        <v>2013</v>
      </c>
      <c r="X30" s="39">
        <v>2012</v>
      </c>
      <c r="Y30" s="39">
        <v>2011</v>
      </c>
      <c r="Z30" s="84">
        <f>Z9</f>
        <v>2010</v>
      </c>
      <c r="AA30" s="84">
        <f>AA9</f>
        <v>2009</v>
      </c>
      <c r="AB30" s="84">
        <f>AB9</f>
        <v>2008</v>
      </c>
      <c r="AC30" s="84">
        <f>AC9</f>
        <v>2007</v>
      </c>
      <c r="AD30" s="84">
        <f>AD9</f>
        <v>2006</v>
      </c>
      <c r="AE30" s="10"/>
      <c r="AF30" s="10"/>
      <c r="AG30" s="83" t="s">
        <v>14</v>
      </c>
      <c r="AI30" s="54">
        <v>2020</v>
      </c>
      <c r="AJ30" s="54">
        <v>2019</v>
      </c>
      <c r="AK30" s="54">
        <v>2018</v>
      </c>
      <c r="AL30" s="54">
        <v>2017</v>
      </c>
      <c r="AM30" s="54">
        <v>2016</v>
      </c>
      <c r="AN30" s="54">
        <v>2015</v>
      </c>
      <c r="AO30" s="54">
        <v>2014</v>
      </c>
      <c r="AP30" s="54">
        <v>2013</v>
      </c>
      <c r="AQ30" s="85">
        <v>2012</v>
      </c>
      <c r="AR30" s="39">
        <v>2011</v>
      </c>
      <c r="AS30" s="84">
        <f>AS9</f>
        <v>2010</v>
      </c>
      <c r="AT30" s="84">
        <f>AT9</f>
        <v>2009</v>
      </c>
      <c r="AU30" s="84">
        <f>AU9</f>
        <v>2008</v>
      </c>
      <c r="AV30" s="84">
        <f>AV9</f>
        <v>2007</v>
      </c>
      <c r="AW30" s="84">
        <f>AW9</f>
        <v>2006</v>
      </c>
      <c r="AZ30" s="83" t="s">
        <v>14</v>
      </c>
      <c r="BB30" s="54">
        <v>2020</v>
      </c>
      <c r="BC30" s="54">
        <f>BC9</f>
        <v>2019</v>
      </c>
      <c r="BD30" s="54">
        <f>BD9</f>
        <v>2018</v>
      </c>
      <c r="BE30" s="54">
        <f>BE9</f>
        <v>2017</v>
      </c>
      <c r="BF30" s="81">
        <v>2016</v>
      </c>
      <c r="BG30" s="81">
        <v>2015</v>
      </c>
      <c r="BH30" s="81">
        <v>2014</v>
      </c>
      <c r="BI30" s="81">
        <v>2013</v>
      </c>
      <c r="BJ30" s="81">
        <v>2012</v>
      </c>
      <c r="BK30" s="39">
        <v>2011</v>
      </c>
      <c r="BL30" s="84">
        <f>BL9</f>
        <v>2010</v>
      </c>
      <c r="BM30" s="84">
        <f>BM9</f>
        <v>2009</v>
      </c>
      <c r="BN30" s="84">
        <f>BN9</f>
        <v>2008</v>
      </c>
      <c r="BO30" s="84">
        <f>BO9</f>
        <v>2007</v>
      </c>
      <c r="BP30" s="84">
        <f>BP9</f>
        <v>2006</v>
      </c>
      <c r="BS30" s="83" t="s">
        <v>14</v>
      </c>
      <c r="BU30" s="54">
        <v>2020</v>
      </c>
      <c r="BV30" s="54">
        <v>2019</v>
      </c>
      <c r="BW30" s="54">
        <v>2018</v>
      </c>
      <c r="BX30" s="54">
        <v>2017</v>
      </c>
      <c r="BY30" s="54">
        <v>2016</v>
      </c>
      <c r="BZ30" s="54">
        <v>2015</v>
      </c>
      <c r="CA30" s="54">
        <v>2014</v>
      </c>
      <c r="CB30" s="39">
        <v>2013</v>
      </c>
      <c r="CC30" s="39">
        <v>2012</v>
      </c>
      <c r="CD30" s="39">
        <v>2011</v>
      </c>
      <c r="CE30" s="39">
        <v>2008</v>
      </c>
      <c r="CF30" s="39">
        <v>2007</v>
      </c>
      <c r="CG30" s="39">
        <v>2006</v>
      </c>
      <c r="CJ30" s="83" t="s">
        <v>14</v>
      </c>
      <c r="CL30" s="54">
        <f>CL9</f>
        <v>2020</v>
      </c>
      <c r="CM30" s="54">
        <f>CM9</f>
        <v>2019</v>
      </c>
      <c r="CN30" s="54">
        <f>CN9</f>
        <v>2018</v>
      </c>
      <c r="CO30" s="54">
        <v>2017</v>
      </c>
      <c r="CP30" s="54">
        <f>CP9</f>
        <v>2016</v>
      </c>
      <c r="CQ30" s="54">
        <v>2015</v>
      </c>
      <c r="CR30" s="54">
        <v>2014</v>
      </c>
      <c r="CS30" s="54">
        <v>2013</v>
      </c>
      <c r="CT30" s="54">
        <v>2012</v>
      </c>
      <c r="CU30" s="39">
        <v>2011</v>
      </c>
      <c r="CV30" s="84">
        <f>CV9</f>
        <v>2010</v>
      </c>
      <c r="CW30" s="84">
        <f>CW9</f>
        <v>2009</v>
      </c>
      <c r="CX30" s="84">
        <f>CX9</f>
        <v>2008</v>
      </c>
      <c r="CY30" s="84">
        <f>CY9</f>
        <v>2007</v>
      </c>
      <c r="CZ30" s="84">
        <f>CZ9</f>
        <v>2006</v>
      </c>
      <c r="DC30" s="83" t="s">
        <v>14</v>
      </c>
      <c r="DE30" s="54">
        <f>DE9</f>
        <v>2020</v>
      </c>
      <c r="DF30" s="54">
        <f>DF9</f>
        <v>2019</v>
      </c>
      <c r="DG30" s="54">
        <f>DG9</f>
        <v>2018</v>
      </c>
      <c r="DH30" s="54">
        <v>2017</v>
      </c>
      <c r="DI30" s="54">
        <f>DI9</f>
        <v>2016</v>
      </c>
      <c r="DJ30" s="54">
        <v>2015</v>
      </c>
      <c r="DK30" s="54">
        <v>2014</v>
      </c>
      <c r="DL30" s="54">
        <v>2013</v>
      </c>
      <c r="DM30" s="54">
        <v>2012</v>
      </c>
      <c r="DN30" s="39">
        <v>2011</v>
      </c>
      <c r="DO30" s="84">
        <f>DO9</f>
        <v>2010</v>
      </c>
      <c r="DP30" s="84">
        <f>DP9</f>
        <v>2009</v>
      </c>
      <c r="DQ30" s="84">
        <f>DQ9</f>
        <v>2008</v>
      </c>
      <c r="DR30" s="84">
        <f>DR9</f>
        <v>2007</v>
      </c>
      <c r="DS30" s="84">
        <f>DS9</f>
        <v>2006</v>
      </c>
      <c r="DV30" s="83" t="s">
        <v>14</v>
      </c>
      <c r="DX30" s="54">
        <v>2020</v>
      </c>
      <c r="DY30" s="54">
        <v>2019</v>
      </c>
      <c r="DZ30" s="54">
        <v>2018</v>
      </c>
      <c r="EA30" s="54">
        <v>2017</v>
      </c>
      <c r="EB30" s="54">
        <v>2016</v>
      </c>
      <c r="EC30" s="54">
        <v>2015</v>
      </c>
      <c r="ED30" s="54">
        <v>2014</v>
      </c>
      <c r="EE30" s="54">
        <v>2013</v>
      </c>
      <c r="EF30" s="54">
        <v>2012</v>
      </c>
      <c r="EG30" s="39">
        <v>2011</v>
      </c>
      <c r="EH30" s="84">
        <f>EH9</f>
        <v>2010</v>
      </c>
      <c r="EI30" s="84">
        <f>EI9</f>
        <v>2009</v>
      </c>
      <c r="EJ30" s="84">
        <f>EJ9</f>
        <v>2008</v>
      </c>
      <c r="EK30" s="84">
        <f>EK9</f>
        <v>2007</v>
      </c>
      <c r="EL30" s="84">
        <f>EL9</f>
        <v>2006</v>
      </c>
      <c r="EO30" s="83" t="s">
        <v>89</v>
      </c>
      <c r="EP30" s="54">
        <v>2020</v>
      </c>
      <c r="EQ30" s="54">
        <v>2019</v>
      </c>
      <c r="ER30" s="54">
        <v>2018</v>
      </c>
      <c r="ES30" s="54">
        <v>2017</v>
      </c>
      <c r="ET30" s="54">
        <f>ET9</f>
        <v>2016</v>
      </c>
      <c r="EU30" s="54">
        <v>2015</v>
      </c>
      <c r="EX30" s="61"/>
      <c r="EY30" s="16"/>
      <c r="EZ30" s="126"/>
      <c r="FA30" s="126"/>
      <c r="FB30" s="126"/>
      <c r="FC30" s="126"/>
      <c r="FD30" s="126"/>
      <c r="FE30" s="1"/>
      <c r="FF30" s="1"/>
      <c r="FG30" s="1"/>
      <c r="FH30" s="1"/>
    </row>
    <row r="31" spans="1:164" x14ac:dyDescent="0.25">
      <c r="A31" s="47" t="s">
        <v>7</v>
      </c>
      <c r="B31" s="47"/>
      <c r="C31" s="47"/>
      <c r="D31" s="47"/>
      <c r="E31" s="47"/>
      <c r="F31" s="47"/>
      <c r="G31" s="47"/>
      <c r="L31" s="10"/>
      <c r="M31" s="10"/>
      <c r="N31" s="47" t="s">
        <v>7</v>
      </c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47" t="s">
        <v>7</v>
      </c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Z31" s="47" t="s">
        <v>7</v>
      </c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S31" s="47" t="s">
        <v>7</v>
      </c>
      <c r="CC31" s="10"/>
      <c r="CD31" s="10"/>
      <c r="CE31" s="10"/>
      <c r="CF31" s="10"/>
      <c r="CG31" s="10"/>
      <c r="CJ31" s="47" t="s">
        <v>7</v>
      </c>
      <c r="CL31" s="10"/>
      <c r="CM31" s="10"/>
      <c r="CN31" s="10"/>
      <c r="CO31" s="10"/>
      <c r="CP31" s="10"/>
      <c r="CQ31" s="10"/>
      <c r="CR31" s="10"/>
      <c r="CS31" s="10"/>
      <c r="CT31" s="10"/>
      <c r="CV31" s="10"/>
      <c r="CW31" s="10"/>
      <c r="CX31" s="10"/>
      <c r="CY31" s="10"/>
      <c r="CZ31" s="10"/>
      <c r="DC31" s="47" t="s">
        <v>7</v>
      </c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V31" s="47" t="s">
        <v>7</v>
      </c>
      <c r="DZ31" s="10"/>
      <c r="EA31" s="10"/>
      <c r="EB31" s="10"/>
      <c r="EC31" s="10"/>
      <c r="ED31" s="10"/>
      <c r="EE31" s="10"/>
      <c r="EF31" s="10"/>
      <c r="EH31" s="10"/>
      <c r="EI31" s="10"/>
      <c r="EJ31" s="10"/>
      <c r="EK31" s="10"/>
      <c r="EL31" s="10"/>
      <c r="EO31" s="47" t="s">
        <v>7</v>
      </c>
      <c r="ET31" s="10"/>
      <c r="EU31" s="10"/>
      <c r="EX31" s="9"/>
      <c r="EY31" s="9"/>
      <c r="EZ31" s="9"/>
      <c r="FA31" s="9"/>
      <c r="FB31" s="9"/>
      <c r="FC31" s="9"/>
      <c r="FD31" s="9"/>
      <c r="FE31" s="1"/>
      <c r="FF31" s="1"/>
      <c r="FG31" s="1"/>
      <c r="FH31" s="1"/>
    </row>
    <row r="32" spans="1:164" x14ac:dyDescent="0.25">
      <c r="A32" s="1" t="s">
        <v>12</v>
      </c>
      <c r="B32" s="10">
        <f t="shared" ref="B32:L33" si="316">(P32+AI32+BB32+BU32+CL32+DE32+DX32)/7</f>
        <v>5149304.1428571427</v>
      </c>
      <c r="C32" s="10">
        <f t="shared" si="316"/>
        <v>4381382.2857142854</v>
      </c>
      <c r="D32" s="10">
        <f t="shared" si="316"/>
        <v>3818401.7142857141</v>
      </c>
      <c r="E32" s="10">
        <f t="shared" si="316"/>
        <v>3413942.8571428573</v>
      </c>
      <c r="F32" s="10">
        <f t="shared" si="316"/>
        <v>3099940.8571428573</v>
      </c>
      <c r="G32" s="10">
        <f t="shared" si="316"/>
        <v>2957032.4285714286</v>
      </c>
      <c r="H32" s="10">
        <f t="shared" si="316"/>
        <v>2668600.2857142859</v>
      </c>
      <c r="I32" s="10">
        <f t="shared" si="316"/>
        <v>2023197.7142857143</v>
      </c>
      <c r="J32" s="10">
        <f t="shared" si="316"/>
        <v>1727163.2857142857</v>
      </c>
      <c r="K32" s="10">
        <f t="shared" si="316"/>
        <v>1615772.2857142857</v>
      </c>
      <c r="L32" s="10">
        <f t="shared" si="316"/>
        <v>1518705.4285714286</v>
      </c>
      <c r="M32" s="10"/>
      <c r="N32" s="1" t="s">
        <v>12</v>
      </c>
      <c r="O32" s="1"/>
      <c r="P32" s="9">
        <f t="shared" ref="P32:Q32" si="317">P24</f>
        <v>4148473</v>
      </c>
      <c r="Q32" s="9">
        <f t="shared" si="317"/>
        <v>3120681</v>
      </c>
      <c r="R32" s="9">
        <f t="shared" ref="R32:S32" si="318">R24</f>
        <v>2612207</v>
      </c>
      <c r="S32" s="9">
        <f t="shared" si="318"/>
        <v>2236979</v>
      </c>
      <c r="T32" s="9">
        <f t="shared" ref="T32:U32" si="319">T24</f>
        <v>2245296</v>
      </c>
      <c r="U32" s="9">
        <f t="shared" si="319"/>
        <v>1959945</v>
      </c>
      <c r="V32" s="9">
        <f t="shared" ref="V32" si="320">V24</f>
        <v>1569969</v>
      </c>
      <c r="W32" s="9">
        <f t="shared" ref="W32" si="321">W24</f>
        <v>1401891</v>
      </c>
      <c r="X32" s="9">
        <f t="shared" ref="X32" si="322">X24</f>
        <v>1349805</v>
      </c>
      <c r="Y32" s="9">
        <f t="shared" ref="Y32:AD32" si="323">Y24</f>
        <v>1213658</v>
      </c>
      <c r="Z32" s="9">
        <f t="shared" si="323"/>
        <v>1166415</v>
      </c>
      <c r="AA32" s="9">
        <f t="shared" si="323"/>
        <v>1155270</v>
      </c>
      <c r="AB32" s="9">
        <f t="shared" si="323"/>
        <v>1185899</v>
      </c>
      <c r="AC32" s="9">
        <f t="shared" si="323"/>
        <v>1034764</v>
      </c>
      <c r="AD32" s="9">
        <f t="shared" si="323"/>
        <v>951252</v>
      </c>
      <c r="AE32" s="10"/>
      <c r="AF32" s="10"/>
      <c r="AG32" s="1" t="s">
        <v>12</v>
      </c>
      <c r="AH32" s="1"/>
      <c r="AI32" s="9">
        <f t="shared" ref="AI32:AJ32" si="324">AI24</f>
        <v>1761716</v>
      </c>
      <c r="AJ32" s="9">
        <f t="shared" si="324"/>
        <v>1682687</v>
      </c>
      <c r="AK32" s="9">
        <f t="shared" ref="AK32:AL32" si="325">AK24</f>
        <v>1476069</v>
      </c>
      <c r="AL32" s="9">
        <f t="shared" si="325"/>
        <v>1434398</v>
      </c>
      <c r="AM32" s="9">
        <f t="shared" ref="AM32:AN32" si="326">AM24</f>
        <v>1536782</v>
      </c>
      <c r="AN32" s="9">
        <f t="shared" si="326"/>
        <v>1357579</v>
      </c>
      <c r="AO32" s="9">
        <f t="shared" ref="AO32" si="327">AO24</f>
        <v>1399097</v>
      </c>
      <c r="AP32" s="9">
        <f t="shared" ref="AP32" si="328">AP24</f>
        <v>1439930</v>
      </c>
      <c r="AQ32" s="9">
        <f t="shared" ref="AQ32" si="329">AQ24</f>
        <v>1434024</v>
      </c>
      <c r="AR32" s="9">
        <f t="shared" ref="AR32:AW32" si="330">AR24</f>
        <v>1363988</v>
      </c>
      <c r="AS32" s="9">
        <f t="shared" si="330"/>
        <v>1291405</v>
      </c>
      <c r="AT32" s="9">
        <f t="shared" si="330"/>
        <v>1267773</v>
      </c>
      <c r="AU32" s="9">
        <f t="shared" si="330"/>
        <v>1144759</v>
      </c>
      <c r="AV32" s="9">
        <f t="shared" si="330"/>
        <v>1110253</v>
      </c>
      <c r="AW32" s="9">
        <f t="shared" si="330"/>
        <v>1118901</v>
      </c>
      <c r="AZ32" s="1" t="s">
        <v>12</v>
      </c>
      <c r="BA32" s="1"/>
      <c r="BB32" s="9">
        <f t="shared" ref="BB32:BC32" si="331">BB24</f>
        <v>11380571</v>
      </c>
      <c r="BC32" s="9">
        <f t="shared" si="331"/>
        <v>9394258</v>
      </c>
      <c r="BD32" s="9">
        <f t="shared" ref="BD32:BE32" si="332">BD24</f>
        <v>7347263</v>
      </c>
      <c r="BE32" s="9">
        <f t="shared" si="332"/>
        <v>7070965</v>
      </c>
      <c r="BF32" s="9">
        <f t="shared" ref="BF32:BG32" si="333">BF24</f>
        <v>5839860</v>
      </c>
      <c r="BG32" s="9">
        <f t="shared" si="333"/>
        <v>5741642</v>
      </c>
      <c r="BH32" s="9">
        <f t="shared" ref="BH32:BI32" si="334">BH24</f>
        <v>5554611</v>
      </c>
      <c r="BI32" s="9">
        <f t="shared" si="334"/>
        <v>4997202</v>
      </c>
      <c r="BJ32" s="9">
        <f t="shared" ref="BJ32" si="335">BJ24</f>
        <v>4363155</v>
      </c>
      <c r="BK32" s="9">
        <f t="shared" ref="BK32:BP32" si="336">BK24</f>
        <v>4509998</v>
      </c>
      <c r="BL32" s="9">
        <f t="shared" si="336"/>
        <v>4011271</v>
      </c>
      <c r="BM32" s="9">
        <f t="shared" si="336"/>
        <v>4366345</v>
      </c>
      <c r="BN32" s="9">
        <f t="shared" si="336"/>
        <v>4208231</v>
      </c>
      <c r="BO32" s="9">
        <f t="shared" si="336"/>
        <v>4108267</v>
      </c>
      <c r="BP32" s="9">
        <f t="shared" si="336"/>
        <v>3872310</v>
      </c>
      <c r="BS32" s="1" t="s">
        <v>12</v>
      </c>
      <c r="BT32" s="1"/>
      <c r="BU32" s="9">
        <f>BU24</f>
        <v>3823516</v>
      </c>
      <c r="BV32" s="9">
        <f>BV24</f>
        <v>3422193</v>
      </c>
      <c r="BW32" s="9">
        <f>BW24</f>
        <v>3332225</v>
      </c>
      <c r="BX32" s="9">
        <f t="shared" ref="BX32:CA32" si="337">BX24</f>
        <v>3158959</v>
      </c>
      <c r="BY32" s="9">
        <f t="shared" si="337"/>
        <v>3085441</v>
      </c>
      <c r="BZ32" s="9">
        <f t="shared" si="337"/>
        <v>3037616</v>
      </c>
      <c r="CA32" s="9">
        <f t="shared" si="337"/>
        <v>1799211</v>
      </c>
      <c r="CB32" s="9">
        <f t="shared" ref="CB32:CG32" si="338">CB24</f>
        <v>0</v>
      </c>
      <c r="CC32" s="9">
        <f t="shared" si="338"/>
        <v>0</v>
      </c>
      <c r="CD32" s="9">
        <f t="shared" si="338"/>
        <v>0</v>
      </c>
      <c r="CE32" s="9">
        <f t="shared" si="338"/>
        <v>0</v>
      </c>
      <c r="CF32" s="9">
        <f t="shared" si="338"/>
        <v>0</v>
      </c>
      <c r="CG32" s="9">
        <f t="shared" si="338"/>
        <v>0</v>
      </c>
      <c r="CJ32" s="1" t="s">
        <v>12</v>
      </c>
      <c r="CK32" s="1"/>
      <c r="CL32" s="9">
        <f t="shared" ref="CL32" si="339">CL24</f>
        <v>5468156</v>
      </c>
      <c r="CM32" s="9">
        <f t="shared" ref="CM32" si="340">CM24</f>
        <v>4863128</v>
      </c>
      <c r="CN32" s="9">
        <f t="shared" ref="CN32:CP32" si="341">CN24</f>
        <v>4411968</v>
      </c>
      <c r="CO32" s="9">
        <f t="shared" si="341"/>
        <v>3661026</v>
      </c>
      <c r="CP32" s="9">
        <f t="shared" si="341"/>
        <v>3261481</v>
      </c>
      <c r="CQ32" s="9">
        <f t="shared" ref="CQ32:CR32" si="342">CQ24</f>
        <v>3195880</v>
      </c>
      <c r="CR32" s="9">
        <f t="shared" si="342"/>
        <v>3174033</v>
      </c>
      <c r="CS32" s="9">
        <f t="shared" ref="CS32" si="343">CS24</f>
        <v>2835420</v>
      </c>
      <c r="CT32" s="9">
        <f t="shared" ref="CT32" si="344">CT24</f>
        <v>2629297</v>
      </c>
      <c r="CU32" s="9">
        <f t="shared" ref="CU32:CZ32" si="345">CU24</f>
        <v>2206209</v>
      </c>
      <c r="CV32" s="9">
        <f t="shared" si="345"/>
        <v>2322926</v>
      </c>
      <c r="CW32" s="9">
        <f t="shared" si="345"/>
        <v>2393734</v>
      </c>
      <c r="CX32" s="9">
        <f t="shared" si="345"/>
        <v>2342741</v>
      </c>
      <c r="CY32" s="9">
        <f t="shared" si="345"/>
        <v>2362590</v>
      </c>
      <c r="CZ32" s="9">
        <f t="shared" si="345"/>
        <v>2301445</v>
      </c>
      <c r="DC32" s="1" t="s">
        <v>12</v>
      </c>
      <c r="DD32" s="1"/>
      <c r="DE32" s="9">
        <f t="shared" ref="DE32:DF32" si="346">DE24</f>
        <v>4987200</v>
      </c>
      <c r="DF32" s="9">
        <f t="shared" si="346"/>
        <v>4660300</v>
      </c>
      <c r="DG32" s="9">
        <f t="shared" ref="DG32:DH32" si="347">DG24</f>
        <v>4149100</v>
      </c>
      <c r="DH32" s="9">
        <f t="shared" si="347"/>
        <v>3983100</v>
      </c>
      <c r="DI32" s="9">
        <f t="shared" ref="DI32:DJ32" si="348">DI24</f>
        <v>3606100</v>
      </c>
      <c r="DJ32" s="9">
        <f t="shared" si="348"/>
        <v>3347100</v>
      </c>
      <c r="DK32" s="9">
        <f t="shared" ref="DK32" si="349">DK24</f>
        <v>3361100</v>
      </c>
      <c r="DL32" s="9">
        <f t="shared" ref="DL32" si="350">DL24</f>
        <v>1959781</v>
      </c>
      <c r="DM32" s="9">
        <f t="shared" ref="DM32" si="351">DM24</f>
        <v>945143</v>
      </c>
      <c r="DN32" s="9">
        <f t="shared" ref="DN32:DS32" si="352">DN24</f>
        <v>939788</v>
      </c>
      <c r="DO32" s="9">
        <f t="shared" si="352"/>
        <v>907012</v>
      </c>
      <c r="DP32" s="9">
        <f t="shared" si="352"/>
        <v>908436</v>
      </c>
      <c r="DQ32" s="9">
        <f t="shared" si="352"/>
        <v>871690</v>
      </c>
      <c r="DR32" s="9">
        <f t="shared" si="352"/>
        <v>782617</v>
      </c>
      <c r="DS32" s="9">
        <f t="shared" si="352"/>
        <v>795210</v>
      </c>
      <c r="DV32" s="1" t="s">
        <v>12</v>
      </c>
      <c r="DW32" s="1"/>
      <c r="DX32" s="9">
        <f t="shared" ref="DX32" si="353">DX24</f>
        <v>4475497</v>
      </c>
      <c r="DY32" s="9">
        <f t="shared" ref="DY32" si="354">DY24</f>
        <v>3526429</v>
      </c>
      <c r="DZ32" s="9">
        <f t="shared" ref="DZ32:EA32" si="355">DZ24</f>
        <v>3399980</v>
      </c>
      <c r="EA32" s="9">
        <f t="shared" si="355"/>
        <v>2352173</v>
      </c>
      <c r="EB32" s="9">
        <f t="shared" ref="EB32:EC32" si="356">EB24</f>
        <v>2124626</v>
      </c>
      <c r="EC32" s="9">
        <f t="shared" si="356"/>
        <v>2059465</v>
      </c>
      <c r="ED32" s="9">
        <f t="shared" ref="ED32" si="357">ED24</f>
        <v>1822181</v>
      </c>
      <c r="EE32" s="9">
        <f t="shared" ref="EE32:EF32" si="358">EE24</f>
        <v>1528160</v>
      </c>
      <c r="EF32" s="9">
        <f t="shared" si="358"/>
        <v>1368719</v>
      </c>
      <c r="EG32" s="9">
        <f t="shared" ref="EG32:EL32" si="359">EG24</f>
        <v>1076765</v>
      </c>
      <c r="EH32" s="9">
        <f t="shared" si="359"/>
        <v>931909</v>
      </c>
      <c r="EI32" s="9">
        <f t="shared" si="359"/>
        <v>875863</v>
      </c>
      <c r="EJ32" s="9">
        <f t="shared" si="359"/>
        <v>872237</v>
      </c>
      <c r="EK32" s="9">
        <f t="shared" si="359"/>
        <v>849291</v>
      </c>
      <c r="EL32" s="9">
        <f t="shared" si="359"/>
        <v>808849</v>
      </c>
      <c r="EO32" s="11" t="s">
        <v>12</v>
      </c>
      <c r="EP32" s="9">
        <f t="shared" ref="EP32:EU32" si="360">EP24</f>
        <v>340637.92499999999</v>
      </c>
      <c r="EQ32" s="9">
        <f t="shared" si="360"/>
        <v>311059.92599999998</v>
      </c>
      <c r="ER32" s="9">
        <f t="shared" si="360"/>
        <v>280707.92599999998</v>
      </c>
      <c r="ES32" s="9">
        <f t="shared" si="360"/>
        <v>247360.818</v>
      </c>
      <c r="ET32" s="9">
        <f t="shared" si="360"/>
        <v>234679.57500000001</v>
      </c>
      <c r="EU32" s="9">
        <f t="shared" si="360"/>
        <v>202008.31699999998</v>
      </c>
      <c r="EX32" s="9"/>
      <c r="EY32" s="9"/>
      <c r="EZ32" s="9"/>
      <c r="FA32" s="9"/>
      <c r="FB32" s="9"/>
      <c r="FC32" s="9"/>
      <c r="FD32" s="9"/>
      <c r="FE32" s="36"/>
      <c r="FF32" s="1"/>
      <c r="FG32" s="1"/>
      <c r="FH32" s="1"/>
    </row>
    <row r="33" spans="1:164" x14ac:dyDescent="0.25">
      <c r="A33" s="1" t="s">
        <v>15</v>
      </c>
      <c r="B33" s="10">
        <f t="shared" si="316"/>
        <v>366554.14285714284</v>
      </c>
      <c r="C33" s="10">
        <f t="shared" si="316"/>
        <v>532402</v>
      </c>
      <c r="D33" s="10">
        <f t="shared" si="316"/>
        <v>555993.28571428568</v>
      </c>
      <c r="E33" s="10">
        <f t="shared" si="316"/>
        <v>373513.28571428574</v>
      </c>
      <c r="F33" s="10">
        <f t="shared" si="316"/>
        <v>389724.14285714284</v>
      </c>
      <c r="G33" s="10">
        <f t="shared" si="316"/>
        <v>251365.57142857142</v>
      </c>
      <c r="H33" s="10">
        <f t="shared" si="316"/>
        <v>216257.28571428571</v>
      </c>
      <c r="I33" s="10">
        <f t="shared" si="316"/>
        <v>215776</v>
      </c>
      <c r="J33" s="10">
        <f t="shared" si="316"/>
        <v>218286.71428571429</v>
      </c>
      <c r="K33" s="10">
        <f t="shared" si="316"/>
        <v>178508.57142857142</v>
      </c>
      <c r="L33" s="10">
        <f t="shared" si="316"/>
        <v>217762.85714285713</v>
      </c>
      <c r="N33" s="1" t="s">
        <v>15</v>
      </c>
      <c r="P33" s="56">
        <f t="shared" ref="P33:Q33" si="361">P13+P14</f>
        <v>152586</v>
      </c>
      <c r="Q33" s="56">
        <f t="shared" si="361"/>
        <v>46869</v>
      </c>
      <c r="R33" s="56">
        <f t="shared" ref="R33:S33" si="362">R13+R14</f>
        <v>275495</v>
      </c>
      <c r="S33" s="56">
        <f t="shared" si="362"/>
        <v>431375</v>
      </c>
      <c r="T33" s="56">
        <f t="shared" ref="T33:U33" si="363">T13+T14</f>
        <v>183152</v>
      </c>
      <c r="U33" s="56">
        <f t="shared" si="363"/>
        <v>77488</v>
      </c>
      <c r="V33" s="56">
        <f t="shared" ref="V33" si="364">V13+V14</f>
        <v>335505</v>
      </c>
      <c r="W33" s="56">
        <f t="shared" ref="W33" si="365">W13+W14</f>
        <v>434243</v>
      </c>
      <c r="X33" s="56">
        <f t="shared" ref="X33" si="366">X13+X14</f>
        <v>287560</v>
      </c>
      <c r="Y33" s="56">
        <f t="shared" ref="Y33:AD33" si="367">Y13+Y14</f>
        <v>166925</v>
      </c>
      <c r="Z33" s="56">
        <f t="shared" si="367"/>
        <v>178857</v>
      </c>
      <c r="AA33" s="56">
        <f t="shared" si="367"/>
        <v>149910</v>
      </c>
      <c r="AB33" s="56">
        <f t="shared" si="367"/>
        <v>238319</v>
      </c>
      <c r="AC33" s="56">
        <f t="shared" si="367"/>
        <v>260817</v>
      </c>
      <c r="AD33" s="56">
        <f t="shared" si="367"/>
        <v>284439</v>
      </c>
      <c r="AG33" s="1" t="s">
        <v>15</v>
      </c>
      <c r="AI33" s="56">
        <f t="shared" ref="AI33:AJ33" si="368">AI13+AI14</f>
        <v>399869</v>
      </c>
      <c r="AJ33" s="56">
        <f t="shared" si="368"/>
        <v>224209</v>
      </c>
      <c r="AK33" s="56">
        <f t="shared" ref="AK33:AL33" si="369">AK13+AK14</f>
        <v>247609</v>
      </c>
      <c r="AL33" s="56">
        <f t="shared" si="369"/>
        <v>150903</v>
      </c>
      <c r="AM33" s="56">
        <f t="shared" ref="AM33:AN33" si="370">AM13+AM14</f>
        <v>93289</v>
      </c>
      <c r="AN33" s="56">
        <f t="shared" si="370"/>
        <v>295008</v>
      </c>
      <c r="AO33" s="56">
        <f t="shared" ref="AO33" si="371">AO13+AO14</f>
        <v>274700</v>
      </c>
      <c r="AP33" s="56">
        <f t="shared" ref="AP33" si="372">AP13+AP14</f>
        <v>248200</v>
      </c>
      <c r="AQ33" s="56">
        <f t="shared" ref="AQ33" si="373">AQ13+AQ14</f>
        <v>190250</v>
      </c>
      <c r="AR33" s="56">
        <f t="shared" ref="AR33:AW33" si="374">AR13+AR14</f>
        <v>181600</v>
      </c>
      <c r="AS33" s="56">
        <f t="shared" si="374"/>
        <v>267435</v>
      </c>
      <c r="AT33" s="56">
        <f t="shared" si="374"/>
        <v>137000</v>
      </c>
      <c r="AU33" s="56">
        <f t="shared" si="374"/>
        <v>248000</v>
      </c>
      <c r="AV33" s="56">
        <f t="shared" si="374"/>
        <v>148100</v>
      </c>
      <c r="AW33" s="56">
        <f t="shared" si="374"/>
        <v>129600</v>
      </c>
      <c r="AZ33" s="1" t="s">
        <v>15</v>
      </c>
      <c r="BB33" s="56">
        <f t="shared" ref="BB33:BC33" si="375">BB13+BB14</f>
        <v>165</v>
      </c>
      <c r="BC33" s="56">
        <f t="shared" si="375"/>
        <v>464915</v>
      </c>
      <c r="BD33" s="56">
        <f t="shared" ref="BD33:BE33" si="376">BD13+BD14</f>
        <v>1150780</v>
      </c>
      <c r="BE33" s="56">
        <f t="shared" si="376"/>
        <v>447745</v>
      </c>
      <c r="BF33" s="56">
        <f t="shared" ref="BF33:BG33" si="377">BF13+BF14</f>
        <v>1079811</v>
      </c>
      <c r="BG33" s="56">
        <f t="shared" si="377"/>
        <v>457927</v>
      </c>
      <c r="BH33" s="56">
        <f t="shared" ref="BH33:BI33" si="378">BH13+BH14</f>
        <v>196695</v>
      </c>
      <c r="BI33" s="56">
        <f t="shared" si="378"/>
        <v>367984</v>
      </c>
      <c r="BJ33" s="56">
        <f t="shared" ref="BJ33" si="379">BJ13+BJ14</f>
        <v>571060</v>
      </c>
      <c r="BK33" s="56">
        <f t="shared" ref="BK33:BP33" si="380">BK13+BK14</f>
        <v>208830</v>
      </c>
      <c r="BL33" s="56">
        <f t="shared" si="380"/>
        <v>486231</v>
      </c>
      <c r="BM33" s="56">
        <f t="shared" si="380"/>
        <v>72681</v>
      </c>
      <c r="BN33" s="56">
        <f t="shared" si="380"/>
        <v>351327</v>
      </c>
      <c r="BO33" s="56">
        <f t="shared" si="380"/>
        <v>154430</v>
      </c>
      <c r="BP33" s="56">
        <f t="shared" si="380"/>
        <v>385602</v>
      </c>
      <c r="BS33" s="1" t="s">
        <v>15</v>
      </c>
      <c r="BU33" s="56">
        <f>BU13+BU14</f>
        <v>418225</v>
      </c>
      <c r="BV33" s="56">
        <f>BV13+BV14</f>
        <v>516500</v>
      </c>
      <c r="BW33" s="56">
        <f>BW13+BW14</f>
        <v>299500</v>
      </c>
      <c r="BX33" s="56">
        <f t="shared" ref="BX33:CA33" si="381">BX13+BX14</f>
        <v>357215</v>
      </c>
      <c r="BY33" s="56">
        <f t="shared" si="381"/>
        <v>145007</v>
      </c>
      <c r="BZ33" s="56">
        <f t="shared" si="381"/>
        <v>12507</v>
      </c>
      <c r="CA33" s="56">
        <f t="shared" si="381"/>
        <v>0</v>
      </c>
      <c r="CB33" s="56">
        <f t="shared" ref="CB33:CG33" si="382">CB13+CB14</f>
        <v>0</v>
      </c>
      <c r="CC33" s="56">
        <f t="shared" si="382"/>
        <v>0</v>
      </c>
      <c r="CD33" s="56">
        <f t="shared" si="382"/>
        <v>0</v>
      </c>
      <c r="CE33" s="56">
        <f t="shared" si="382"/>
        <v>0</v>
      </c>
      <c r="CF33" s="56">
        <f t="shared" si="382"/>
        <v>0</v>
      </c>
      <c r="CG33" s="56">
        <f t="shared" si="382"/>
        <v>0</v>
      </c>
      <c r="CJ33" s="1" t="s">
        <v>15</v>
      </c>
      <c r="CL33" s="56">
        <f t="shared" ref="CL33" si="383">CL13+CL14</f>
        <v>147433</v>
      </c>
      <c r="CM33" s="56">
        <f t="shared" ref="CM33" si="384">CM13+CM14</f>
        <v>374512</v>
      </c>
      <c r="CN33" s="56">
        <f t="shared" ref="CN33:CP33" si="385">CN13+CN14</f>
        <v>185060</v>
      </c>
      <c r="CO33" s="56">
        <f t="shared" si="385"/>
        <v>239846</v>
      </c>
      <c r="CP33" s="56">
        <f t="shared" si="385"/>
        <v>50101</v>
      </c>
      <c r="CQ33" s="56">
        <f t="shared" ref="CQ33:CR33" si="386">CQ13+CQ14</f>
        <v>37475</v>
      </c>
      <c r="CR33" s="56">
        <f t="shared" si="386"/>
        <v>24192</v>
      </c>
      <c r="CS33" s="56">
        <f t="shared" ref="CS33" si="387">CS13+CS14</f>
        <v>11105</v>
      </c>
      <c r="CT33" s="56">
        <f t="shared" ref="CT33" si="388">CT13+CT14</f>
        <v>50137</v>
      </c>
      <c r="CU33" s="56">
        <f t="shared" ref="CU33:CZ33" si="389">CU13+CU14</f>
        <v>322618</v>
      </c>
      <c r="CV33" s="56">
        <f t="shared" si="389"/>
        <v>75080</v>
      </c>
      <c r="CW33" s="56">
        <f t="shared" si="389"/>
        <v>1327</v>
      </c>
      <c r="CX33" s="56">
        <f t="shared" si="389"/>
        <v>62833</v>
      </c>
      <c r="CY33" s="56">
        <f t="shared" si="389"/>
        <v>47079</v>
      </c>
      <c r="CZ33" s="56">
        <f t="shared" si="389"/>
        <v>27545</v>
      </c>
      <c r="DC33" s="1" t="s">
        <v>15</v>
      </c>
      <c r="DE33" s="56">
        <f t="shared" ref="DE33:DF33" si="390">DE13+DE14</f>
        <v>708400</v>
      </c>
      <c r="DF33" s="56">
        <f t="shared" si="390"/>
        <v>783200</v>
      </c>
      <c r="DG33" s="56">
        <f t="shared" ref="DG33:DH33" si="391">DG13+DG14</f>
        <v>729100</v>
      </c>
      <c r="DH33" s="56">
        <f t="shared" si="391"/>
        <v>577300</v>
      </c>
      <c r="DI33" s="56">
        <f t="shared" ref="DI33:DJ33" si="392">DI13+DI14</f>
        <v>648700</v>
      </c>
      <c r="DJ33" s="56">
        <f t="shared" si="392"/>
        <v>418000</v>
      </c>
      <c r="DK33" s="56">
        <f t="shared" ref="DK33" si="393">DK13+DK14</f>
        <v>287100</v>
      </c>
      <c r="DL33" s="56">
        <f t="shared" ref="DL33" si="394">DL13+DL14</f>
        <v>74000</v>
      </c>
      <c r="DM33" s="56">
        <f t="shared" ref="DM33" si="395">DM13+DM14</f>
        <v>65100</v>
      </c>
      <c r="DN33" s="56">
        <f t="shared" ref="DN33:DS33" si="396">DN13+DN14</f>
        <v>46000</v>
      </c>
      <c r="DO33" s="56">
        <f t="shared" si="396"/>
        <v>154650</v>
      </c>
      <c r="DP33" s="56">
        <f t="shared" si="396"/>
        <v>129800</v>
      </c>
      <c r="DQ33" s="56">
        <f t="shared" si="396"/>
        <v>216060</v>
      </c>
      <c r="DR33" s="56">
        <f t="shared" si="396"/>
        <v>251560</v>
      </c>
      <c r="DS33" s="56">
        <f t="shared" si="396"/>
        <v>207459</v>
      </c>
      <c r="DV33" s="1" t="s">
        <v>15</v>
      </c>
      <c r="DX33" s="56">
        <f t="shared" ref="DX33" si="397">DX13+DX14</f>
        <v>739201</v>
      </c>
      <c r="DY33" s="56">
        <f t="shared" ref="DY33" si="398">DY13+DY14</f>
        <v>1316609</v>
      </c>
      <c r="DZ33" s="56">
        <f t="shared" ref="DZ33:EA33" si="399">DZ13+DZ14</f>
        <v>1004409</v>
      </c>
      <c r="EA33" s="56">
        <f t="shared" si="399"/>
        <v>410209</v>
      </c>
      <c r="EB33" s="56">
        <f t="shared" ref="EB33:EC33" si="400">EB13+EB14</f>
        <v>528009</v>
      </c>
      <c r="EC33" s="56">
        <f t="shared" si="400"/>
        <v>461154</v>
      </c>
      <c r="ED33" s="56">
        <f t="shared" ref="ED33" si="401">ED13+ED14</f>
        <v>395609</v>
      </c>
      <c r="EE33" s="56">
        <f t="shared" ref="EE33:EF33" si="402">EE13+EE14</f>
        <v>374900</v>
      </c>
      <c r="EF33" s="56">
        <f t="shared" si="402"/>
        <v>363900</v>
      </c>
      <c r="EG33" s="56">
        <f t="shared" ref="EG33:EL33" si="403">EG13+EG14</f>
        <v>323587</v>
      </c>
      <c r="EH33" s="56">
        <f t="shared" si="403"/>
        <v>362087</v>
      </c>
      <c r="EI33" s="56">
        <f t="shared" si="403"/>
        <v>231719</v>
      </c>
      <c r="EJ33" s="56">
        <f t="shared" si="403"/>
        <v>237662</v>
      </c>
      <c r="EK33" s="56">
        <f t="shared" si="403"/>
        <v>118396</v>
      </c>
      <c r="EL33" s="56">
        <f t="shared" si="403"/>
        <v>196969</v>
      </c>
      <c r="EO33" s="11" t="s">
        <v>15</v>
      </c>
      <c r="EP33" s="56">
        <f t="shared" ref="EP33:EU33" si="404">EP13+EP14</f>
        <v>34267.800000000003</v>
      </c>
      <c r="EQ33" s="56">
        <f t="shared" si="404"/>
        <v>21859.5</v>
      </c>
      <c r="ER33" s="56">
        <f t="shared" si="404"/>
        <v>7374.8</v>
      </c>
      <c r="ES33" s="56">
        <f t="shared" si="404"/>
        <v>27825.7</v>
      </c>
      <c r="ET33" s="56">
        <f t="shared" si="404"/>
        <v>7014.2</v>
      </c>
      <c r="EU33" s="56">
        <f t="shared" si="404"/>
        <v>0</v>
      </c>
      <c r="EX33" s="122"/>
      <c r="EY33" s="122"/>
      <c r="EZ33" s="122"/>
      <c r="FA33" s="122"/>
      <c r="FB33" s="122"/>
      <c r="FC33" s="122"/>
      <c r="FD33" s="122"/>
      <c r="FE33" s="36"/>
      <c r="FF33" s="1"/>
      <c r="FG33" s="1"/>
      <c r="FH33" s="1"/>
    </row>
    <row r="34" spans="1:164" x14ac:dyDescent="0.25">
      <c r="A34" s="2" t="s">
        <v>13</v>
      </c>
      <c r="B34" s="40">
        <f>B32+B33</f>
        <v>5515858.2857142854</v>
      </c>
      <c r="C34" s="40">
        <f>C32+C33</f>
        <v>4913784.2857142854</v>
      </c>
      <c r="D34" s="40">
        <f t="shared" ref="D34:L34" si="405">D32+D33</f>
        <v>4374395</v>
      </c>
      <c r="E34" s="40">
        <f t="shared" si="405"/>
        <v>3787456.1428571432</v>
      </c>
      <c r="F34" s="40">
        <f t="shared" si="405"/>
        <v>3489665</v>
      </c>
      <c r="G34" s="40">
        <f t="shared" si="405"/>
        <v>3208398</v>
      </c>
      <c r="H34" s="40">
        <f t="shared" si="405"/>
        <v>2884857.5714285718</v>
      </c>
      <c r="I34" s="40">
        <f t="shared" si="405"/>
        <v>2238973.7142857146</v>
      </c>
      <c r="J34" s="40">
        <f t="shared" si="405"/>
        <v>1945450</v>
      </c>
      <c r="K34" s="40">
        <f t="shared" si="405"/>
        <v>1794280.857142857</v>
      </c>
      <c r="L34" s="40">
        <f t="shared" si="405"/>
        <v>1736468.2857142857</v>
      </c>
      <c r="N34" s="2" t="s">
        <v>13</v>
      </c>
      <c r="O34" s="2"/>
      <c r="P34" s="40">
        <f t="shared" ref="P34:Q34" si="406">P32+P33</f>
        <v>4301059</v>
      </c>
      <c r="Q34" s="40">
        <f t="shared" si="406"/>
        <v>3167550</v>
      </c>
      <c r="R34" s="40">
        <f t="shared" ref="R34:S34" si="407">R32+R33</f>
        <v>2887702</v>
      </c>
      <c r="S34" s="40">
        <f t="shared" si="407"/>
        <v>2668354</v>
      </c>
      <c r="T34" s="40">
        <f t="shared" ref="T34:U34" si="408">T32+T33</f>
        <v>2428448</v>
      </c>
      <c r="U34" s="40">
        <f t="shared" si="408"/>
        <v>2037433</v>
      </c>
      <c r="V34" s="40">
        <f t="shared" ref="V34" si="409">V32+V33</f>
        <v>1905474</v>
      </c>
      <c r="W34" s="40">
        <f t="shared" ref="W34" si="410">W32+W33</f>
        <v>1836134</v>
      </c>
      <c r="X34" s="40">
        <f t="shared" ref="X34" si="411">X32+X33</f>
        <v>1637365</v>
      </c>
      <c r="Y34" s="40">
        <f t="shared" ref="Y34:AD34" si="412">Y32+Y33</f>
        <v>1380583</v>
      </c>
      <c r="Z34" s="40">
        <f t="shared" si="412"/>
        <v>1345272</v>
      </c>
      <c r="AA34" s="40">
        <f t="shared" si="412"/>
        <v>1305180</v>
      </c>
      <c r="AB34" s="40">
        <f t="shared" si="412"/>
        <v>1424218</v>
      </c>
      <c r="AC34" s="40">
        <f t="shared" si="412"/>
        <v>1295581</v>
      </c>
      <c r="AD34" s="40">
        <f t="shared" si="412"/>
        <v>1235691</v>
      </c>
      <c r="AG34" s="2" t="s">
        <v>13</v>
      </c>
      <c r="AH34" s="2"/>
      <c r="AI34" s="40">
        <f t="shared" ref="AI34:AJ34" si="413">AI32+AI33</f>
        <v>2161585</v>
      </c>
      <c r="AJ34" s="40">
        <f t="shared" si="413"/>
        <v>1906896</v>
      </c>
      <c r="AK34" s="40">
        <f t="shared" ref="AK34:AL34" si="414">AK32+AK33</f>
        <v>1723678</v>
      </c>
      <c r="AL34" s="40">
        <f t="shared" si="414"/>
        <v>1585301</v>
      </c>
      <c r="AM34" s="40">
        <f t="shared" ref="AM34:AN34" si="415">AM32+AM33</f>
        <v>1630071</v>
      </c>
      <c r="AN34" s="40">
        <f t="shared" si="415"/>
        <v>1652587</v>
      </c>
      <c r="AO34" s="40">
        <f t="shared" ref="AO34" si="416">AO32+AO33</f>
        <v>1673797</v>
      </c>
      <c r="AP34" s="40">
        <f t="shared" ref="AP34" si="417">AP32+AP33</f>
        <v>1688130</v>
      </c>
      <c r="AQ34" s="40">
        <f t="shared" ref="AQ34" si="418">AQ32+AQ33</f>
        <v>1624274</v>
      </c>
      <c r="AR34" s="40">
        <f t="shared" ref="AR34:AW34" si="419">AR32+AR33</f>
        <v>1545588</v>
      </c>
      <c r="AS34" s="40">
        <f t="shared" si="419"/>
        <v>1558840</v>
      </c>
      <c r="AT34" s="40">
        <f t="shared" si="419"/>
        <v>1404773</v>
      </c>
      <c r="AU34" s="40">
        <f t="shared" si="419"/>
        <v>1392759</v>
      </c>
      <c r="AV34" s="40">
        <f t="shared" si="419"/>
        <v>1258353</v>
      </c>
      <c r="AW34" s="40">
        <f t="shared" si="419"/>
        <v>1248501</v>
      </c>
      <c r="AZ34" s="2" t="s">
        <v>13</v>
      </c>
      <c r="BA34" s="2"/>
      <c r="BB34" s="40">
        <f t="shared" ref="BB34:BC34" si="420">BB32+BB33</f>
        <v>11380736</v>
      </c>
      <c r="BC34" s="40">
        <f t="shared" si="420"/>
        <v>9859173</v>
      </c>
      <c r="BD34" s="40">
        <f t="shared" ref="BD34:BE34" si="421">BD32+BD33</f>
        <v>8498043</v>
      </c>
      <c r="BE34" s="40">
        <f t="shared" si="421"/>
        <v>7518710</v>
      </c>
      <c r="BF34" s="40">
        <f t="shared" ref="BF34:BG34" si="422">BF32+BF33</f>
        <v>6919671</v>
      </c>
      <c r="BG34" s="40">
        <f t="shared" si="422"/>
        <v>6199569</v>
      </c>
      <c r="BH34" s="40">
        <f t="shared" ref="BH34:BI34" si="423">BH32+BH33</f>
        <v>5751306</v>
      </c>
      <c r="BI34" s="40">
        <f t="shared" si="423"/>
        <v>5365186</v>
      </c>
      <c r="BJ34" s="40">
        <f t="shared" ref="BJ34" si="424">BJ32+BJ33</f>
        <v>4934215</v>
      </c>
      <c r="BK34" s="40">
        <f t="shared" ref="BK34:BP34" si="425">BK32+BK33</f>
        <v>4718828</v>
      </c>
      <c r="BL34" s="40">
        <f t="shared" si="425"/>
        <v>4497502</v>
      </c>
      <c r="BM34" s="40">
        <f t="shared" si="425"/>
        <v>4439026</v>
      </c>
      <c r="BN34" s="40">
        <f t="shared" si="425"/>
        <v>4559558</v>
      </c>
      <c r="BO34" s="40">
        <f t="shared" si="425"/>
        <v>4262697</v>
      </c>
      <c r="BP34" s="40">
        <f t="shared" si="425"/>
        <v>4257912</v>
      </c>
      <c r="BS34" s="2" t="s">
        <v>13</v>
      </c>
      <c r="BT34" s="2"/>
      <c r="BU34" s="40">
        <f>BU32+BU33</f>
        <v>4241741</v>
      </c>
      <c r="BV34" s="40">
        <f>BV32+BV33</f>
        <v>3938693</v>
      </c>
      <c r="BW34" s="40">
        <f>BW32+BW33</f>
        <v>3631725</v>
      </c>
      <c r="BX34" s="40">
        <f t="shared" ref="BX34:CA34" si="426">BX32+BX33</f>
        <v>3516174</v>
      </c>
      <c r="BY34" s="40">
        <f t="shared" si="426"/>
        <v>3230448</v>
      </c>
      <c r="BZ34" s="40">
        <f t="shared" si="426"/>
        <v>3050123</v>
      </c>
      <c r="CA34" s="40">
        <f t="shared" si="426"/>
        <v>1799211</v>
      </c>
      <c r="CB34" s="40">
        <f t="shared" ref="CB34:CG34" si="427">CB32+CB33</f>
        <v>0</v>
      </c>
      <c r="CC34" s="40">
        <f t="shared" si="427"/>
        <v>0</v>
      </c>
      <c r="CD34" s="40">
        <f t="shared" si="427"/>
        <v>0</v>
      </c>
      <c r="CE34" s="40">
        <f t="shared" si="427"/>
        <v>0</v>
      </c>
      <c r="CF34" s="40">
        <f t="shared" si="427"/>
        <v>0</v>
      </c>
      <c r="CG34" s="40">
        <f t="shared" si="427"/>
        <v>0</v>
      </c>
      <c r="CJ34" s="2" t="s">
        <v>13</v>
      </c>
      <c r="CK34" s="2"/>
      <c r="CL34" s="40">
        <f t="shared" ref="CL34" si="428">CL32+CL33</f>
        <v>5615589</v>
      </c>
      <c r="CM34" s="40">
        <f t="shared" ref="CM34" si="429">CM32+CM33</f>
        <v>5237640</v>
      </c>
      <c r="CN34" s="40">
        <f t="shared" ref="CN34:CP34" si="430">CN32+CN33</f>
        <v>4597028</v>
      </c>
      <c r="CO34" s="40">
        <f t="shared" si="430"/>
        <v>3900872</v>
      </c>
      <c r="CP34" s="40">
        <f t="shared" si="430"/>
        <v>3311582</v>
      </c>
      <c r="CQ34" s="40">
        <f t="shared" ref="CQ34:CR34" si="431">CQ32+CQ33</f>
        <v>3233355</v>
      </c>
      <c r="CR34" s="40">
        <f t="shared" si="431"/>
        <v>3198225</v>
      </c>
      <c r="CS34" s="40">
        <f t="shared" ref="CS34" si="432">CS32+CS33</f>
        <v>2846525</v>
      </c>
      <c r="CT34" s="40">
        <f t="shared" ref="CT34" si="433">CT32+CT33</f>
        <v>2679434</v>
      </c>
      <c r="CU34" s="40">
        <f t="shared" ref="CU34:CZ34" si="434">CU32+CU33</f>
        <v>2528827</v>
      </c>
      <c r="CV34" s="40">
        <f t="shared" si="434"/>
        <v>2398006</v>
      </c>
      <c r="CW34" s="40">
        <f t="shared" si="434"/>
        <v>2395061</v>
      </c>
      <c r="CX34" s="40">
        <f t="shared" si="434"/>
        <v>2405574</v>
      </c>
      <c r="CY34" s="40">
        <f t="shared" si="434"/>
        <v>2409669</v>
      </c>
      <c r="CZ34" s="40">
        <f t="shared" si="434"/>
        <v>2328990</v>
      </c>
      <c r="DC34" s="2" t="s">
        <v>13</v>
      </c>
      <c r="DD34" s="2"/>
      <c r="DE34" s="40">
        <f t="shared" ref="DE34:DF34" si="435">DE32+DE33</f>
        <v>5695600</v>
      </c>
      <c r="DF34" s="40">
        <f t="shared" si="435"/>
        <v>5443500</v>
      </c>
      <c r="DG34" s="40">
        <f t="shared" ref="DG34:DH34" si="436">DG32+DG33</f>
        <v>4878200</v>
      </c>
      <c r="DH34" s="40">
        <f t="shared" si="436"/>
        <v>4560400</v>
      </c>
      <c r="DI34" s="40">
        <f t="shared" ref="DI34:DJ34" si="437">DI32+DI33</f>
        <v>4254800</v>
      </c>
      <c r="DJ34" s="40">
        <f t="shared" si="437"/>
        <v>3765100</v>
      </c>
      <c r="DK34" s="40">
        <f t="shared" ref="DK34" si="438">DK32+DK33</f>
        <v>3648200</v>
      </c>
      <c r="DL34" s="40">
        <f t="shared" ref="DL34" si="439">DL32+DL33</f>
        <v>2033781</v>
      </c>
      <c r="DM34" s="40">
        <f t="shared" ref="DM34" si="440">DM32+DM33</f>
        <v>1010243</v>
      </c>
      <c r="DN34" s="40">
        <f t="shared" ref="DN34:DS34" si="441">DN32+DN33</f>
        <v>985788</v>
      </c>
      <c r="DO34" s="40">
        <f t="shared" si="441"/>
        <v>1061662</v>
      </c>
      <c r="DP34" s="40">
        <f t="shared" si="441"/>
        <v>1038236</v>
      </c>
      <c r="DQ34" s="40">
        <f t="shared" si="441"/>
        <v>1087750</v>
      </c>
      <c r="DR34" s="40">
        <f t="shared" si="441"/>
        <v>1034177</v>
      </c>
      <c r="DS34" s="40">
        <f t="shared" si="441"/>
        <v>1002669</v>
      </c>
      <c r="DV34" s="2" t="s">
        <v>13</v>
      </c>
      <c r="DW34" s="2"/>
      <c r="DX34" s="40">
        <f t="shared" ref="DX34" si="442">DX32+DX33</f>
        <v>5214698</v>
      </c>
      <c r="DY34" s="40">
        <f t="shared" ref="DY34" si="443">DY32+DY33</f>
        <v>4843038</v>
      </c>
      <c r="DZ34" s="40">
        <f t="shared" ref="DZ34:EA34" si="444">DZ32+DZ33</f>
        <v>4404389</v>
      </c>
      <c r="EA34" s="40">
        <f t="shared" si="444"/>
        <v>2762382</v>
      </c>
      <c r="EB34" s="40">
        <f t="shared" ref="EB34:EC34" si="445">EB32+EB33</f>
        <v>2652635</v>
      </c>
      <c r="EC34" s="40">
        <f t="shared" si="445"/>
        <v>2520619</v>
      </c>
      <c r="ED34" s="40">
        <f t="shared" ref="ED34" si="446">ED32+ED33</f>
        <v>2217790</v>
      </c>
      <c r="EE34" s="40">
        <f t="shared" ref="EE34:EF34" si="447">EE32+EE33</f>
        <v>1903060</v>
      </c>
      <c r="EF34" s="40">
        <f t="shared" si="447"/>
        <v>1732619</v>
      </c>
      <c r="EG34" s="40">
        <f t="shared" ref="EG34:EL34" si="448">EG32+EG33</f>
        <v>1400352</v>
      </c>
      <c r="EH34" s="40">
        <f t="shared" si="448"/>
        <v>1293996</v>
      </c>
      <c r="EI34" s="40">
        <f t="shared" si="448"/>
        <v>1107582</v>
      </c>
      <c r="EJ34" s="40">
        <f t="shared" si="448"/>
        <v>1109899</v>
      </c>
      <c r="EK34" s="40">
        <f t="shared" si="448"/>
        <v>967687</v>
      </c>
      <c r="EL34" s="40">
        <f t="shared" si="448"/>
        <v>1005818</v>
      </c>
      <c r="EO34" s="2" t="s">
        <v>13</v>
      </c>
      <c r="EP34" s="40">
        <f t="shared" ref="EP34:EU34" si="449">EP32+EP33</f>
        <v>374905.72499999998</v>
      </c>
      <c r="EQ34" s="40">
        <f t="shared" si="449"/>
        <v>332919.42599999998</v>
      </c>
      <c r="ER34" s="40">
        <f t="shared" si="449"/>
        <v>288082.72599999997</v>
      </c>
      <c r="ES34" s="40">
        <f t="shared" si="449"/>
        <v>275186.51799999998</v>
      </c>
      <c r="ET34" s="40">
        <f t="shared" si="449"/>
        <v>241693.77500000002</v>
      </c>
      <c r="EU34" s="40">
        <f t="shared" si="449"/>
        <v>202008.31699999998</v>
      </c>
      <c r="EX34" s="122"/>
      <c r="EY34" s="122"/>
      <c r="EZ34" s="122"/>
      <c r="FA34" s="122"/>
      <c r="FB34" s="122"/>
      <c r="FC34" s="122"/>
      <c r="FD34" s="122"/>
      <c r="FE34" s="36"/>
      <c r="FF34" s="1"/>
      <c r="FG34" s="1"/>
      <c r="FH34" s="1"/>
    </row>
    <row r="35" spans="1:164" x14ac:dyDescent="0.25">
      <c r="D35" s="134"/>
      <c r="E35" s="134"/>
      <c r="F35" s="134"/>
      <c r="G35" s="134"/>
      <c r="H35" s="134"/>
      <c r="I35" s="134"/>
      <c r="J35" s="134"/>
      <c r="K35" s="134"/>
      <c r="L35" s="134"/>
      <c r="U35" s="10"/>
      <c r="W35" s="10"/>
      <c r="X35" s="10"/>
      <c r="AI35" s="10"/>
      <c r="AJ35" s="10"/>
      <c r="AK35" s="10"/>
      <c r="AL35" s="10"/>
      <c r="AM35" s="10"/>
      <c r="AN35" s="10"/>
      <c r="AO35" s="10"/>
      <c r="AP35" s="10"/>
      <c r="AQ35" s="10"/>
      <c r="BF35" s="10"/>
      <c r="BG35" s="10"/>
      <c r="BH35" s="10"/>
      <c r="BI35" s="10"/>
      <c r="BJ35" s="10"/>
      <c r="BU35" s="10"/>
      <c r="BV35" s="10"/>
      <c r="BW35" s="10"/>
      <c r="BX35" s="10"/>
      <c r="BY35" s="10"/>
      <c r="BZ35" s="10"/>
      <c r="CL35" s="10"/>
      <c r="CM35" s="10"/>
      <c r="CN35" s="10"/>
      <c r="CO35" s="10"/>
      <c r="CP35" s="10"/>
      <c r="CQ35" s="10"/>
      <c r="CR35" s="10"/>
      <c r="CS35" s="10"/>
      <c r="CT35" s="10"/>
      <c r="DE35" s="10"/>
      <c r="DF35" s="10"/>
      <c r="DG35" s="10"/>
      <c r="DH35" s="10"/>
      <c r="DI35" s="10"/>
      <c r="DJ35" s="10"/>
      <c r="DK35" s="10"/>
      <c r="DL35" s="10"/>
      <c r="DM35" s="10"/>
      <c r="DX35" s="10"/>
      <c r="DZ35" s="10"/>
      <c r="EA35" s="10"/>
      <c r="EB35" s="10"/>
      <c r="EC35" s="10"/>
      <c r="ED35" s="10"/>
      <c r="EE35" s="10"/>
      <c r="EF35" s="10"/>
      <c r="ET35" s="10"/>
      <c r="EU35" s="10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</row>
    <row r="36" spans="1:164" x14ac:dyDescent="0.25">
      <c r="U36" s="10"/>
      <c r="W36" s="10"/>
      <c r="X36" s="10"/>
      <c r="AI36" s="10"/>
      <c r="AJ36" s="10"/>
      <c r="AK36" s="10"/>
      <c r="AL36" s="10"/>
      <c r="AM36" s="10"/>
      <c r="AN36" s="10"/>
      <c r="AO36" s="10"/>
      <c r="AP36" s="10"/>
      <c r="AQ36" s="10"/>
      <c r="BF36" s="10"/>
      <c r="BG36" s="10"/>
      <c r="BH36" s="10"/>
      <c r="BI36" s="10"/>
      <c r="BJ36" s="10"/>
      <c r="BU36" s="10"/>
      <c r="BV36" s="10"/>
      <c r="BW36" s="10"/>
      <c r="BX36" s="10"/>
      <c r="BY36" s="10"/>
      <c r="BZ36" s="10"/>
      <c r="CL36" s="10"/>
      <c r="CM36" s="10"/>
      <c r="CN36" s="10"/>
      <c r="CO36" s="10"/>
      <c r="CP36" s="10"/>
      <c r="CQ36" s="10"/>
      <c r="CR36" s="10"/>
      <c r="CS36" s="10"/>
      <c r="CT36" s="10"/>
      <c r="DE36" s="10"/>
      <c r="DF36" s="10"/>
      <c r="DG36" s="10"/>
      <c r="DH36" s="10"/>
      <c r="DI36" s="10"/>
      <c r="DJ36" s="10"/>
      <c r="DK36" s="10"/>
      <c r="DL36" s="10"/>
      <c r="DM36" s="10"/>
      <c r="DT36" s="11" t="s">
        <v>111</v>
      </c>
      <c r="DX36" s="10"/>
      <c r="DZ36" s="10"/>
      <c r="EA36" s="10"/>
      <c r="EB36" s="10"/>
      <c r="EC36" s="10"/>
      <c r="ED36" s="10"/>
      <c r="EE36" s="10"/>
      <c r="EF36" s="10"/>
      <c r="ET36" s="10"/>
      <c r="EU36" s="10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</row>
    <row r="37" spans="1:164" x14ac:dyDescent="0.25">
      <c r="A37" s="83" t="s">
        <v>16</v>
      </c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2"/>
      <c r="N37" s="83" t="s">
        <v>16</v>
      </c>
      <c r="O37" s="48"/>
      <c r="P37" s="48"/>
      <c r="Q37" s="48"/>
      <c r="R37" s="48"/>
      <c r="S37" s="48"/>
      <c r="T37" s="48"/>
      <c r="U37" s="57"/>
      <c r="V37" s="48"/>
      <c r="W37" s="57"/>
      <c r="X37" s="57"/>
      <c r="Y37" s="48"/>
      <c r="Z37" s="42"/>
      <c r="AG37" s="83" t="s">
        <v>16</v>
      </c>
      <c r="AH37" s="48"/>
      <c r="AI37" s="57"/>
      <c r="AJ37" s="57"/>
      <c r="AK37" s="57"/>
      <c r="AL37" s="57"/>
      <c r="AM37" s="57"/>
      <c r="AN37" s="57"/>
      <c r="AO37" s="57"/>
      <c r="AP37" s="57"/>
      <c r="AQ37" s="57"/>
      <c r="AR37" s="48"/>
      <c r="AS37" s="42"/>
      <c r="AZ37" s="83" t="s">
        <v>16</v>
      </c>
      <c r="BA37" s="48"/>
      <c r="BB37" s="48"/>
      <c r="BC37" s="48"/>
      <c r="BD37" s="48"/>
      <c r="BE37" s="48"/>
      <c r="BF37" s="57"/>
      <c r="BG37" s="57"/>
      <c r="BH37" s="57"/>
      <c r="BI37" s="57"/>
      <c r="BJ37" s="57"/>
      <c r="BK37" s="48"/>
      <c r="BL37" s="42"/>
      <c r="BS37" s="83" t="s">
        <v>16</v>
      </c>
      <c r="BT37" s="48"/>
      <c r="BU37" s="57"/>
      <c r="BV37" s="57"/>
      <c r="BW37" s="57"/>
      <c r="BX37" s="57"/>
      <c r="BY37" s="57"/>
      <c r="BZ37" s="57"/>
      <c r="CA37" s="48"/>
      <c r="CB37" s="48"/>
      <c r="CC37" s="42"/>
      <c r="CJ37" s="83" t="s">
        <v>16</v>
      </c>
      <c r="CK37" s="48"/>
      <c r="CL37" s="57"/>
      <c r="CM37" s="57"/>
      <c r="CN37" s="57"/>
      <c r="CO37" s="57"/>
      <c r="CP37" s="57"/>
      <c r="CQ37" s="57"/>
      <c r="CR37" s="57"/>
      <c r="CS37" s="57"/>
      <c r="CT37" s="57"/>
      <c r="CU37" s="48"/>
      <c r="CV37" s="42"/>
      <c r="DC37" s="83" t="s">
        <v>16</v>
      </c>
      <c r="DD37" s="48"/>
      <c r="DE37" s="57"/>
      <c r="DF37" s="57"/>
      <c r="DG37" s="57"/>
      <c r="DH37" s="57"/>
      <c r="DI37" s="57"/>
      <c r="DJ37" s="57"/>
      <c r="DK37" s="57"/>
      <c r="DL37" s="57"/>
      <c r="DM37" s="57"/>
      <c r="DN37" s="48"/>
      <c r="DO37" s="42"/>
      <c r="DV37" s="83" t="s">
        <v>16</v>
      </c>
      <c r="DW37" s="48"/>
      <c r="DX37" s="57"/>
      <c r="DY37" s="48"/>
      <c r="DZ37" s="57"/>
      <c r="EA37" s="57"/>
      <c r="EB37" s="57"/>
      <c r="EC37" s="57"/>
      <c r="ED37" s="57"/>
      <c r="EE37" s="57"/>
      <c r="EF37" s="57"/>
      <c r="EG37" s="48"/>
      <c r="EH37" s="42"/>
      <c r="EO37" s="83" t="s">
        <v>16</v>
      </c>
      <c r="EP37" s="48"/>
      <c r="EQ37" s="48"/>
      <c r="ER37" s="48"/>
      <c r="ES37" s="48"/>
      <c r="ET37" s="57"/>
      <c r="EU37" s="57"/>
      <c r="EX37" s="46"/>
      <c r="EY37" s="46"/>
      <c r="EZ37" s="46"/>
      <c r="FA37" s="1"/>
      <c r="FB37" s="1"/>
      <c r="FC37" s="1"/>
      <c r="FD37" s="1"/>
      <c r="FE37" s="127"/>
      <c r="FF37" s="1"/>
      <c r="FG37" s="1"/>
      <c r="FH37" s="1"/>
    </row>
    <row r="38" spans="1:164" x14ac:dyDescent="0.25">
      <c r="A38" s="47" t="s">
        <v>18</v>
      </c>
      <c r="B38" s="47"/>
      <c r="C38" s="47"/>
      <c r="D38" s="47"/>
      <c r="E38" s="47"/>
      <c r="F38" s="47"/>
      <c r="G38" s="47"/>
      <c r="N38" s="47" t="s">
        <v>18</v>
      </c>
      <c r="U38" s="10"/>
      <c r="W38" s="10"/>
      <c r="X38" s="10"/>
      <c r="AG38" s="47" t="s">
        <v>18</v>
      </c>
      <c r="AI38" s="10"/>
      <c r="AJ38" s="10"/>
      <c r="AK38" s="10"/>
      <c r="AL38" s="10"/>
      <c r="AM38" s="10"/>
      <c r="AN38" s="10"/>
      <c r="AO38" s="10"/>
      <c r="AP38" s="10"/>
      <c r="AQ38" s="10"/>
      <c r="AZ38" s="47" t="s">
        <v>18</v>
      </c>
      <c r="BF38" s="10"/>
      <c r="BG38" s="10"/>
      <c r="BH38" s="10"/>
      <c r="BI38" s="10"/>
      <c r="BJ38" s="10"/>
      <c r="BS38" s="47" t="s">
        <v>18</v>
      </c>
      <c r="BU38" s="10"/>
      <c r="BV38" s="10"/>
      <c r="BW38" s="10"/>
      <c r="BX38" s="10"/>
      <c r="BY38" s="10"/>
      <c r="BZ38" s="10"/>
      <c r="CH38" s="11" t="s">
        <v>111</v>
      </c>
      <c r="CJ38" s="47" t="s">
        <v>18</v>
      </c>
      <c r="CL38" s="10"/>
      <c r="CM38" s="10"/>
      <c r="CN38" s="10"/>
      <c r="CO38" s="10"/>
      <c r="CP38" s="10"/>
      <c r="CQ38" s="10"/>
      <c r="CR38" s="10"/>
      <c r="CS38" s="10"/>
      <c r="CT38" s="10"/>
      <c r="DC38" s="47" t="s">
        <v>18</v>
      </c>
      <c r="DE38" s="10"/>
      <c r="DF38" s="10"/>
      <c r="DG38" s="10"/>
      <c r="DH38" s="10"/>
      <c r="DI38" s="10"/>
      <c r="DJ38" s="10"/>
      <c r="DK38" s="10"/>
      <c r="DL38" s="10"/>
      <c r="DM38" s="10"/>
      <c r="DV38" s="47" t="s">
        <v>18</v>
      </c>
      <c r="DX38" s="10"/>
      <c r="DZ38" s="10"/>
      <c r="EA38" s="10"/>
      <c r="EB38" s="10"/>
      <c r="EC38" s="10"/>
      <c r="ED38" s="10"/>
      <c r="EE38" s="10"/>
      <c r="EF38" s="10"/>
      <c r="EO38" s="47" t="s">
        <v>18</v>
      </c>
      <c r="ET38" s="10"/>
      <c r="EU38" s="10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</row>
    <row r="39" spans="1:164" x14ac:dyDescent="0.25">
      <c r="A39" s="11" t="s">
        <v>0</v>
      </c>
      <c r="B39" s="43">
        <f t="shared" ref="B39:L39" si="450">(P39+AI39+BB39+BU39+CL39+DE39+DX39)/7</f>
        <v>0.49298142857142857</v>
      </c>
      <c r="C39" s="43">
        <f t="shared" si="450"/>
        <v>0.46154285714285709</v>
      </c>
      <c r="D39" s="43">
        <f t="shared" si="450"/>
        <v>0.45868142857142857</v>
      </c>
      <c r="E39" s="43">
        <f t="shared" si="450"/>
        <v>0.45753428571428562</v>
      </c>
      <c r="F39" s="43">
        <f t="shared" si="450"/>
        <v>0.43435428571428564</v>
      </c>
      <c r="G39" s="43">
        <f t="shared" si="450"/>
        <v>0.45204285714285714</v>
      </c>
      <c r="H39" s="43">
        <f t="shared" si="450"/>
        <v>0.40085714285714286</v>
      </c>
      <c r="I39" s="43" t="e">
        <f t="shared" si="450"/>
        <v>#DIV/0!</v>
      </c>
      <c r="J39" s="43" t="e">
        <f t="shared" si="450"/>
        <v>#DIV/0!</v>
      </c>
      <c r="K39" s="43" t="e">
        <f t="shared" si="450"/>
        <v>#DIV/0!</v>
      </c>
      <c r="L39" s="43" t="e">
        <f t="shared" si="450"/>
        <v>#DIV/0!</v>
      </c>
      <c r="N39" s="11" t="s">
        <v>0</v>
      </c>
      <c r="P39" s="43">
        <f t="shared" ref="P39" si="451">ROUND(P12/P24,3)</f>
        <v>0.54500000000000004</v>
      </c>
      <c r="Q39" s="43">
        <f t="shared" ref="Q39" si="452">ROUND(Q12/Q24,3)</f>
        <v>0.49299999999999999</v>
      </c>
      <c r="R39" s="43">
        <f t="shared" ref="R39:S39" si="453">ROUND(R12/R24,3)</f>
        <v>0.45200000000000001</v>
      </c>
      <c r="S39" s="43">
        <f t="shared" si="453"/>
        <v>0.44600000000000001</v>
      </c>
      <c r="T39" s="43">
        <f t="shared" ref="T39:U39" si="454">ROUND(T12/T24,3)</f>
        <v>0.47399999999999998</v>
      </c>
      <c r="U39" s="43">
        <f t="shared" si="454"/>
        <v>0.43</v>
      </c>
      <c r="V39" s="43">
        <f t="shared" ref="V39:W39" si="455">ROUND(V12/V24,3)</f>
        <v>0.38100000000000001</v>
      </c>
      <c r="W39" s="43">
        <f t="shared" si="455"/>
        <v>0.36599999999999999</v>
      </c>
      <c r="X39" s="43">
        <f t="shared" ref="X39" si="456">ROUND(X12/X24,3)</f>
        <v>0.38900000000000001</v>
      </c>
      <c r="Y39" s="43">
        <f t="shared" ref="Y39:AD39" si="457">ROUND(Y12/Y24,3)</f>
        <v>0.35199999999999998</v>
      </c>
      <c r="Z39" s="43">
        <f t="shared" si="457"/>
        <v>0.36799999999999999</v>
      </c>
      <c r="AA39" s="43">
        <f t="shared" si="457"/>
        <v>0.39400000000000002</v>
      </c>
      <c r="AB39" s="43">
        <f t="shared" si="457"/>
        <v>0.38400000000000001</v>
      </c>
      <c r="AC39" s="43">
        <f t="shared" si="457"/>
        <v>0.37</v>
      </c>
      <c r="AD39" s="43">
        <f t="shared" si="457"/>
        <v>0.34899999999999998</v>
      </c>
      <c r="AG39" s="11" t="s">
        <v>0</v>
      </c>
      <c r="AI39" s="43">
        <f t="shared" ref="AI39:AJ39" si="458">ROUND(AI12/AI24,3)</f>
        <v>0.48799999999999999</v>
      </c>
      <c r="AJ39" s="43">
        <f t="shared" si="458"/>
        <v>0.47899999999999998</v>
      </c>
      <c r="AK39" s="43">
        <f t="shared" ref="AK39:AL39" si="459">ROUND(AK12/AK24,3)</f>
        <v>0.47799999999999998</v>
      </c>
      <c r="AL39" s="43">
        <f t="shared" si="459"/>
        <v>0.47599999999999998</v>
      </c>
      <c r="AM39" s="43">
        <f t="shared" ref="AM39:AN39" si="460">ROUND(AM12/AM24,3)</f>
        <v>0.442</v>
      </c>
      <c r="AN39" s="43">
        <f t="shared" si="460"/>
        <v>0.41899999999999998</v>
      </c>
      <c r="AO39" s="43">
        <f t="shared" ref="AO39" si="461">ROUND(AO12/AO24,3)</f>
        <v>0.44400000000000001</v>
      </c>
      <c r="AP39" s="43">
        <f t="shared" ref="AP39" si="462">ROUND(AP12/AP24,3)</f>
        <v>0.47299999999999998</v>
      </c>
      <c r="AQ39" s="43">
        <f t="shared" ref="AQ39" si="463">ROUND(AQ12/AQ24,3)</f>
        <v>0.48199999999999998</v>
      </c>
      <c r="AR39" s="43">
        <f t="shared" ref="AR39:AW39" si="464">ROUND(AR12/AR24,3)</f>
        <v>0.47</v>
      </c>
      <c r="AS39" s="43">
        <f t="shared" si="464"/>
        <v>0.45800000000000002</v>
      </c>
      <c r="AT39" s="43">
        <f t="shared" si="464"/>
        <v>0.47499999999999998</v>
      </c>
      <c r="AU39" s="43">
        <f t="shared" si="464"/>
        <v>0.44700000000000001</v>
      </c>
      <c r="AV39" s="43">
        <f t="shared" si="464"/>
        <v>0.46100000000000002</v>
      </c>
      <c r="AW39" s="43">
        <f t="shared" si="464"/>
        <v>0.46200000000000002</v>
      </c>
      <c r="AZ39" s="11" t="s">
        <v>0</v>
      </c>
      <c r="BB39" s="43">
        <f t="shared" ref="BB39:BC39" si="465">ROUND(BB12/BB24,3)</f>
        <v>0.39800000000000002</v>
      </c>
      <c r="BC39" s="43">
        <f t="shared" si="465"/>
        <v>0.376</v>
      </c>
      <c r="BD39" s="43">
        <f t="shared" ref="BD39:BE39" si="466">ROUND(BD12/BD24,3)</f>
        <v>0.33900000000000002</v>
      </c>
      <c r="BE39" s="43">
        <f t="shared" si="466"/>
        <v>0.434</v>
      </c>
      <c r="BF39" s="43">
        <f t="shared" ref="BF39:BG39" si="467">ROUND(BF12/BF24,3)</f>
        <v>0.375</v>
      </c>
      <c r="BG39" s="43">
        <f t="shared" si="467"/>
        <v>0.42499999999999999</v>
      </c>
      <c r="BH39" s="43">
        <f t="shared" ref="BH39" si="468">ROUND(BH12/BH24,3)</f>
        <v>0.442</v>
      </c>
      <c r="BI39" s="43">
        <f t="shared" ref="BI39:BJ39" si="469">ROUND(BI12/BI24,3)</f>
        <v>0.49099999999999999</v>
      </c>
      <c r="BJ39" s="43">
        <f t="shared" si="469"/>
        <v>0.44800000000000001</v>
      </c>
      <c r="BK39" s="43">
        <f t="shared" ref="BK39:BP39" si="470">ROUND(BK12/BK24,3)</f>
        <v>0.48899999999999999</v>
      </c>
      <c r="BL39" s="43">
        <f t="shared" si="470"/>
        <v>0.45100000000000001</v>
      </c>
      <c r="BM39" s="43">
        <f t="shared" si="470"/>
        <v>0.497</v>
      </c>
      <c r="BN39" s="43">
        <f t="shared" si="470"/>
        <v>0.504</v>
      </c>
      <c r="BO39" s="43">
        <f t="shared" si="470"/>
        <v>0.51800000000000002</v>
      </c>
      <c r="BP39" s="43">
        <f t="shared" si="470"/>
        <v>0.56299999999999994</v>
      </c>
      <c r="BS39" s="11" t="s">
        <v>0</v>
      </c>
      <c r="BU39" s="43">
        <f>ROUND(BU12/BU24,5)</f>
        <v>0.41387000000000002</v>
      </c>
      <c r="BV39" s="43">
        <f>ROUND(BV12/BV24,5)</f>
        <v>0.37580000000000002</v>
      </c>
      <c r="BW39" s="43">
        <f>ROUND(BW12/BW24,5)</f>
        <v>0.38577</v>
      </c>
      <c r="BX39" s="43">
        <f t="shared" ref="BX39:BZ39" si="471">ROUND(BX12/BX24,5)</f>
        <v>0.37774000000000002</v>
      </c>
      <c r="BY39" s="43">
        <f t="shared" si="471"/>
        <v>0.38647999999999999</v>
      </c>
      <c r="BZ39" s="43">
        <f t="shared" si="471"/>
        <v>0.39229999999999998</v>
      </c>
      <c r="CA39" s="43">
        <f t="shared" ref="CA39" si="472">ROUND(CA12/CA24,4)</f>
        <v>0</v>
      </c>
      <c r="CB39" s="43" t="e">
        <f t="shared" ref="CB39:CG39" si="473">ROUND(CB12/CB24,4)</f>
        <v>#DIV/0!</v>
      </c>
      <c r="CC39" s="43" t="e">
        <f t="shared" si="473"/>
        <v>#DIV/0!</v>
      </c>
      <c r="CD39" s="43" t="e">
        <f t="shared" si="473"/>
        <v>#DIV/0!</v>
      </c>
      <c r="CE39" s="43" t="e">
        <f t="shared" si="473"/>
        <v>#DIV/0!</v>
      </c>
      <c r="CF39" s="43" t="e">
        <f t="shared" si="473"/>
        <v>#DIV/0!</v>
      </c>
      <c r="CG39" s="43" t="e">
        <f t="shared" si="473"/>
        <v>#DIV/0!</v>
      </c>
      <c r="CJ39" s="11" t="s">
        <v>0</v>
      </c>
      <c r="CL39" s="43">
        <f t="shared" ref="CL39" si="474">ROUND(CL12/CL24,3)</f>
        <v>0.5</v>
      </c>
      <c r="CM39" s="43">
        <f t="shared" ref="CM39" si="475">ROUND(CM12/CM24,3)</f>
        <v>0.47299999999999998</v>
      </c>
      <c r="CN39" s="43">
        <f t="shared" ref="CN39:CO39" si="476">ROUND(CN12/CN24,3)</f>
        <v>0.47799999999999998</v>
      </c>
      <c r="CO39" s="43">
        <f t="shared" si="476"/>
        <v>0.49099999999999999</v>
      </c>
      <c r="CP39" s="43">
        <f t="shared" ref="CP39:CQ39" si="477">ROUND(CP12/CP24,3)</f>
        <v>0.47499999999999998</v>
      </c>
      <c r="CQ39" s="43">
        <f t="shared" si="477"/>
        <v>0.48499999999999999</v>
      </c>
      <c r="CR39" s="43">
        <f t="shared" ref="CR39" si="478">ROUND(CR12/CR24,3)</f>
        <v>0.51600000000000001</v>
      </c>
      <c r="CS39" s="43">
        <f t="shared" ref="CS39" si="479">ROUND(CS12/CS24,3)</f>
        <v>0.48699999999999999</v>
      </c>
      <c r="CT39" s="43">
        <f t="shared" ref="CT39" si="480">ROUND(CT12/CT24,3)</f>
        <v>0.48199999999999998</v>
      </c>
      <c r="CU39" s="43">
        <f t="shared" ref="CU39:CZ39" si="481">ROUND(CU12/CU24,3)</f>
        <v>0.42199999999999999</v>
      </c>
      <c r="CV39" s="43">
        <f t="shared" si="481"/>
        <v>0.48399999999999999</v>
      </c>
      <c r="CW39" s="43">
        <f t="shared" si="481"/>
        <v>0.53</v>
      </c>
      <c r="CX39" s="43">
        <f t="shared" si="481"/>
        <v>0.54900000000000004</v>
      </c>
      <c r="CY39" s="43">
        <f t="shared" si="481"/>
        <v>0.57799999999999996</v>
      </c>
      <c r="CZ39" s="43">
        <f t="shared" si="481"/>
        <v>0.60199999999999998</v>
      </c>
      <c r="DC39" s="11" t="s">
        <v>0</v>
      </c>
      <c r="DE39" s="43">
        <f t="shared" ref="DE39:DF39" si="482">ROUND(DE12/DE24,3)</f>
        <v>0.48599999999999999</v>
      </c>
      <c r="DF39" s="43">
        <f t="shared" si="482"/>
        <v>0.44700000000000001</v>
      </c>
      <c r="DG39" s="43">
        <f t="shared" ref="DG39:DH39" si="483">ROUND(DG12/DG24,3)</f>
        <v>0.45800000000000002</v>
      </c>
      <c r="DH39" s="43">
        <f t="shared" si="483"/>
        <v>0.501</v>
      </c>
      <c r="DI39" s="43">
        <f t="shared" ref="DI39:DJ39" si="484">ROUND(DI12/DI24,3)</f>
        <v>0.50800000000000001</v>
      </c>
      <c r="DJ39" s="43">
        <f t="shared" si="484"/>
        <v>0.52900000000000003</v>
      </c>
      <c r="DK39" s="43">
        <f t="shared" ref="DK39" si="485">ROUND(DK12/DK24,3)</f>
        <v>0.55100000000000005</v>
      </c>
      <c r="DL39" s="43">
        <f t="shared" ref="DL39:DM39" si="486">ROUND(DL12/DL24,3)</f>
        <v>0.46600000000000003</v>
      </c>
      <c r="DM39" s="43">
        <f t="shared" si="486"/>
        <v>0.35899999999999999</v>
      </c>
      <c r="DN39" s="43">
        <f t="shared" ref="DN39:DS39" si="487">ROUND(DN12/DN24,3)</f>
        <v>0.38800000000000001</v>
      </c>
      <c r="DO39" s="43">
        <f t="shared" si="487"/>
        <v>0.40200000000000002</v>
      </c>
      <c r="DP39" s="43">
        <f t="shared" si="487"/>
        <v>0.42799999999999999</v>
      </c>
      <c r="DQ39" s="43">
        <f t="shared" si="487"/>
        <v>0.44600000000000001</v>
      </c>
      <c r="DR39" s="43">
        <f t="shared" si="487"/>
        <v>0.45400000000000001</v>
      </c>
      <c r="DS39" s="43">
        <f t="shared" si="487"/>
        <v>0.497</v>
      </c>
      <c r="DV39" s="11" t="s">
        <v>0</v>
      </c>
      <c r="DX39" s="43">
        <f t="shared" ref="DX39" si="488">ROUND(DX12/DX24,3)</f>
        <v>0.62</v>
      </c>
      <c r="DY39" s="43">
        <f t="shared" ref="DY39:EL39" si="489">ROUND(DY12/DY24,3)</f>
        <v>0.58699999999999997</v>
      </c>
      <c r="DZ39" s="43">
        <f t="shared" si="489"/>
        <v>0.62</v>
      </c>
      <c r="EA39" s="43">
        <f t="shared" si="489"/>
        <v>0.47699999999999998</v>
      </c>
      <c r="EB39" s="43">
        <f t="shared" si="489"/>
        <v>0.38</v>
      </c>
      <c r="EC39" s="43">
        <f t="shared" si="489"/>
        <v>0.48399999999999999</v>
      </c>
      <c r="ED39" s="43">
        <f t="shared" si="489"/>
        <v>0.47199999999999998</v>
      </c>
      <c r="EE39" s="43">
        <f t="shared" si="489"/>
        <v>0.44500000000000001</v>
      </c>
      <c r="EF39" s="43">
        <f t="shared" si="489"/>
        <v>0.439</v>
      </c>
      <c r="EG39" s="43">
        <f t="shared" si="489"/>
        <v>0.39400000000000002</v>
      </c>
      <c r="EH39" s="43">
        <f t="shared" si="489"/>
        <v>0.36499999999999999</v>
      </c>
      <c r="EI39" s="43">
        <f t="shared" si="489"/>
        <v>0.35699999999999998</v>
      </c>
      <c r="EJ39" s="43">
        <f t="shared" si="489"/>
        <v>0.38200000000000001</v>
      </c>
      <c r="EK39" s="43">
        <f t="shared" si="489"/>
        <v>0.42099999999999999</v>
      </c>
      <c r="EL39" s="43">
        <f t="shared" si="489"/>
        <v>0.443</v>
      </c>
      <c r="EO39" s="11" t="s">
        <v>0</v>
      </c>
      <c r="EP39" s="43">
        <f t="shared" ref="EP39:EU39" si="490">ROUND(EP12/EP23,3)</f>
        <v>0.45300000000000001</v>
      </c>
      <c r="EQ39" s="43">
        <f t="shared" si="490"/>
        <v>0.45800000000000002</v>
      </c>
      <c r="ER39" s="43">
        <f t="shared" si="490"/>
        <v>0.45400000000000001</v>
      </c>
      <c r="ES39" s="43">
        <f t="shared" si="490"/>
        <v>0.46200000000000002</v>
      </c>
      <c r="ET39" s="43">
        <f t="shared" si="490"/>
        <v>0.48699999999999999</v>
      </c>
      <c r="EU39" s="43">
        <f t="shared" si="490"/>
        <v>0.434</v>
      </c>
      <c r="EX39" s="3"/>
      <c r="EY39" s="3"/>
      <c r="EZ39" s="3"/>
      <c r="FA39" s="3"/>
      <c r="FB39" s="3"/>
      <c r="FC39" s="3"/>
      <c r="FD39" s="3"/>
      <c r="FE39" s="30"/>
      <c r="FF39" s="36"/>
      <c r="FG39" s="1"/>
      <c r="FH39" s="1"/>
    </row>
    <row r="40" spans="1:164" x14ac:dyDescent="0.25">
      <c r="A40" s="11" t="s">
        <v>3</v>
      </c>
      <c r="B40" s="43">
        <f t="shared" ref="B40:C41" si="491">(P40+AI40+BB40+BU40+CL40+DE40+DX40)/7</f>
        <v>7.0000000000000001E-3</v>
      </c>
      <c r="C40" s="43">
        <f t="shared" si="491"/>
        <v>7.4285714285714285E-3</v>
      </c>
      <c r="D40" s="43">
        <f t="shared" ref="D40:L41" si="492">(R40+AK40+BD40+BW40+CN40+DG40+DZ40)/7</f>
        <v>0</v>
      </c>
      <c r="E40" s="43">
        <f t="shared" si="492"/>
        <v>0</v>
      </c>
      <c r="F40" s="43">
        <f t="shared" si="492"/>
        <v>0</v>
      </c>
      <c r="G40" s="43">
        <f t="shared" si="492"/>
        <v>0</v>
      </c>
      <c r="H40" s="43">
        <f t="shared" si="492"/>
        <v>0</v>
      </c>
      <c r="I40" s="43" t="e">
        <f t="shared" si="492"/>
        <v>#DIV/0!</v>
      </c>
      <c r="J40" s="43" t="e">
        <f t="shared" si="492"/>
        <v>#DIV/0!</v>
      </c>
      <c r="K40" s="43" t="e">
        <f t="shared" si="492"/>
        <v>#DIV/0!</v>
      </c>
      <c r="L40" s="43" t="e">
        <f t="shared" si="492"/>
        <v>#DIV/0!</v>
      </c>
      <c r="N40" s="11" t="s">
        <v>3</v>
      </c>
      <c r="P40" s="56">
        <f t="shared" ref="P40" si="493">ROUND(P16/P24,3)</f>
        <v>0</v>
      </c>
      <c r="Q40" s="56">
        <f t="shared" ref="Q40" si="494">ROUND(Q16/Q24,3)</f>
        <v>0</v>
      </c>
      <c r="R40" s="56">
        <f t="shared" ref="R40:S40" si="495">ROUND(R16/R24,3)</f>
        <v>0</v>
      </c>
      <c r="S40" s="56">
        <f t="shared" si="495"/>
        <v>0</v>
      </c>
      <c r="T40" s="56">
        <f t="shared" ref="T40:U40" si="496">ROUND(T16/T24,3)</f>
        <v>0</v>
      </c>
      <c r="U40" s="56">
        <f t="shared" si="496"/>
        <v>0</v>
      </c>
      <c r="V40" s="56">
        <f t="shared" ref="V40:W40" si="497">ROUND(V16/V24,3)</f>
        <v>0</v>
      </c>
      <c r="W40" s="56">
        <f t="shared" si="497"/>
        <v>0</v>
      </c>
      <c r="X40" s="56">
        <f t="shared" ref="X40" si="498">ROUND(X16/X24,3)</f>
        <v>0</v>
      </c>
      <c r="Y40" s="56">
        <f t="shared" ref="Y40:AD40" si="499">ROUND(Y16/Y24,3)</f>
        <v>0</v>
      </c>
      <c r="Z40" s="56">
        <f t="shared" si="499"/>
        <v>0</v>
      </c>
      <c r="AA40" s="56">
        <f t="shared" si="499"/>
        <v>0</v>
      </c>
      <c r="AB40" s="56">
        <f t="shared" si="499"/>
        <v>0</v>
      </c>
      <c r="AC40" s="56">
        <f t="shared" si="499"/>
        <v>0</v>
      </c>
      <c r="AD40" s="56">
        <f t="shared" si="499"/>
        <v>0</v>
      </c>
      <c r="AG40" s="11" t="s">
        <v>3</v>
      </c>
      <c r="AI40" s="56">
        <f t="shared" ref="AI40:AJ40" si="500">ROUND(AI16/AI24,3)</f>
        <v>0</v>
      </c>
      <c r="AJ40" s="56">
        <f t="shared" si="500"/>
        <v>0</v>
      </c>
      <c r="AK40" s="56">
        <f t="shared" ref="AK40:AL40" si="501">ROUND(AK16/AK24,3)</f>
        <v>0</v>
      </c>
      <c r="AL40" s="56">
        <f t="shared" si="501"/>
        <v>0</v>
      </c>
      <c r="AM40" s="56">
        <f t="shared" ref="AM40:AN40" si="502">ROUND(AM16/AM24,3)</f>
        <v>0</v>
      </c>
      <c r="AN40" s="56">
        <f t="shared" si="502"/>
        <v>0</v>
      </c>
      <c r="AO40" s="56">
        <f t="shared" ref="AO40" si="503">ROUND(AO16/AO24,3)</f>
        <v>0</v>
      </c>
      <c r="AP40" s="56">
        <f t="shared" ref="AP40" si="504">ROUND(AP16/AP24,3)</f>
        <v>0</v>
      </c>
      <c r="AQ40" s="56">
        <f t="shared" ref="AQ40" si="505">ROUND(AQ16/AQ24,3)</f>
        <v>0</v>
      </c>
      <c r="AR40" s="56">
        <f t="shared" ref="AR40:AW40" si="506">ROUND(AR16/AR24,3)</f>
        <v>0</v>
      </c>
      <c r="AS40" s="56">
        <f t="shared" si="506"/>
        <v>0</v>
      </c>
      <c r="AT40" s="56">
        <f t="shared" si="506"/>
        <v>0</v>
      </c>
      <c r="AU40" s="56">
        <f t="shared" si="506"/>
        <v>0</v>
      </c>
      <c r="AV40" s="56">
        <f t="shared" si="506"/>
        <v>0</v>
      </c>
      <c r="AW40" s="56">
        <f t="shared" si="506"/>
        <v>0</v>
      </c>
      <c r="AZ40" s="11" t="s">
        <v>3</v>
      </c>
      <c r="BB40" s="56">
        <f t="shared" ref="BB40:BC40" si="507">ROUND(BB16/BB24,3)</f>
        <v>0</v>
      </c>
      <c r="BC40" s="56">
        <f t="shared" si="507"/>
        <v>0</v>
      </c>
      <c r="BD40" s="56">
        <f t="shared" ref="BD40:BE40" si="508">ROUND(BD16/BD24,3)</f>
        <v>0</v>
      </c>
      <c r="BE40" s="56">
        <f t="shared" si="508"/>
        <v>0</v>
      </c>
      <c r="BF40" s="56">
        <f t="shared" ref="BF40:BG40" si="509">ROUND(BF16/BF24,3)</f>
        <v>0</v>
      </c>
      <c r="BG40" s="56">
        <f t="shared" si="509"/>
        <v>0</v>
      </c>
      <c r="BH40" s="56">
        <f t="shared" ref="BH40" si="510">ROUND(BH16/BH24,3)</f>
        <v>0</v>
      </c>
      <c r="BI40" s="56">
        <f t="shared" ref="BI40:BJ40" si="511">ROUND(BI16/BI24,3)</f>
        <v>0</v>
      </c>
      <c r="BJ40" s="56">
        <f t="shared" si="511"/>
        <v>0</v>
      </c>
      <c r="BK40" s="56">
        <f t="shared" ref="BK40:BP40" si="512">ROUND(BK16/BK24,3)</f>
        <v>0</v>
      </c>
      <c r="BL40" s="56">
        <f t="shared" si="512"/>
        <v>0</v>
      </c>
      <c r="BM40" s="56">
        <f t="shared" si="512"/>
        <v>0</v>
      </c>
      <c r="BN40" s="56">
        <f t="shared" si="512"/>
        <v>0</v>
      </c>
      <c r="BO40" s="56">
        <f t="shared" si="512"/>
        <v>0</v>
      </c>
      <c r="BP40" s="56">
        <f t="shared" si="512"/>
        <v>0</v>
      </c>
      <c r="BS40" s="11" t="s">
        <v>3</v>
      </c>
      <c r="BU40" s="58">
        <f>ROUND(BU16/BU24,5)</f>
        <v>0</v>
      </c>
      <c r="BV40" s="58">
        <f>ROUND(BV16/BV24,5)</f>
        <v>0</v>
      </c>
      <c r="BW40" s="58">
        <f>ROUND(BW16/BW24,5)</f>
        <v>0</v>
      </c>
      <c r="BX40" s="58">
        <f t="shared" ref="BX40:BZ40" si="513">ROUND(BX16/BX24,5)</f>
        <v>0</v>
      </c>
      <c r="BY40" s="58">
        <f t="shared" si="513"/>
        <v>0</v>
      </c>
      <c r="BZ40" s="58">
        <f t="shared" si="513"/>
        <v>0</v>
      </c>
      <c r="CA40" s="43">
        <f t="shared" ref="CA40" si="514">ROUND(CA16/CA24,4)</f>
        <v>0</v>
      </c>
      <c r="CB40" s="43" t="e">
        <f t="shared" ref="CB40:CG40" si="515">ROUND(CB16/CB24,4)</f>
        <v>#DIV/0!</v>
      </c>
      <c r="CC40" s="43" t="e">
        <f t="shared" si="515"/>
        <v>#DIV/0!</v>
      </c>
      <c r="CD40" s="43" t="e">
        <f t="shared" si="515"/>
        <v>#DIV/0!</v>
      </c>
      <c r="CE40" s="43" t="e">
        <f t="shared" si="515"/>
        <v>#DIV/0!</v>
      </c>
      <c r="CF40" s="43" t="e">
        <f t="shared" si="515"/>
        <v>#DIV/0!</v>
      </c>
      <c r="CG40" s="43" t="e">
        <f t="shared" si="515"/>
        <v>#DIV/0!</v>
      </c>
      <c r="CJ40" s="11" t="s">
        <v>3</v>
      </c>
      <c r="CL40" s="56">
        <f t="shared" ref="CL40" si="516">ROUND(CL16/CL24,3)</f>
        <v>0</v>
      </c>
      <c r="CM40" s="56">
        <f t="shared" ref="CM40" si="517">ROUND(CM16/CM24,3)</f>
        <v>0</v>
      </c>
      <c r="CN40" s="56">
        <f t="shared" ref="CN40:CO40" si="518">ROUND(CN16/CN24,3)</f>
        <v>0</v>
      </c>
      <c r="CO40" s="56">
        <f t="shared" si="518"/>
        <v>0</v>
      </c>
      <c r="CP40" s="56">
        <f t="shared" ref="CP40:CQ40" si="519">ROUND(CP16/CP24,3)</f>
        <v>0</v>
      </c>
      <c r="CQ40" s="56">
        <f t="shared" si="519"/>
        <v>0</v>
      </c>
      <c r="CR40" s="56">
        <f t="shared" ref="CR40" si="520">ROUND(CR16/CR24,3)</f>
        <v>0</v>
      </c>
      <c r="CS40" s="56">
        <f t="shared" ref="CS40" si="521">ROUND(CS16/CS24,3)</f>
        <v>0</v>
      </c>
      <c r="CT40" s="56">
        <f t="shared" ref="CT40" si="522">ROUND(CT16/CT24,3)</f>
        <v>0</v>
      </c>
      <c r="CU40" s="56">
        <f t="shared" ref="CU40:CZ40" si="523">ROUND(CU16/CU24,3)</f>
        <v>0</v>
      </c>
      <c r="CV40" s="56">
        <f t="shared" si="523"/>
        <v>0</v>
      </c>
      <c r="CW40" s="56">
        <f t="shared" si="523"/>
        <v>0</v>
      </c>
      <c r="CX40" s="56">
        <f t="shared" si="523"/>
        <v>0</v>
      </c>
      <c r="CY40" s="56">
        <f t="shared" si="523"/>
        <v>0</v>
      </c>
      <c r="CZ40" s="56">
        <f t="shared" si="523"/>
        <v>0</v>
      </c>
      <c r="DC40" s="11" t="s">
        <v>3</v>
      </c>
      <c r="DE40" s="43">
        <f t="shared" ref="DE40:DF40" si="524">ROUND(DE16/DE24,3)</f>
        <v>4.9000000000000002E-2</v>
      </c>
      <c r="DF40" s="43">
        <f t="shared" si="524"/>
        <v>5.1999999999999998E-2</v>
      </c>
      <c r="DG40" s="43">
        <f t="shared" ref="DG40:DH40" si="525">ROUND(DG16/DG24,3)</f>
        <v>0</v>
      </c>
      <c r="DH40" s="43">
        <f t="shared" si="525"/>
        <v>0</v>
      </c>
      <c r="DI40" s="43">
        <f t="shared" ref="DI40:DJ40" si="526">ROUND(DI16/DI24,3)</f>
        <v>0</v>
      </c>
      <c r="DJ40" s="43">
        <f t="shared" si="526"/>
        <v>0</v>
      </c>
      <c r="DK40" s="43">
        <f t="shared" ref="DK40" si="527">ROUND(DK16/DK24,3)</f>
        <v>0</v>
      </c>
      <c r="DL40" s="43">
        <f t="shared" ref="DL40:DM40" si="528">ROUND(DL16/DL24,3)</f>
        <v>0</v>
      </c>
      <c r="DM40" s="43">
        <f t="shared" si="528"/>
        <v>0</v>
      </c>
      <c r="DN40" s="43">
        <f t="shared" ref="DN40:DS40" si="529">ROUND(DN16/DN24,3)</f>
        <v>0</v>
      </c>
      <c r="DO40" s="43">
        <f t="shared" si="529"/>
        <v>0</v>
      </c>
      <c r="DP40" s="43">
        <f t="shared" si="529"/>
        <v>0</v>
      </c>
      <c r="DQ40" s="43">
        <f t="shared" si="529"/>
        <v>1E-3</v>
      </c>
      <c r="DR40" s="43">
        <f t="shared" si="529"/>
        <v>1E-3</v>
      </c>
      <c r="DS40" s="43">
        <f t="shared" si="529"/>
        <v>1E-3</v>
      </c>
      <c r="DV40" s="11" t="s">
        <v>3</v>
      </c>
      <c r="DX40" s="43">
        <f t="shared" ref="DX40" si="530">ROUND(DX16/DX24,3)</f>
        <v>0</v>
      </c>
      <c r="DY40" s="43">
        <f t="shared" ref="DY40:EL40" si="531">ROUND(DY16/DY24,3)</f>
        <v>0</v>
      </c>
      <c r="DZ40" s="43">
        <f t="shared" si="531"/>
        <v>0</v>
      </c>
      <c r="EA40" s="43">
        <f t="shared" si="531"/>
        <v>0</v>
      </c>
      <c r="EB40" s="43">
        <f t="shared" si="531"/>
        <v>0</v>
      </c>
      <c r="EC40" s="43">
        <f t="shared" si="531"/>
        <v>0</v>
      </c>
      <c r="ED40" s="43">
        <f t="shared" si="531"/>
        <v>0</v>
      </c>
      <c r="EE40" s="43">
        <f t="shared" si="531"/>
        <v>0</v>
      </c>
      <c r="EF40" s="43">
        <f t="shared" si="531"/>
        <v>0</v>
      </c>
      <c r="EG40" s="43">
        <f t="shared" si="531"/>
        <v>0</v>
      </c>
      <c r="EH40" s="43">
        <f t="shared" si="531"/>
        <v>0</v>
      </c>
      <c r="EI40" s="43">
        <f t="shared" si="531"/>
        <v>0</v>
      </c>
      <c r="EJ40" s="43">
        <f t="shared" si="531"/>
        <v>0</v>
      </c>
      <c r="EK40" s="43">
        <f t="shared" si="531"/>
        <v>0</v>
      </c>
      <c r="EL40" s="43">
        <f t="shared" si="531"/>
        <v>0</v>
      </c>
      <c r="EO40" s="11" t="s">
        <v>3</v>
      </c>
      <c r="EP40" s="58">
        <f t="shared" ref="EP40:EU40" si="532">ROUND(EP16/EP23,3)</f>
        <v>0</v>
      </c>
      <c r="EQ40" s="58">
        <f t="shared" si="532"/>
        <v>0</v>
      </c>
      <c r="ER40" s="58">
        <f t="shared" si="532"/>
        <v>0</v>
      </c>
      <c r="ES40" s="58">
        <f t="shared" si="532"/>
        <v>0</v>
      </c>
      <c r="ET40" s="58">
        <f t="shared" si="532"/>
        <v>0</v>
      </c>
      <c r="EU40" s="58">
        <f t="shared" si="532"/>
        <v>0</v>
      </c>
      <c r="EX40" s="125"/>
      <c r="EY40" s="125"/>
      <c r="EZ40" s="125"/>
      <c r="FA40" s="125"/>
      <c r="FB40" s="125"/>
      <c r="FC40" s="125"/>
      <c r="FD40" s="125"/>
      <c r="FE40" s="30"/>
      <c r="FF40" s="36"/>
      <c r="FG40" s="1"/>
      <c r="FH40" s="1"/>
    </row>
    <row r="41" spans="1:164" x14ac:dyDescent="0.25">
      <c r="A41" s="11" t="s">
        <v>19</v>
      </c>
      <c r="B41" s="43">
        <f>(P41+AI41+BB41+BU41+CL41+DE41+DX41)/7</f>
        <v>0.50001857142857131</v>
      </c>
      <c r="C41" s="43">
        <f t="shared" si="491"/>
        <v>0.53102857142857141</v>
      </c>
      <c r="D41" s="43">
        <f t="shared" si="492"/>
        <v>0.54131857142857143</v>
      </c>
      <c r="E41" s="43">
        <f t="shared" si="492"/>
        <v>0.54246571428571433</v>
      </c>
      <c r="F41" s="43">
        <f t="shared" si="492"/>
        <v>0.56564571428571431</v>
      </c>
      <c r="G41" s="43">
        <f t="shared" si="492"/>
        <v>0.54795714285714292</v>
      </c>
      <c r="H41" s="43">
        <f t="shared" si="492"/>
        <v>0.59914285714285709</v>
      </c>
      <c r="I41" s="43" t="e">
        <f t="shared" si="492"/>
        <v>#DIV/0!</v>
      </c>
      <c r="J41" s="43" t="e">
        <f t="shared" si="492"/>
        <v>#DIV/0!</v>
      </c>
      <c r="K41" s="43" t="e">
        <f t="shared" si="492"/>
        <v>#DIV/0!</v>
      </c>
      <c r="L41" s="43" t="e">
        <f t="shared" si="492"/>
        <v>#DIV/0!</v>
      </c>
      <c r="N41" s="11" t="s">
        <v>19</v>
      </c>
      <c r="P41" s="43">
        <f t="shared" ref="P41" si="533">ROUND((P17+P18)/P24,3)</f>
        <v>0.45500000000000002</v>
      </c>
      <c r="Q41" s="43">
        <f t="shared" ref="Q41" si="534">ROUND((Q17+Q18)/Q24,3)</f>
        <v>0.50700000000000001</v>
      </c>
      <c r="R41" s="43">
        <f t="shared" ref="R41:S41" si="535">ROUND((R17+R18)/R24,3)</f>
        <v>0.54800000000000004</v>
      </c>
      <c r="S41" s="43">
        <f t="shared" si="535"/>
        <v>0.55400000000000005</v>
      </c>
      <c r="T41" s="43">
        <f t="shared" ref="T41:U41" si="536">ROUND((T17+T18)/T24,3)</f>
        <v>0.52600000000000002</v>
      </c>
      <c r="U41" s="43">
        <f t="shared" si="536"/>
        <v>0.56999999999999995</v>
      </c>
      <c r="V41" s="43">
        <f t="shared" ref="V41:W41" si="537">ROUND((V17+V18)/V24,3)</f>
        <v>0.61899999999999999</v>
      </c>
      <c r="W41" s="43">
        <f t="shared" si="537"/>
        <v>0.63400000000000001</v>
      </c>
      <c r="X41" s="43">
        <f t="shared" ref="X41" si="538">ROUND((X17+X18)/X24,3)</f>
        <v>0.61099999999999999</v>
      </c>
      <c r="Y41" s="43">
        <f t="shared" ref="Y41:AD41" si="539">ROUND((Y17+Y18)/Y24,3)</f>
        <v>0.64800000000000002</v>
      </c>
      <c r="Z41" s="43">
        <f t="shared" si="539"/>
        <v>0.63200000000000001</v>
      </c>
      <c r="AA41" s="43">
        <f t="shared" si="539"/>
        <v>0.60599999999999998</v>
      </c>
      <c r="AB41" s="43">
        <f t="shared" si="539"/>
        <v>0.61599999999999999</v>
      </c>
      <c r="AC41" s="43">
        <f t="shared" si="539"/>
        <v>0.63</v>
      </c>
      <c r="AD41" s="43">
        <f t="shared" si="539"/>
        <v>0.65100000000000002</v>
      </c>
      <c r="AG41" s="11" t="s">
        <v>19</v>
      </c>
      <c r="AI41" s="43">
        <f t="shared" ref="AI41:AJ41" si="540">ROUND((AI17+AI18)/AI24,3)</f>
        <v>0.51200000000000001</v>
      </c>
      <c r="AJ41" s="43">
        <f t="shared" si="540"/>
        <v>0.52100000000000002</v>
      </c>
      <c r="AK41" s="43">
        <f t="shared" ref="AK41:AL41" si="541">ROUND((AK17+AK18)/AK24,3)</f>
        <v>0.52200000000000002</v>
      </c>
      <c r="AL41" s="43">
        <f t="shared" si="541"/>
        <v>0.52400000000000002</v>
      </c>
      <c r="AM41" s="43">
        <f t="shared" ref="AM41:AN41" si="542">ROUND((AM17+AM18)/AM24,3)</f>
        <v>0.55800000000000005</v>
      </c>
      <c r="AN41" s="43">
        <f t="shared" si="542"/>
        <v>0.58099999999999996</v>
      </c>
      <c r="AO41" s="43">
        <f t="shared" ref="AO41" si="543">ROUND((AO17+AO18)/AO24,3)</f>
        <v>0.55600000000000005</v>
      </c>
      <c r="AP41" s="43">
        <f t="shared" ref="AP41" si="544">ROUND((AP17+AP18)/AP24,3)</f>
        <v>0.52700000000000002</v>
      </c>
      <c r="AQ41" s="43">
        <f t="shared" ref="AQ41" si="545">ROUND((AQ17+AQ18)/AQ24,3)</f>
        <v>0.51800000000000002</v>
      </c>
      <c r="AR41" s="43">
        <f t="shared" ref="AR41:AW41" si="546">ROUND((AR17+AR18)/AR24,3)</f>
        <v>0.53</v>
      </c>
      <c r="AS41" s="43">
        <f t="shared" si="546"/>
        <v>0.54200000000000004</v>
      </c>
      <c r="AT41" s="43">
        <f t="shared" si="546"/>
        <v>0.52500000000000002</v>
      </c>
      <c r="AU41" s="43">
        <f t="shared" si="546"/>
        <v>0.55300000000000005</v>
      </c>
      <c r="AV41" s="43">
        <f t="shared" si="546"/>
        <v>0.53900000000000003</v>
      </c>
      <c r="AW41" s="43">
        <f t="shared" si="546"/>
        <v>0.53800000000000003</v>
      </c>
      <c r="AZ41" s="11" t="s">
        <v>19</v>
      </c>
      <c r="BB41" s="43">
        <f t="shared" ref="BB41:BC41" si="547">ROUND((BB17+BB18)/BB24,3)</f>
        <v>0.60199999999999998</v>
      </c>
      <c r="BC41" s="43">
        <f t="shared" si="547"/>
        <v>0.624</v>
      </c>
      <c r="BD41" s="43">
        <f t="shared" ref="BD41:BE41" si="548">ROUND((BD17+BD18)/BD24,3)</f>
        <v>0.66100000000000003</v>
      </c>
      <c r="BE41" s="43">
        <f t="shared" si="548"/>
        <v>0.56599999999999995</v>
      </c>
      <c r="BF41" s="43">
        <f t="shared" ref="BF41:BG41" si="549">ROUND((BF17+BF18)/BF24,3)</f>
        <v>0.625</v>
      </c>
      <c r="BG41" s="43">
        <f t="shared" si="549"/>
        <v>0.57499999999999996</v>
      </c>
      <c r="BH41" s="43">
        <f t="shared" ref="BH41" si="550">ROUND((BH17+BH18)/BH24,3)</f>
        <v>0.55800000000000005</v>
      </c>
      <c r="BI41" s="43">
        <f t="shared" ref="BI41:BJ41" si="551">ROUND((BI17+BI18)/BI24,3)</f>
        <v>0.50900000000000001</v>
      </c>
      <c r="BJ41" s="43">
        <f t="shared" si="551"/>
        <v>0.55200000000000005</v>
      </c>
      <c r="BK41" s="43">
        <f t="shared" ref="BK41:BP41" si="552">ROUND((BK17+BK18)/BK24,3)</f>
        <v>0.51100000000000001</v>
      </c>
      <c r="BL41" s="43">
        <f t="shared" si="552"/>
        <v>0.54900000000000004</v>
      </c>
      <c r="BM41" s="43">
        <f t="shared" si="552"/>
        <v>0.503</v>
      </c>
      <c r="BN41" s="43">
        <f t="shared" si="552"/>
        <v>0.496</v>
      </c>
      <c r="BO41" s="43">
        <f t="shared" si="552"/>
        <v>0.48199999999999998</v>
      </c>
      <c r="BP41" s="43">
        <f t="shared" si="552"/>
        <v>0.437</v>
      </c>
      <c r="BS41" s="11" t="s">
        <v>19</v>
      </c>
      <c r="BU41" s="43">
        <f>ROUND((BU17+BU18)/BU24,5)</f>
        <v>0.58613000000000004</v>
      </c>
      <c r="BV41" s="43">
        <f>ROUND((BV17+BV18)/BV24,5)</f>
        <v>0.62419999999999998</v>
      </c>
      <c r="BW41" s="43">
        <f>ROUND((BW17+BW18)/BW24,5)</f>
        <v>0.61423000000000005</v>
      </c>
      <c r="BX41" s="43">
        <f t="shared" ref="BX41:BZ41" si="553">ROUND((BX17+BX18)/BX24,5)</f>
        <v>0.62226000000000004</v>
      </c>
      <c r="BY41" s="43">
        <f t="shared" si="553"/>
        <v>0.61351999999999995</v>
      </c>
      <c r="BZ41" s="43">
        <f t="shared" si="553"/>
        <v>0.60770000000000002</v>
      </c>
      <c r="CA41" s="43">
        <f t="shared" ref="CA41" si="554">ROUND((CA17+CA18)/CA24,4)</f>
        <v>1</v>
      </c>
      <c r="CB41" s="43" t="e">
        <f t="shared" ref="CB41:CG41" si="555">ROUND((CB17+CB18)/CB24,4)</f>
        <v>#DIV/0!</v>
      </c>
      <c r="CC41" s="43" t="e">
        <f t="shared" si="555"/>
        <v>#DIV/0!</v>
      </c>
      <c r="CD41" s="43" t="e">
        <f t="shared" si="555"/>
        <v>#DIV/0!</v>
      </c>
      <c r="CE41" s="43" t="e">
        <f t="shared" si="555"/>
        <v>#DIV/0!</v>
      </c>
      <c r="CF41" s="43" t="e">
        <f t="shared" si="555"/>
        <v>#DIV/0!</v>
      </c>
      <c r="CG41" s="43" t="e">
        <f t="shared" si="555"/>
        <v>#DIV/0!</v>
      </c>
      <c r="CJ41" s="11" t="s">
        <v>19</v>
      </c>
      <c r="CL41" s="43">
        <f t="shared" ref="CL41" si="556">ROUND((CL17+CL18)/CL24,3)</f>
        <v>0.5</v>
      </c>
      <c r="CM41" s="43">
        <f t="shared" ref="CM41" si="557">ROUND((CM17+CM18)/CM24,3)</f>
        <v>0.52700000000000002</v>
      </c>
      <c r="CN41" s="43">
        <f t="shared" ref="CN41:CO41" si="558">ROUND((CN17+CN18)/CN24,3)</f>
        <v>0.52200000000000002</v>
      </c>
      <c r="CO41" s="43">
        <f t="shared" si="558"/>
        <v>0.50900000000000001</v>
      </c>
      <c r="CP41" s="43">
        <f t="shared" ref="CP41:CQ41" si="559">ROUND((CP17+CP18)/CP24,3)</f>
        <v>0.52500000000000002</v>
      </c>
      <c r="CQ41" s="43">
        <f t="shared" si="559"/>
        <v>0.51500000000000001</v>
      </c>
      <c r="CR41" s="43">
        <f t="shared" ref="CR41" si="560">ROUND((CR17+CR18)/CR24,3)</f>
        <v>0.48399999999999999</v>
      </c>
      <c r="CS41" s="43">
        <f t="shared" ref="CS41" si="561">ROUND((CS17+CS18)/CS24,3)</f>
        <v>0.51300000000000001</v>
      </c>
      <c r="CT41" s="43">
        <f t="shared" ref="CT41" si="562">ROUND((CT17+CT18)/CT24,3)</f>
        <v>0.51800000000000002</v>
      </c>
      <c r="CU41" s="43">
        <f t="shared" ref="CU41:CZ41" si="563">ROUND((CU17+CU18)/CU24,3)</f>
        <v>0.57799999999999996</v>
      </c>
      <c r="CV41" s="43">
        <f t="shared" si="563"/>
        <v>0.51600000000000001</v>
      </c>
      <c r="CW41" s="43">
        <f t="shared" si="563"/>
        <v>0.47</v>
      </c>
      <c r="CX41" s="43">
        <f t="shared" si="563"/>
        <v>0.45100000000000001</v>
      </c>
      <c r="CY41" s="43">
        <f t="shared" si="563"/>
        <v>0.42199999999999999</v>
      </c>
      <c r="CZ41" s="43">
        <f t="shared" si="563"/>
        <v>0.39800000000000002</v>
      </c>
      <c r="DC41" s="11" t="s">
        <v>99</v>
      </c>
      <c r="DE41" s="43">
        <f t="shared" ref="DE41:DF41" si="564">ROUND((DE17+DE18)/DE24,3)</f>
        <v>0.46500000000000002</v>
      </c>
      <c r="DF41" s="43">
        <f t="shared" si="564"/>
        <v>0.501</v>
      </c>
      <c r="DG41" s="43">
        <f t="shared" ref="DG41:DH41" si="565">ROUND((DG17+DG18)/DG24,3)</f>
        <v>0.54200000000000004</v>
      </c>
      <c r="DH41" s="43">
        <f t="shared" si="565"/>
        <v>0.499</v>
      </c>
      <c r="DI41" s="43">
        <f t="shared" ref="DI41:DJ41" si="566">ROUND((DI17+DI18)/DI24,3)</f>
        <v>0.49199999999999999</v>
      </c>
      <c r="DJ41" s="43">
        <f t="shared" si="566"/>
        <v>0.47099999999999997</v>
      </c>
      <c r="DK41" s="43">
        <f t="shared" ref="DK41" si="567">ROUND((DK17+DK18)/DK24,3)</f>
        <v>0.44900000000000001</v>
      </c>
      <c r="DL41" s="43">
        <f t="shared" ref="DL41:DM41" si="568">ROUND((DL17+DL18)/DL24,3)</f>
        <v>0.53400000000000003</v>
      </c>
      <c r="DM41" s="43">
        <f t="shared" si="568"/>
        <v>0.64100000000000001</v>
      </c>
      <c r="DN41" s="43">
        <f t="shared" ref="DN41:DS41" si="569">ROUND((DN17+DN18)/DN24,3)</f>
        <v>0.61199999999999999</v>
      </c>
      <c r="DO41" s="43">
        <f t="shared" si="569"/>
        <v>0.59799999999999998</v>
      </c>
      <c r="DP41" s="43">
        <f t="shared" si="569"/>
        <v>0.57199999999999995</v>
      </c>
      <c r="DQ41" s="43">
        <f t="shared" si="569"/>
        <v>0.55300000000000005</v>
      </c>
      <c r="DR41" s="43">
        <f t="shared" si="569"/>
        <v>0.54500000000000004</v>
      </c>
      <c r="DS41" s="43">
        <f t="shared" si="569"/>
        <v>0.502</v>
      </c>
      <c r="DV41" s="11" t="s">
        <v>19</v>
      </c>
      <c r="DX41" s="43">
        <f t="shared" ref="DX41" si="570">ROUND((DX17+DX18)/DX24,3)</f>
        <v>0.38</v>
      </c>
      <c r="DY41" s="43">
        <f t="shared" ref="DY41:EL41" si="571">ROUND((DY17+DY18)/DY24,3)</f>
        <v>0.41299999999999998</v>
      </c>
      <c r="DZ41" s="43">
        <f t="shared" si="571"/>
        <v>0.38</v>
      </c>
      <c r="EA41" s="43">
        <f t="shared" si="571"/>
        <v>0.52300000000000002</v>
      </c>
      <c r="EB41" s="43">
        <f t="shared" si="571"/>
        <v>0.62</v>
      </c>
      <c r="EC41" s="43">
        <f t="shared" si="571"/>
        <v>0.51600000000000001</v>
      </c>
      <c r="ED41" s="43">
        <f t="shared" si="571"/>
        <v>0.52800000000000002</v>
      </c>
      <c r="EE41" s="43">
        <f t="shared" si="571"/>
        <v>0.55500000000000005</v>
      </c>
      <c r="EF41" s="43">
        <f t="shared" si="571"/>
        <v>0.56100000000000005</v>
      </c>
      <c r="EG41" s="43">
        <f t="shared" si="571"/>
        <v>0.60599999999999998</v>
      </c>
      <c r="EH41" s="43">
        <f t="shared" si="571"/>
        <v>0.63500000000000001</v>
      </c>
      <c r="EI41" s="43">
        <f t="shared" si="571"/>
        <v>0.64300000000000002</v>
      </c>
      <c r="EJ41" s="43">
        <f t="shared" si="571"/>
        <v>0.61799999999999999</v>
      </c>
      <c r="EK41" s="43">
        <f t="shared" si="571"/>
        <v>0.57899999999999996</v>
      </c>
      <c r="EL41" s="43">
        <f t="shared" si="571"/>
        <v>0.55700000000000005</v>
      </c>
      <c r="EO41" s="11" t="s">
        <v>99</v>
      </c>
      <c r="EP41" s="43">
        <f t="shared" ref="EP41:EU41" si="572">ROUND((EP20)/EP23,3)</f>
        <v>0.54700000000000004</v>
      </c>
      <c r="EQ41" s="43">
        <f t="shared" si="572"/>
        <v>0.54200000000000004</v>
      </c>
      <c r="ER41" s="43">
        <f t="shared" si="572"/>
        <v>0.54600000000000004</v>
      </c>
      <c r="ES41" s="43">
        <f t="shared" si="572"/>
        <v>0.53800000000000003</v>
      </c>
      <c r="ET41" s="43">
        <f t="shared" si="572"/>
        <v>0.51300000000000001</v>
      </c>
      <c r="EU41" s="43">
        <f t="shared" si="572"/>
        <v>0.56599999999999995</v>
      </c>
      <c r="EX41" s="3"/>
      <c r="EY41" s="3"/>
      <c r="EZ41" s="3"/>
      <c r="FA41" s="3"/>
      <c r="FB41" s="3"/>
      <c r="FC41" s="3"/>
      <c r="FD41" s="3"/>
      <c r="FE41" s="30"/>
      <c r="FF41" s="36"/>
      <c r="FG41" s="1"/>
      <c r="FH41" s="1"/>
    </row>
    <row r="42" spans="1:164" x14ac:dyDescent="0.25">
      <c r="A42" s="2" t="s">
        <v>20</v>
      </c>
      <c r="B42" s="33">
        <f>ROUND(B39+B40+B41,5)</f>
        <v>1</v>
      </c>
      <c r="C42" s="33">
        <f>ROUND(C39+C40+C41,5)</f>
        <v>1</v>
      </c>
      <c r="D42" s="33">
        <f t="shared" ref="D42:L42" si="573">ROUND(D39+D40+D41,5)</f>
        <v>1</v>
      </c>
      <c r="E42" s="33">
        <f t="shared" si="573"/>
        <v>1</v>
      </c>
      <c r="F42" s="33">
        <f t="shared" si="573"/>
        <v>1</v>
      </c>
      <c r="G42" s="33">
        <f t="shared" si="573"/>
        <v>1</v>
      </c>
      <c r="H42" s="33">
        <f t="shared" si="573"/>
        <v>1</v>
      </c>
      <c r="I42" s="33" t="e">
        <f t="shared" si="573"/>
        <v>#DIV/0!</v>
      </c>
      <c r="J42" s="33" t="e">
        <f t="shared" si="573"/>
        <v>#DIV/0!</v>
      </c>
      <c r="K42" s="33" t="e">
        <f t="shared" si="573"/>
        <v>#DIV/0!</v>
      </c>
      <c r="L42" s="33" t="e">
        <f t="shared" si="573"/>
        <v>#DIV/0!</v>
      </c>
      <c r="N42" s="2" t="s">
        <v>20</v>
      </c>
      <c r="O42" s="2"/>
      <c r="P42" s="33">
        <f t="shared" ref="P42" si="574">ROUND(P39+P40+P41,3)</f>
        <v>1</v>
      </c>
      <c r="Q42" s="33">
        <f t="shared" ref="Q42" si="575">ROUND(Q39+Q40+Q41,3)</f>
        <v>1</v>
      </c>
      <c r="R42" s="33">
        <f t="shared" ref="R42:S42" si="576">ROUND(R39+R40+R41,3)</f>
        <v>1</v>
      </c>
      <c r="S42" s="33">
        <f t="shared" si="576"/>
        <v>1</v>
      </c>
      <c r="T42" s="33">
        <f t="shared" ref="T42:U42" si="577">ROUND(T39+T40+T41,3)</f>
        <v>1</v>
      </c>
      <c r="U42" s="33">
        <f t="shared" si="577"/>
        <v>1</v>
      </c>
      <c r="V42" s="33">
        <f t="shared" ref="V42:W42" si="578">ROUND(V39+V40+V41,3)</f>
        <v>1</v>
      </c>
      <c r="W42" s="33">
        <f t="shared" si="578"/>
        <v>1</v>
      </c>
      <c r="X42" s="33">
        <f t="shared" ref="X42" si="579">ROUND(X39+X40+X41,3)</f>
        <v>1</v>
      </c>
      <c r="Y42" s="33">
        <f t="shared" ref="Y42:AD42" si="580">ROUND(Y39+Y40+Y41,3)</f>
        <v>1</v>
      </c>
      <c r="Z42" s="33">
        <f t="shared" si="580"/>
        <v>1</v>
      </c>
      <c r="AA42" s="33">
        <f t="shared" si="580"/>
        <v>1</v>
      </c>
      <c r="AB42" s="33">
        <f t="shared" si="580"/>
        <v>1</v>
      </c>
      <c r="AC42" s="33">
        <f t="shared" si="580"/>
        <v>1</v>
      </c>
      <c r="AD42" s="33">
        <f t="shared" si="580"/>
        <v>1</v>
      </c>
      <c r="AG42" s="2" t="s">
        <v>20</v>
      </c>
      <c r="AH42" s="2"/>
      <c r="AI42" s="33">
        <f t="shared" ref="AI42:AJ42" si="581">ROUND(AI39+AI40+AI41,3)</f>
        <v>1</v>
      </c>
      <c r="AJ42" s="33">
        <f t="shared" si="581"/>
        <v>1</v>
      </c>
      <c r="AK42" s="33">
        <f t="shared" ref="AK42:AL42" si="582">ROUND(AK39+AK40+AK41,3)</f>
        <v>1</v>
      </c>
      <c r="AL42" s="33">
        <f t="shared" si="582"/>
        <v>1</v>
      </c>
      <c r="AM42" s="33">
        <f t="shared" ref="AM42:AN42" si="583">ROUND(AM39+AM40+AM41,3)</f>
        <v>1</v>
      </c>
      <c r="AN42" s="33">
        <f t="shared" si="583"/>
        <v>1</v>
      </c>
      <c r="AO42" s="33">
        <f t="shared" ref="AO42" si="584">ROUND(AO39+AO40+AO41,3)</f>
        <v>1</v>
      </c>
      <c r="AP42" s="33">
        <f t="shared" ref="AP42" si="585">ROUND(AP39+AP40+AP41,3)</f>
        <v>1</v>
      </c>
      <c r="AQ42" s="33">
        <f t="shared" ref="AQ42" si="586">ROUND(AQ39+AQ40+AQ41,3)</f>
        <v>1</v>
      </c>
      <c r="AR42" s="33">
        <f t="shared" ref="AR42:AW42" si="587">ROUND(AR39+AR40+AR41,3)</f>
        <v>1</v>
      </c>
      <c r="AS42" s="33">
        <f t="shared" si="587"/>
        <v>1</v>
      </c>
      <c r="AT42" s="33">
        <f t="shared" si="587"/>
        <v>1</v>
      </c>
      <c r="AU42" s="33">
        <f t="shared" si="587"/>
        <v>1</v>
      </c>
      <c r="AV42" s="33">
        <f t="shared" si="587"/>
        <v>1</v>
      </c>
      <c r="AW42" s="33">
        <f t="shared" si="587"/>
        <v>1</v>
      </c>
      <c r="AZ42" s="2" t="s">
        <v>20</v>
      </c>
      <c r="BA42" s="2"/>
      <c r="BB42" s="33">
        <f>ROUND(BB39+BB40+BB41,3)</f>
        <v>1</v>
      </c>
      <c r="BC42" s="33">
        <f>ROUND(BC39+BC40+BC41,3)</f>
        <v>1</v>
      </c>
      <c r="BD42" s="33">
        <f t="shared" ref="BD42:BE42" si="588">ROUND(BD39+BD40+BD41,3)</f>
        <v>1</v>
      </c>
      <c r="BE42" s="33">
        <f t="shared" si="588"/>
        <v>1</v>
      </c>
      <c r="BF42" s="33">
        <f t="shared" ref="BF42:BG42" si="589">ROUND(BF39+BF40+BF41,3)</f>
        <v>1</v>
      </c>
      <c r="BG42" s="33">
        <f t="shared" si="589"/>
        <v>1</v>
      </c>
      <c r="BH42" s="33">
        <f t="shared" ref="BH42" si="590">ROUND(BH39+BH40+BH41,3)</f>
        <v>1</v>
      </c>
      <c r="BI42" s="33">
        <f t="shared" ref="BI42:BJ42" si="591">ROUND(BI39+BI40+BI41,3)</f>
        <v>1</v>
      </c>
      <c r="BJ42" s="33">
        <f t="shared" si="591"/>
        <v>1</v>
      </c>
      <c r="BK42" s="33">
        <f t="shared" ref="BK42:BP42" si="592">ROUND(BK39+BK40+BK41,3)</f>
        <v>1</v>
      </c>
      <c r="BL42" s="33">
        <f t="shared" si="592"/>
        <v>1</v>
      </c>
      <c r="BM42" s="33">
        <f t="shared" si="592"/>
        <v>1</v>
      </c>
      <c r="BN42" s="33">
        <f t="shared" si="592"/>
        <v>1</v>
      </c>
      <c r="BO42" s="33">
        <f t="shared" si="592"/>
        <v>1</v>
      </c>
      <c r="BP42" s="33">
        <f t="shared" si="592"/>
        <v>1</v>
      </c>
      <c r="BS42" s="2" t="s">
        <v>20</v>
      </c>
      <c r="BT42" s="2"/>
      <c r="BU42" s="33">
        <f>ROUND(BU39+BU40+BU41,3)</f>
        <v>1</v>
      </c>
      <c r="BV42" s="33">
        <f>ROUND(BV39+BV40+BV41,3)</f>
        <v>1</v>
      </c>
      <c r="BW42" s="33">
        <f>ROUND(BW39+BW40+BW41,3)</f>
        <v>1</v>
      </c>
      <c r="BX42" s="33">
        <f t="shared" ref="BX42:BZ42" si="593">ROUND(BX39+BX40+BX41,3)</f>
        <v>1</v>
      </c>
      <c r="BY42" s="33">
        <f t="shared" si="593"/>
        <v>1</v>
      </c>
      <c r="BZ42" s="33">
        <f t="shared" si="593"/>
        <v>1</v>
      </c>
      <c r="CA42" s="33">
        <f>ROUND(CA39+CA40+CA41,3)</f>
        <v>1</v>
      </c>
      <c r="CB42" s="33" t="e">
        <f>ROUND(CB39+CB40+CB41,3)</f>
        <v>#DIV/0!</v>
      </c>
      <c r="CC42" s="33" t="e">
        <f>ROUND(CC39+CC40+CC41,3)</f>
        <v>#DIV/0!</v>
      </c>
      <c r="CD42" s="33" t="e">
        <f>ROUND(CD39+CD40+CD41,4)</f>
        <v>#DIV/0!</v>
      </c>
      <c r="CE42" s="33" t="e">
        <f>ROUND(CE39+CE40+CE41,4)</f>
        <v>#DIV/0!</v>
      </c>
      <c r="CF42" s="33" t="e">
        <f>ROUND(CF39+CF40+CF41,4)</f>
        <v>#DIV/0!</v>
      </c>
      <c r="CG42" s="33" t="e">
        <f>ROUND(CG39+CG40+CG41,4)</f>
        <v>#DIV/0!</v>
      </c>
      <c r="CJ42" s="2" t="s">
        <v>20</v>
      </c>
      <c r="CK42" s="2"/>
      <c r="CL42" s="33">
        <f t="shared" ref="CL42" si="594">ROUND(CL39+CL40+CL41,3)</f>
        <v>1</v>
      </c>
      <c r="CM42" s="33">
        <f t="shared" ref="CM42" si="595">ROUND(CM39+CM40+CM41,3)</f>
        <v>1</v>
      </c>
      <c r="CN42" s="33">
        <f t="shared" ref="CN42:CO42" si="596">ROUND(CN39+CN40+CN41,3)</f>
        <v>1</v>
      </c>
      <c r="CO42" s="33">
        <f t="shared" si="596"/>
        <v>1</v>
      </c>
      <c r="CP42" s="33">
        <f t="shared" ref="CP42:CQ42" si="597">ROUND(CP39+CP40+CP41,3)</f>
        <v>1</v>
      </c>
      <c r="CQ42" s="33">
        <f t="shared" si="597"/>
        <v>1</v>
      </c>
      <c r="CR42" s="33">
        <f t="shared" ref="CR42" si="598">ROUND(CR39+CR40+CR41,3)</f>
        <v>1</v>
      </c>
      <c r="CS42" s="33">
        <f t="shared" ref="CS42" si="599">ROUND(CS39+CS40+CS41,3)</f>
        <v>1</v>
      </c>
      <c r="CT42" s="33">
        <f t="shared" ref="CT42" si="600">ROUND(CT39+CT40+CT41,3)</f>
        <v>1</v>
      </c>
      <c r="CU42" s="33">
        <f t="shared" ref="CU42:CZ42" si="601">ROUND(CU39+CU40+CU41,3)</f>
        <v>1</v>
      </c>
      <c r="CV42" s="33">
        <f t="shared" si="601"/>
        <v>1</v>
      </c>
      <c r="CW42" s="33">
        <f t="shared" si="601"/>
        <v>1</v>
      </c>
      <c r="CX42" s="33">
        <f t="shared" si="601"/>
        <v>1</v>
      </c>
      <c r="CY42" s="33">
        <f t="shared" si="601"/>
        <v>1</v>
      </c>
      <c r="CZ42" s="33">
        <f t="shared" si="601"/>
        <v>1</v>
      </c>
      <c r="DC42" s="2" t="s">
        <v>20</v>
      </c>
      <c r="DD42" s="2"/>
      <c r="DE42" s="33">
        <f t="shared" ref="DE42:DF42" si="602">ROUND(DE39+DE40+DE41,3)</f>
        <v>1</v>
      </c>
      <c r="DF42" s="33">
        <f t="shared" si="602"/>
        <v>1</v>
      </c>
      <c r="DG42" s="33">
        <f t="shared" ref="DG42:DH42" si="603">ROUND(DG39+DG40+DG41,3)</f>
        <v>1</v>
      </c>
      <c r="DH42" s="33">
        <f t="shared" si="603"/>
        <v>1</v>
      </c>
      <c r="DI42" s="33">
        <f t="shared" ref="DI42:DJ42" si="604">ROUND(DI39+DI40+DI41,3)</f>
        <v>1</v>
      </c>
      <c r="DJ42" s="33">
        <f t="shared" si="604"/>
        <v>1</v>
      </c>
      <c r="DK42" s="33">
        <f t="shared" ref="DK42" si="605">ROUND(DK39+DK40+DK41,3)</f>
        <v>1</v>
      </c>
      <c r="DL42" s="33">
        <f t="shared" ref="DL42:DM42" si="606">ROUND(DL39+DL40+DL41,3)</f>
        <v>1</v>
      </c>
      <c r="DM42" s="33">
        <f t="shared" si="606"/>
        <v>1</v>
      </c>
      <c r="DN42" s="33">
        <f t="shared" ref="DN42:DS42" si="607">ROUND(DN39+DN40+DN41,3)</f>
        <v>1</v>
      </c>
      <c r="DO42" s="33">
        <f t="shared" si="607"/>
        <v>1</v>
      </c>
      <c r="DP42" s="33">
        <f t="shared" si="607"/>
        <v>1</v>
      </c>
      <c r="DQ42" s="33">
        <f t="shared" si="607"/>
        <v>1</v>
      </c>
      <c r="DR42" s="33">
        <f t="shared" si="607"/>
        <v>1</v>
      </c>
      <c r="DS42" s="33">
        <f t="shared" si="607"/>
        <v>1</v>
      </c>
      <c r="DV42" s="2" t="s">
        <v>20</v>
      </c>
      <c r="DW42" s="2"/>
      <c r="DX42" s="33">
        <f t="shared" ref="DX42" si="608">ROUND(DX39+DX40+DX41,3)</f>
        <v>1</v>
      </c>
      <c r="DY42" s="33">
        <f t="shared" ref="DY42:EL42" si="609">ROUND(DY39+DY40+DY41,3)</f>
        <v>1</v>
      </c>
      <c r="DZ42" s="33">
        <f t="shared" si="609"/>
        <v>1</v>
      </c>
      <c r="EA42" s="33">
        <f t="shared" si="609"/>
        <v>1</v>
      </c>
      <c r="EB42" s="33">
        <f t="shared" si="609"/>
        <v>1</v>
      </c>
      <c r="EC42" s="33">
        <f t="shared" si="609"/>
        <v>1</v>
      </c>
      <c r="ED42" s="33">
        <f t="shared" si="609"/>
        <v>1</v>
      </c>
      <c r="EE42" s="33">
        <f t="shared" si="609"/>
        <v>1</v>
      </c>
      <c r="EF42" s="33">
        <f t="shared" si="609"/>
        <v>1</v>
      </c>
      <c r="EG42" s="33">
        <f t="shared" si="609"/>
        <v>1</v>
      </c>
      <c r="EH42" s="33">
        <f t="shared" si="609"/>
        <v>1</v>
      </c>
      <c r="EI42" s="33">
        <f t="shared" si="609"/>
        <v>1</v>
      </c>
      <c r="EJ42" s="33">
        <f t="shared" si="609"/>
        <v>1</v>
      </c>
      <c r="EK42" s="33">
        <f t="shared" si="609"/>
        <v>1</v>
      </c>
      <c r="EL42" s="33">
        <f t="shared" si="609"/>
        <v>1</v>
      </c>
      <c r="EO42" s="2" t="s">
        <v>20</v>
      </c>
      <c r="EP42" s="33">
        <f t="shared" ref="EP42:EU42" si="610">ROUND(EP39+EP40+EP41,3)</f>
        <v>1</v>
      </c>
      <c r="EQ42" s="33">
        <f t="shared" si="610"/>
        <v>1</v>
      </c>
      <c r="ER42" s="33">
        <f t="shared" si="610"/>
        <v>1</v>
      </c>
      <c r="ES42" s="33">
        <f t="shared" si="610"/>
        <v>1</v>
      </c>
      <c r="ET42" s="33">
        <f t="shared" si="610"/>
        <v>1</v>
      </c>
      <c r="EU42" s="33">
        <f t="shared" si="610"/>
        <v>1</v>
      </c>
      <c r="EX42" s="30"/>
      <c r="EY42" s="30"/>
      <c r="EZ42" s="30"/>
      <c r="FA42" s="30"/>
      <c r="FB42" s="30"/>
      <c r="FC42" s="30"/>
      <c r="FD42" s="30"/>
      <c r="FE42" s="30"/>
      <c r="FF42" s="36"/>
      <c r="FG42" s="1"/>
      <c r="FH42" s="1"/>
    </row>
    <row r="43" spans="1:164" x14ac:dyDescent="0.25">
      <c r="D43" s="134"/>
      <c r="E43" s="134"/>
      <c r="F43" s="134"/>
      <c r="G43" s="134"/>
      <c r="H43" s="134"/>
      <c r="I43" s="134"/>
      <c r="J43" s="134"/>
      <c r="K43" s="134"/>
      <c r="L43" s="134"/>
      <c r="W43" s="10"/>
      <c r="X43" s="10"/>
      <c r="AI43" s="10"/>
      <c r="AJ43" s="10"/>
      <c r="AK43" s="10"/>
      <c r="AL43" s="10"/>
      <c r="AM43" s="10"/>
      <c r="AN43" s="10"/>
      <c r="AO43" s="10"/>
      <c r="AP43" s="10"/>
      <c r="AQ43" s="10"/>
      <c r="BF43" s="10"/>
      <c r="BG43" s="10"/>
      <c r="BH43" s="10"/>
      <c r="BI43" s="10"/>
      <c r="BJ43" s="10"/>
      <c r="CL43" s="10"/>
      <c r="CM43" s="10"/>
      <c r="CN43" s="10"/>
      <c r="CO43" s="10"/>
      <c r="CP43" s="10"/>
      <c r="CQ43" s="10"/>
      <c r="CR43" s="10"/>
      <c r="CS43" s="10"/>
      <c r="CT43" s="10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</row>
    <row r="44" spans="1:164" x14ac:dyDescent="0.25">
      <c r="W44" s="10"/>
      <c r="X44" s="10"/>
      <c r="AI44" s="10"/>
      <c r="AJ44" s="10"/>
      <c r="AK44" s="10"/>
      <c r="AL44" s="10"/>
      <c r="AM44" s="10"/>
      <c r="AN44" s="10"/>
      <c r="AO44" s="10"/>
      <c r="AP44" s="10"/>
      <c r="AQ44" s="10"/>
      <c r="BF44" s="10"/>
      <c r="BG44" s="10"/>
      <c r="BH44" s="10"/>
      <c r="BI44" s="10"/>
      <c r="BJ44" s="10"/>
      <c r="CL44" s="10"/>
      <c r="CM44" s="10"/>
      <c r="CN44" s="10"/>
      <c r="CO44" s="10"/>
      <c r="CP44" s="10"/>
      <c r="CQ44" s="10"/>
      <c r="CR44" s="10"/>
      <c r="CS44" s="10"/>
      <c r="CT44" s="10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</row>
    <row r="45" spans="1:164" x14ac:dyDescent="0.25">
      <c r="A45" s="47" t="s">
        <v>21</v>
      </c>
      <c r="B45" s="47"/>
      <c r="C45" s="47"/>
      <c r="D45" s="47"/>
      <c r="E45" s="47"/>
      <c r="F45" s="47"/>
      <c r="G45" s="47"/>
      <c r="N45" s="47" t="s">
        <v>21</v>
      </c>
      <c r="W45" s="10"/>
      <c r="X45" s="10"/>
      <c r="AG45" s="47" t="s">
        <v>21</v>
      </c>
      <c r="AI45" s="10"/>
      <c r="AJ45" s="10"/>
      <c r="AK45" s="10"/>
      <c r="AL45" s="10"/>
      <c r="AM45" s="10"/>
      <c r="AN45" s="10"/>
      <c r="AO45" s="10"/>
      <c r="AP45" s="10"/>
      <c r="AQ45" s="10"/>
      <c r="AZ45" s="47" t="s">
        <v>21</v>
      </c>
      <c r="BF45" s="10"/>
      <c r="BG45" s="10"/>
      <c r="BH45" s="10"/>
      <c r="BI45" s="10"/>
      <c r="BJ45" s="10"/>
      <c r="BS45" s="47" t="s">
        <v>21</v>
      </c>
      <c r="CJ45" s="47" t="s">
        <v>21</v>
      </c>
      <c r="CL45" s="10"/>
      <c r="CM45" s="10"/>
      <c r="CN45" s="10"/>
      <c r="CO45" s="10"/>
      <c r="CP45" s="10"/>
      <c r="CQ45" s="10"/>
      <c r="CR45" s="10"/>
      <c r="CS45" s="10"/>
      <c r="CT45" s="10"/>
      <c r="DC45" s="47" t="s">
        <v>21</v>
      </c>
      <c r="DV45" s="47" t="s">
        <v>21</v>
      </c>
      <c r="EO45" s="47" t="s">
        <v>21</v>
      </c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</row>
    <row r="46" spans="1:164" x14ac:dyDescent="0.25">
      <c r="A46" s="11" t="s">
        <v>8</v>
      </c>
      <c r="B46" s="43">
        <f t="shared" ref="B46:L46" si="611">(P46+AI46+BB46+BU46+CL46+DE46+DX46)/7</f>
        <v>0.53595142857142863</v>
      </c>
      <c r="C46" s="43">
        <f t="shared" si="611"/>
        <v>0.51995142857142862</v>
      </c>
      <c r="D46" s="43">
        <f t="shared" si="611"/>
        <v>0.52377571428571434</v>
      </c>
      <c r="E46" s="43">
        <f t="shared" si="611"/>
        <v>0.51585000000000003</v>
      </c>
      <c r="F46" s="43">
        <f t="shared" si="611"/>
        <v>0.49185857142857137</v>
      </c>
      <c r="G46" s="43">
        <f t="shared" si="611"/>
        <v>0.49839857142857141</v>
      </c>
      <c r="H46" s="43">
        <f t="shared" si="611"/>
        <v>0.45128571428571423</v>
      </c>
      <c r="I46" s="43" t="e">
        <f t="shared" si="611"/>
        <v>#DIV/0!</v>
      </c>
      <c r="J46" s="43" t="e">
        <f t="shared" si="611"/>
        <v>#DIV/0!</v>
      </c>
      <c r="K46" s="43" t="e">
        <f t="shared" si="611"/>
        <v>#DIV/0!</v>
      </c>
      <c r="L46" s="43" t="e">
        <f t="shared" si="611"/>
        <v>#DIV/0!</v>
      </c>
      <c r="N46" s="11" t="s">
        <v>8</v>
      </c>
      <c r="P46" s="43">
        <f t="shared" ref="P46" si="612">ROUND(P15/P22,3)</f>
        <v>0.56100000000000005</v>
      </c>
      <c r="Q46" s="43">
        <f>ROUND(Q15/Q22,3)</f>
        <v>0.5</v>
      </c>
      <c r="R46" s="43">
        <f t="shared" ref="R46:S46" si="613">ROUND(R15/R22,3)</f>
        <v>0.504</v>
      </c>
      <c r="S46" s="43">
        <f t="shared" si="613"/>
        <v>0.53500000000000003</v>
      </c>
      <c r="T46" s="43">
        <f t="shared" ref="T46:U46" si="614">ROUND(T15/T22,3)</f>
        <v>0.51300000000000001</v>
      </c>
      <c r="U46" s="43">
        <f t="shared" si="614"/>
        <v>0.45200000000000001</v>
      </c>
      <c r="V46" s="43">
        <f t="shared" ref="V46:W46" si="615">ROUND(V15/V22,3)</f>
        <v>0.49</v>
      </c>
      <c r="W46" s="43">
        <f t="shared" si="615"/>
        <v>0.51600000000000001</v>
      </c>
      <c r="X46" s="43">
        <f t="shared" ref="X46" si="616">ROUND(X15/X22,3)</f>
        <v>0.496</v>
      </c>
      <c r="Y46" s="43">
        <f t="shared" ref="Y46:AD46" si="617">ROUND(Y15/Y22,3)</f>
        <v>0.43</v>
      </c>
      <c r="Z46" s="43">
        <f t="shared" si="617"/>
        <v>0.45200000000000001</v>
      </c>
      <c r="AA46" s="43">
        <f t="shared" si="617"/>
        <v>0.46400000000000002</v>
      </c>
      <c r="AB46" s="43">
        <f t="shared" si="617"/>
        <v>0.48699999999999999</v>
      </c>
      <c r="AC46" s="43">
        <f t="shared" si="617"/>
        <v>0.497</v>
      </c>
      <c r="AD46" s="43">
        <f t="shared" si="617"/>
        <v>0.499</v>
      </c>
      <c r="AG46" s="11" t="s">
        <v>8</v>
      </c>
      <c r="AI46" s="43">
        <f t="shared" ref="AI46:AJ46" si="618">ROUND(AI15/AI22,3)</f>
        <v>0.58299999999999996</v>
      </c>
      <c r="AJ46" s="43">
        <f t="shared" si="618"/>
        <v>0.54</v>
      </c>
      <c r="AK46" s="43">
        <f t="shared" ref="AK46:AL46" si="619">ROUND(AK15/AK22,3)</f>
        <v>0.55300000000000005</v>
      </c>
      <c r="AL46" s="43">
        <f t="shared" si="619"/>
        <v>0.52600000000000002</v>
      </c>
      <c r="AM46" s="43">
        <f t="shared" ref="AM46:AN46" si="620">ROUND(AM15/AM22,3)</f>
        <v>0.47399999999999998</v>
      </c>
      <c r="AN46" s="43">
        <f t="shared" si="620"/>
        <v>0.52300000000000002</v>
      </c>
      <c r="AO46" s="43">
        <f t="shared" ref="AO46" si="621">ROUND(AO15/AO22,3)</f>
        <v>0.53600000000000003</v>
      </c>
      <c r="AP46" s="43">
        <f t="shared" ref="AP46" si="622">ROUND(AP15/AP22,3)</f>
        <v>0.55100000000000005</v>
      </c>
      <c r="AQ46" s="43">
        <f t="shared" ref="AQ46" si="623">ROUND(AQ15/AQ22,3)</f>
        <v>0.54300000000000004</v>
      </c>
      <c r="AR46" s="43">
        <f t="shared" ref="AR46:AW46" si="624">ROUND(AR15/AR22,3)</f>
        <v>0.53300000000000003</v>
      </c>
      <c r="AS46" s="43">
        <f t="shared" si="624"/>
        <v>0.55100000000000005</v>
      </c>
      <c r="AT46" s="43">
        <f t="shared" si="624"/>
        <v>0.52600000000000002</v>
      </c>
      <c r="AU46" s="43">
        <f t="shared" si="624"/>
        <v>0.54600000000000004</v>
      </c>
      <c r="AV46" s="43">
        <f t="shared" si="624"/>
        <v>0.52500000000000002</v>
      </c>
      <c r="AW46" s="43">
        <f t="shared" si="624"/>
        <v>0.51800000000000002</v>
      </c>
      <c r="AZ46" s="11" t="s">
        <v>8</v>
      </c>
      <c r="BB46" s="43">
        <f t="shared" ref="BB46:BC46" si="625">ROUND(BB15/BB22,3)</f>
        <v>0.39800000000000002</v>
      </c>
      <c r="BC46" s="43">
        <f t="shared" si="625"/>
        <v>0.40500000000000003</v>
      </c>
      <c r="BD46" s="43">
        <f t="shared" ref="BD46:BE46" si="626">ROUND(BD15/BD22,3)</f>
        <v>0.42899999999999999</v>
      </c>
      <c r="BE46" s="43">
        <f t="shared" si="626"/>
        <v>0.46700000000000003</v>
      </c>
      <c r="BF46" s="43">
        <f t="shared" ref="BF46:BG46" si="627">ROUND(BF15/BF22,3)</f>
        <v>0.47199999999999998</v>
      </c>
      <c r="BG46" s="43">
        <f t="shared" si="627"/>
        <v>0.46700000000000003</v>
      </c>
      <c r="BH46" s="43">
        <f t="shared" ref="BH46:BI46" si="628">ROUND(BH15/BH22,3)</f>
        <v>0.46100000000000002</v>
      </c>
      <c r="BI46" s="43">
        <f t="shared" si="628"/>
        <v>0.52600000000000002</v>
      </c>
      <c r="BJ46" s="43">
        <f t="shared" ref="BJ46" si="629">ROUND(BJ15/BJ22,3)</f>
        <v>0.51200000000000001</v>
      </c>
      <c r="BK46" s="43">
        <f t="shared" ref="BK46:BP46" si="630">ROUND(BK15/BK22,3)</f>
        <v>0.51200000000000001</v>
      </c>
      <c r="BL46" s="43">
        <f t="shared" si="630"/>
        <v>0.51</v>
      </c>
      <c r="BM46" s="43">
        <f t="shared" si="630"/>
        <v>0.505</v>
      </c>
      <c r="BN46" s="43">
        <f t="shared" si="630"/>
        <v>0.54200000000000004</v>
      </c>
      <c r="BO46" s="43">
        <f t="shared" si="630"/>
        <v>0.53500000000000003</v>
      </c>
      <c r="BP46" s="43">
        <f t="shared" si="630"/>
        <v>0.60299999999999998</v>
      </c>
      <c r="BS46" s="11" t="s">
        <v>8</v>
      </c>
      <c r="BU46" s="43">
        <f>ROUND(BU15/BU22,5)</f>
        <v>0.47166000000000002</v>
      </c>
      <c r="BV46" s="43">
        <f>ROUND(BV15/BV22,5)</f>
        <v>0.45766000000000001</v>
      </c>
      <c r="BW46" s="43">
        <f>ROUND(BW15/BW22,5)</f>
        <v>0.43642999999999998</v>
      </c>
      <c r="BX46" s="43">
        <f t="shared" ref="BX46:BZ46" si="631">ROUND(BX15/BX22,5)</f>
        <v>0.44095000000000001</v>
      </c>
      <c r="BY46" s="43">
        <f t="shared" si="631"/>
        <v>0.41400999999999999</v>
      </c>
      <c r="BZ46" s="43">
        <f t="shared" si="631"/>
        <v>0.39478999999999997</v>
      </c>
      <c r="CA46" s="43">
        <f t="shared" ref="CA46" si="632">ROUND(CA15/CA22,3)</f>
        <v>0</v>
      </c>
      <c r="CB46" s="43" t="e">
        <f t="shared" ref="CB46:CG46" si="633">ROUND(CB15/CB22,3)</f>
        <v>#DIV/0!</v>
      </c>
      <c r="CC46" s="43" t="e">
        <f t="shared" si="633"/>
        <v>#DIV/0!</v>
      </c>
      <c r="CD46" s="43" t="e">
        <f t="shared" si="633"/>
        <v>#DIV/0!</v>
      </c>
      <c r="CE46" s="43" t="e">
        <f t="shared" si="633"/>
        <v>#DIV/0!</v>
      </c>
      <c r="CF46" s="43" t="e">
        <f t="shared" si="633"/>
        <v>#DIV/0!</v>
      </c>
      <c r="CG46" s="43" t="e">
        <f t="shared" si="633"/>
        <v>#DIV/0!</v>
      </c>
      <c r="CJ46" s="11" t="s">
        <v>8</v>
      </c>
      <c r="CL46" s="43">
        <f t="shared" ref="CL46" si="634">ROUND(CL15/CL22,3)</f>
        <v>0.51300000000000001</v>
      </c>
      <c r="CM46" s="43">
        <f t="shared" ref="CM46" si="635">ROUND(CM15/CM22,3)</f>
        <v>0.51100000000000001</v>
      </c>
      <c r="CN46" s="43">
        <f t="shared" ref="CN46:CO46" si="636">ROUND(CN15/CN22,3)</f>
        <v>0.499</v>
      </c>
      <c r="CO46" s="43">
        <f t="shared" si="636"/>
        <v>0.52300000000000002</v>
      </c>
      <c r="CP46" s="43">
        <f t="shared" ref="CP46:CQ46" si="637">ROUND(CP15/CP22,3)</f>
        <v>0.48299999999999998</v>
      </c>
      <c r="CQ46" s="43">
        <f t="shared" si="637"/>
        <v>0.49099999999999999</v>
      </c>
      <c r="CR46" s="43">
        <f t="shared" ref="CR46" si="638">ROUND(CR15/CR22,3)</f>
        <v>0.52</v>
      </c>
      <c r="CS46" s="43">
        <f t="shared" ref="CS46" si="639">ROUND(CS15/CS22,3)</f>
        <v>0.48899999999999999</v>
      </c>
      <c r="CT46" s="43">
        <f t="shared" ref="CT46" si="640">ROUND(CT15/CT22,3)</f>
        <v>0.49199999999999999</v>
      </c>
      <c r="CU46" s="43">
        <f t="shared" ref="CU46:CZ46" si="641">ROUND(CU15/CU22,3)</f>
        <v>0.496</v>
      </c>
      <c r="CV46" s="43">
        <f t="shared" si="641"/>
        <v>0.5</v>
      </c>
      <c r="CW46" s="43">
        <f t="shared" si="641"/>
        <v>0.53100000000000003</v>
      </c>
      <c r="CX46" s="43">
        <f t="shared" si="641"/>
        <v>0.56000000000000005</v>
      </c>
      <c r="CY46" s="43">
        <f t="shared" si="641"/>
        <v>0.58599999999999997</v>
      </c>
      <c r="CZ46" s="43">
        <f t="shared" si="641"/>
        <v>0.60699999999999998</v>
      </c>
      <c r="DC46" s="11" t="s">
        <v>8</v>
      </c>
      <c r="DE46" s="43">
        <f>ROUND(DE15/DE22,3)+0.001</f>
        <v>0.55100000000000005</v>
      </c>
      <c r="DF46" s="43">
        <f>ROUND(DF15/DF22,3)+0.001</f>
        <v>0.52700000000000002</v>
      </c>
      <c r="DG46" s="43">
        <f t="shared" ref="DG46:DH46" si="642">ROUND(DG15/DG22,3)</f>
        <v>0.53900000000000003</v>
      </c>
      <c r="DH46" s="43">
        <f t="shared" si="642"/>
        <v>0.56399999999999995</v>
      </c>
      <c r="DI46" s="43">
        <f t="shared" ref="DI46:DJ46" si="643">ROUND(DI15/DI22,3)</f>
        <v>0.58299999999999996</v>
      </c>
      <c r="DJ46" s="43">
        <f t="shared" si="643"/>
        <v>0.58199999999999996</v>
      </c>
      <c r="DK46" s="43">
        <f t="shared" ref="DK46" si="644">ROUND(DK15/DK22,3)</f>
        <v>0.58599999999999997</v>
      </c>
      <c r="DL46" s="43">
        <f t="shared" ref="DL46:DM46" si="645">ROUND(DL15/DL22,3)</f>
        <v>0.48499999999999999</v>
      </c>
      <c r="DM46" s="43">
        <f t="shared" si="645"/>
        <v>0.4</v>
      </c>
      <c r="DN46" s="43">
        <f t="shared" ref="DN46:DS46" si="646">ROUND(DN15/DN22,3)</f>
        <v>0.41599999999999998</v>
      </c>
      <c r="DO46" s="43">
        <f t="shared" si="646"/>
        <v>0.48899999999999999</v>
      </c>
      <c r="DP46" s="43">
        <f t="shared" si="646"/>
        <v>0.5</v>
      </c>
      <c r="DQ46" s="43">
        <f t="shared" si="646"/>
        <v>0.55600000000000005</v>
      </c>
      <c r="DR46" s="43">
        <f t="shared" si="646"/>
        <v>0.58699999999999997</v>
      </c>
      <c r="DS46" s="43">
        <f t="shared" si="646"/>
        <v>0.60099999999999998</v>
      </c>
      <c r="DV46" s="11" t="s">
        <v>8</v>
      </c>
      <c r="DX46" s="43">
        <f t="shared" ref="DX46" si="647">ROUND(DX15/DX22,3)</f>
        <v>0.67400000000000004</v>
      </c>
      <c r="DY46" s="43">
        <f t="shared" ref="DY46:EL46" si="648">ROUND(DY15/DY22,3)</f>
        <v>0.69899999999999995</v>
      </c>
      <c r="DZ46" s="43">
        <f t="shared" si="648"/>
        <v>0.70599999999999996</v>
      </c>
      <c r="EA46" s="43">
        <f t="shared" si="648"/>
        <v>0.55500000000000005</v>
      </c>
      <c r="EB46" s="43">
        <f t="shared" si="648"/>
        <v>0.504</v>
      </c>
      <c r="EC46" s="43">
        <f t="shared" si="648"/>
        <v>0.57899999999999996</v>
      </c>
      <c r="ED46" s="43">
        <f t="shared" si="648"/>
        <v>0.56599999999999995</v>
      </c>
      <c r="EE46" s="43">
        <f t="shared" si="648"/>
        <v>0.55500000000000005</v>
      </c>
      <c r="EF46" s="43">
        <f t="shared" si="648"/>
        <v>0.55700000000000005</v>
      </c>
      <c r="EG46" s="43">
        <f t="shared" si="648"/>
        <v>0.53400000000000003</v>
      </c>
      <c r="EH46" s="43">
        <f t="shared" si="648"/>
        <v>0.54300000000000004</v>
      </c>
      <c r="EI46" s="43">
        <f t="shared" si="648"/>
        <v>0.49199999999999999</v>
      </c>
      <c r="EJ46" s="43">
        <f t="shared" si="648"/>
        <v>0.51400000000000001</v>
      </c>
      <c r="EK46" s="43">
        <f t="shared" si="648"/>
        <v>0.49199999999999999</v>
      </c>
      <c r="EL46" s="43">
        <f t="shared" si="648"/>
        <v>0.55200000000000005</v>
      </c>
      <c r="EO46" s="11" t="s">
        <v>8</v>
      </c>
      <c r="EP46" s="43">
        <f t="shared" ref="EP46:EU46" si="649">ROUND(EP15/EP21,3)</f>
        <v>0.503</v>
      </c>
      <c r="EQ46" s="43">
        <f t="shared" si="649"/>
        <v>0.49299999999999999</v>
      </c>
      <c r="ER46" s="43">
        <f t="shared" si="649"/>
        <v>0.46800000000000003</v>
      </c>
      <c r="ES46" s="43">
        <f t="shared" si="649"/>
        <v>0.51700000000000002</v>
      </c>
      <c r="ET46" s="43">
        <f t="shared" si="649"/>
        <v>0.502</v>
      </c>
      <c r="EU46" s="43">
        <f t="shared" si="649"/>
        <v>0.434</v>
      </c>
      <c r="EX46" s="3"/>
      <c r="EY46" s="3"/>
      <c r="EZ46" s="3"/>
      <c r="FA46" s="3"/>
      <c r="FB46" s="3"/>
      <c r="FC46" s="3"/>
      <c r="FD46" s="3"/>
      <c r="FE46" s="30"/>
      <c r="FF46" s="36"/>
      <c r="FG46" s="1"/>
      <c r="FH46" s="1"/>
    </row>
    <row r="47" spans="1:164" x14ac:dyDescent="0.25">
      <c r="A47" s="11" t="s">
        <v>3</v>
      </c>
      <c r="B47" s="43">
        <f t="shared" ref="B47:C48" si="650">(P47+AI47+BB47+BU47+CL47+DE47+DX47)/7</f>
        <v>6.0000000000000001E-3</v>
      </c>
      <c r="C47" s="43">
        <f t="shared" si="650"/>
        <v>6.2857142857142851E-3</v>
      </c>
      <c r="D47" s="43">
        <f t="shared" ref="D47:L48" si="651">(R47+AK47+BD47+BW47+CN47+DG47+DZ47)/7</f>
        <v>0</v>
      </c>
      <c r="E47" s="43">
        <f t="shared" si="651"/>
        <v>0</v>
      </c>
      <c r="F47" s="43">
        <f t="shared" si="651"/>
        <v>0</v>
      </c>
      <c r="G47" s="43">
        <f t="shared" si="651"/>
        <v>0</v>
      </c>
      <c r="H47" s="43">
        <f t="shared" si="651"/>
        <v>0</v>
      </c>
      <c r="I47" s="43" t="e">
        <f t="shared" si="651"/>
        <v>#DIV/0!</v>
      </c>
      <c r="J47" s="43" t="e">
        <f t="shared" si="651"/>
        <v>#DIV/0!</v>
      </c>
      <c r="K47" s="43" t="e">
        <f t="shared" si="651"/>
        <v>#DIV/0!</v>
      </c>
      <c r="L47" s="43" t="e">
        <f t="shared" si="651"/>
        <v>#DIV/0!</v>
      </c>
      <c r="N47" s="11" t="s">
        <v>3</v>
      </c>
      <c r="P47" s="56">
        <f t="shared" ref="P47" si="652">ROUND(P16/P22,3)</f>
        <v>0</v>
      </c>
      <c r="Q47" s="56">
        <f t="shared" ref="Q47" si="653">ROUND(Q16/Q22,3)</f>
        <v>0</v>
      </c>
      <c r="R47" s="56">
        <f t="shared" ref="R47:S47" si="654">ROUND(R16/R22,3)</f>
        <v>0</v>
      </c>
      <c r="S47" s="56">
        <f t="shared" si="654"/>
        <v>0</v>
      </c>
      <c r="T47" s="56">
        <f t="shared" ref="T47:U47" si="655">ROUND(T16/T22,3)</f>
        <v>0</v>
      </c>
      <c r="U47" s="56">
        <f t="shared" si="655"/>
        <v>0</v>
      </c>
      <c r="V47" s="56">
        <f t="shared" ref="V47:W47" si="656">ROUND(V16/V22,3)</f>
        <v>0</v>
      </c>
      <c r="W47" s="56">
        <f t="shared" si="656"/>
        <v>0</v>
      </c>
      <c r="X47" s="56">
        <f t="shared" ref="X47" si="657">ROUND(X16/X22,3)</f>
        <v>0</v>
      </c>
      <c r="Y47" s="56">
        <f t="shared" ref="Y47:AD47" si="658">ROUND(Y16/Y22,3)</f>
        <v>0</v>
      </c>
      <c r="Z47" s="56">
        <f t="shared" si="658"/>
        <v>0</v>
      </c>
      <c r="AA47" s="56">
        <f t="shared" si="658"/>
        <v>0</v>
      </c>
      <c r="AB47" s="56">
        <f t="shared" si="658"/>
        <v>0</v>
      </c>
      <c r="AC47" s="56">
        <f t="shared" si="658"/>
        <v>0</v>
      </c>
      <c r="AD47" s="56">
        <f t="shared" si="658"/>
        <v>0</v>
      </c>
      <c r="AG47" s="11" t="s">
        <v>3</v>
      </c>
      <c r="AI47" s="56">
        <f t="shared" ref="AI47:AJ47" si="659">ROUND(AI16/AI22,3)</f>
        <v>0</v>
      </c>
      <c r="AJ47" s="56">
        <f t="shared" si="659"/>
        <v>0</v>
      </c>
      <c r="AK47" s="56">
        <f t="shared" ref="AK47:AL47" si="660">ROUND(AK16/AK22,3)</f>
        <v>0</v>
      </c>
      <c r="AL47" s="56">
        <f t="shared" si="660"/>
        <v>0</v>
      </c>
      <c r="AM47" s="56">
        <f t="shared" ref="AM47:AN47" si="661">ROUND(AM16/AM22,3)</f>
        <v>0</v>
      </c>
      <c r="AN47" s="56">
        <f t="shared" si="661"/>
        <v>0</v>
      </c>
      <c r="AO47" s="56">
        <f t="shared" ref="AO47" si="662">ROUND(AO16/AO22,3)</f>
        <v>0</v>
      </c>
      <c r="AP47" s="56">
        <f t="shared" ref="AP47" si="663">ROUND(AP16/AP22,3)</f>
        <v>0</v>
      </c>
      <c r="AQ47" s="56">
        <f t="shared" ref="AQ47" si="664">ROUND(AQ16/AQ22,3)</f>
        <v>0</v>
      </c>
      <c r="AR47" s="56">
        <f t="shared" ref="AR47:AW47" si="665">ROUND(AR16/AR22,3)</f>
        <v>0</v>
      </c>
      <c r="AS47" s="56">
        <f t="shared" si="665"/>
        <v>0</v>
      </c>
      <c r="AT47" s="56">
        <f t="shared" si="665"/>
        <v>0</v>
      </c>
      <c r="AU47" s="56">
        <f t="shared" si="665"/>
        <v>0</v>
      </c>
      <c r="AV47" s="56">
        <f t="shared" si="665"/>
        <v>0</v>
      </c>
      <c r="AW47" s="56">
        <f t="shared" si="665"/>
        <v>0</v>
      </c>
      <c r="AZ47" s="11" t="s">
        <v>3</v>
      </c>
      <c r="BB47" s="56">
        <f t="shared" ref="BB47:BC47" si="666">ROUND(BB16/BB22,3)</f>
        <v>0</v>
      </c>
      <c r="BC47" s="56">
        <f t="shared" si="666"/>
        <v>0</v>
      </c>
      <c r="BD47" s="56">
        <f t="shared" ref="BD47:BE47" si="667">ROUND(BD16/BD22,3)</f>
        <v>0</v>
      </c>
      <c r="BE47" s="56">
        <f t="shared" si="667"/>
        <v>0</v>
      </c>
      <c r="BF47" s="56">
        <f t="shared" ref="BF47:BG47" si="668">ROUND(BF16/BF22,3)</f>
        <v>0</v>
      </c>
      <c r="BG47" s="56">
        <f t="shared" si="668"/>
        <v>0</v>
      </c>
      <c r="BH47" s="56">
        <f t="shared" ref="BH47:BI47" si="669">ROUND(BH16/BH22,3)</f>
        <v>0</v>
      </c>
      <c r="BI47" s="56">
        <f t="shared" si="669"/>
        <v>0</v>
      </c>
      <c r="BJ47" s="56">
        <f t="shared" ref="BJ47" si="670">ROUND(BJ16/BJ22,3)</f>
        <v>0</v>
      </c>
      <c r="BK47" s="56">
        <f t="shared" ref="BK47:BP47" si="671">ROUND(BK16/BK22,3)</f>
        <v>0</v>
      </c>
      <c r="BL47" s="56">
        <f t="shared" si="671"/>
        <v>0</v>
      </c>
      <c r="BM47" s="56">
        <f t="shared" si="671"/>
        <v>0</v>
      </c>
      <c r="BN47" s="56">
        <f t="shared" si="671"/>
        <v>0</v>
      </c>
      <c r="BO47" s="56">
        <f t="shared" si="671"/>
        <v>0</v>
      </c>
      <c r="BP47" s="56">
        <f t="shared" si="671"/>
        <v>0</v>
      </c>
      <c r="BS47" s="11" t="s">
        <v>3</v>
      </c>
      <c r="BU47" s="58">
        <f>ROUND(BU16/BU22,5)</f>
        <v>0</v>
      </c>
      <c r="BV47" s="58">
        <f>ROUND(BV16/BV22,5)</f>
        <v>0</v>
      </c>
      <c r="BW47" s="58">
        <f>ROUND(BW16/BW22,5)</f>
        <v>0</v>
      </c>
      <c r="BX47" s="58">
        <f t="shared" ref="BX47:BZ47" si="672">ROUND(BX16/BX22,5)</f>
        <v>0</v>
      </c>
      <c r="BY47" s="58">
        <f t="shared" si="672"/>
        <v>0</v>
      </c>
      <c r="BZ47" s="58">
        <f t="shared" si="672"/>
        <v>0</v>
      </c>
      <c r="CA47" s="43">
        <f t="shared" ref="CA47" si="673">ROUND(CA16/CA22,3)</f>
        <v>0</v>
      </c>
      <c r="CB47" s="43" t="e">
        <f t="shared" ref="CB47:CG47" si="674">ROUND(CB16/CB22,3)</f>
        <v>#DIV/0!</v>
      </c>
      <c r="CC47" s="43" t="e">
        <f t="shared" si="674"/>
        <v>#DIV/0!</v>
      </c>
      <c r="CD47" s="43" t="e">
        <f t="shared" si="674"/>
        <v>#DIV/0!</v>
      </c>
      <c r="CE47" s="43" t="e">
        <f t="shared" si="674"/>
        <v>#DIV/0!</v>
      </c>
      <c r="CF47" s="43" t="e">
        <f t="shared" si="674"/>
        <v>#DIV/0!</v>
      </c>
      <c r="CG47" s="43" t="e">
        <f t="shared" si="674"/>
        <v>#DIV/0!</v>
      </c>
      <c r="CJ47" s="11" t="s">
        <v>3</v>
      </c>
      <c r="CL47" s="56">
        <f t="shared" ref="CL47" si="675">ROUND(CL16/CL22,3)</f>
        <v>0</v>
      </c>
      <c r="CM47" s="56">
        <f t="shared" ref="CM47" si="676">ROUND(CM16/CM22,3)</f>
        <v>0</v>
      </c>
      <c r="CN47" s="56">
        <f t="shared" ref="CN47:CO47" si="677">ROUND(CN16/CN22,3)</f>
        <v>0</v>
      </c>
      <c r="CO47" s="56">
        <f t="shared" si="677"/>
        <v>0</v>
      </c>
      <c r="CP47" s="56">
        <f t="shared" ref="CP47:CQ47" si="678">ROUND(CP16/CP22,3)</f>
        <v>0</v>
      </c>
      <c r="CQ47" s="56">
        <f t="shared" si="678"/>
        <v>0</v>
      </c>
      <c r="CR47" s="56">
        <f t="shared" ref="CR47" si="679">ROUND(CR16/CR22,3)</f>
        <v>0</v>
      </c>
      <c r="CS47" s="56">
        <f t="shared" ref="CS47" si="680">ROUND(CS16/CS22,3)</f>
        <v>0</v>
      </c>
      <c r="CT47" s="56">
        <f t="shared" ref="CT47" si="681">ROUND(CT16/CT22,3)</f>
        <v>0</v>
      </c>
      <c r="CU47" s="56">
        <f t="shared" ref="CU47:CZ47" si="682">ROUND(CU16/CU22,3)</f>
        <v>0</v>
      </c>
      <c r="CV47" s="56">
        <f t="shared" si="682"/>
        <v>0</v>
      </c>
      <c r="CW47" s="56">
        <f t="shared" si="682"/>
        <v>0</v>
      </c>
      <c r="CX47" s="56">
        <f t="shared" si="682"/>
        <v>0</v>
      </c>
      <c r="CY47" s="56">
        <f t="shared" si="682"/>
        <v>0</v>
      </c>
      <c r="CZ47" s="56">
        <f t="shared" si="682"/>
        <v>0</v>
      </c>
      <c r="DC47" s="11" t="s">
        <v>3</v>
      </c>
      <c r="DE47" s="43">
        <f t="shared" ref="DE47:DF47" si="683">ROUND(DE16/DE22,3)</f>
        <v>4.2000000000000003E-2</v>
      </c>
      <c r="DF47" s="43">
        <f t="shared" si="683"/>
        <v>4.3999999999999997E-2</v>
      </c>
      <c r="DG47" s="43">
        <f t="shared" ref="DG47:DH47" si="684">ROUND(DG16/DG22,3)</f>
        <v>0</v>
      </c>
      <c r="DH47" s="43">
        <f t="shared" si="684"/>
        <v>0</v>
      </c>
      <c r="DI47" s="43">
        <f t="shared" ref="DI47:DJ47" si="685">ROUND(DI16/DI22,3)</f>
        <v>0</v>
      </c>
      <c r="DJ47" s="43">
        <f t="shared" si="685"/>
        <v>0</v>
      </c>
      <c r="DK47" s="43">
        <f t="shared" ref="DK47" si="686">ROUND(DK16/DK22,3)</f>
        <v>0</v>
      </c>
      <c r="DL47" s="43">
        <f t="shared" ref="DL47:DM47" si="687">ROUND(DL16/DL22,3)</f>
        <v>0</v>
      </c>
      <c r="DM47" s="43">
        <f t="shared" si="687"/>
        <v>0</v>
      </c>
      <c r="DN47" s="43">
        <f t="shared" ref="DN47:DS47" si="688">ROUND(DN16/DN22,3)</f>
        <v>0</v>
      </c>
      <c r="DO47" s="43">
        <f t="shared" si="688"/>
        <v>0</v>
      </c>
      <c r="DP47" s="43">
        <f t="shared" si="688"/>
        <v>0</v>
      </c>
      <c r="DQ47" s="43">
        <f t="shared" si="688"/>
        <v>0</v>
      </c>
      <c r="DR47" s="43">
        <f t="shared" si="688"/>
        <v>1E-3</v>
      </c>
      <c r="DS47" s="43">
        <f t="shared" si="688"/>
        <v>1E-3</v>
      </c>
      <c r="DV47" s="11" t="s">
        <v>3</v>
      </c>
      <c r="DX47" s="56">
        <f t="shared" ref="DX47" si="689">ROUND(DX16/DX22,3)</f>
        <v>0</v>
      </c>
      <c r="DY47" s="56">
        <f t="shared" ref="DY47:EL47" si="690">ROUND(DY16/DY22,3)</f>
        <v>0</v>
      </c>
      <c r="DZ47" s="56">
        <f t="shared" si="690"/>
        <v>0</v>
      </c>
      <c r="EA47" s="56">
        <f t="shared" si="690"/>
        <v>0</v>
      </c>
      <c r="EB47" s="56">
        <f t="shared" si="690"/>
        <v>0</v>
      </c>
      <c r="EC47" s="56">
        <f t="shared" si="690"/>
        <v>0</v>
      </c>
      <c r="ED47" s="56">
        <f t="shared" si="690"/>
        <v>0</v>
      </c>
      <c r="EE47" s="56">
        <f t="shared" si="690"/>
        <v>0</v>
      </c>
      <c r="EF47" s="56">
        <f t="shared" si="690"/>
        <v>0</v>
      </c>
      <c r="EG47" s="56">
        <f t="shared" si="690"/>
        <v>0</v>
      </c>
      <c r="EH47" s="56">
        <f t="shared" si="690"/>
        <v>0</v>
      </c>
      <c r="EI47" s="56">
        <f t="shared" si="690"/>
        <v>0</v>
      </c>
      <c r="EJ47" s="56">
        <f t="shared" si="690"/>
        <v>0</v>
      </c>
      <c r="EK47" s="56">
        <f t="shared" si="690"/>
        <v>0</v>
      </c>
      <c r="EL47" s="56">
        <f t="shared" si="690"/>
        <v>0</v>
      </c>
      <c r="EO47" s="11" t="s">
        <v>3</v>
      </c>
      <c r="EP47" s="56">
        <f t="shared" ref="EP47:EU47" si="691">ROUND(EP16/EP21,3)</f>
        <v>0</v>
      </c>
      <c r="EQ47" s="56">
        <f t="shared" si="691"/>
        <v>0</v>
      </c>
      <c r="ER47" s="56">
        <f t="shared" si="691"/>
        <v>0</v>
      </c>
      <c r="ES47" s="56">
        <f t="shared" si="691"/>
        <v>0</v>
      </c>
      <c r="ET47" s="56">
        <f t="shared" si="691"/>
        <v>0</v>
      </c>
      <c r="EU47" s="56">
        <f t="shared" si="691"/>
        <v>0</v>
      </c>
      <c r="EX47" s="122"/>
      <c r="EY47" s="122"/>
      <c r="EZ47" s="122"/>
      <c r="FA47" s="122"/>
      <c r="FB47" s="122"/>
      <c r="FC47" s="122"/>
      <c r="FD47" s="122"/>
      <c r="FE47" s="30"/>
      <c r="FF47" s="36"/>
      <c r="FG47" s="1"/>
      <c r="FH47" s="1"/>
    </row>
    <row r="48" spans="1:164" x14ac:dyDescent="0.25">
      <c r="A48" s="11" t="s">
        <v>19</v>
      </c>
      <c r="B48" s="43">
        <f t="shared" si="650"/>
        <v>0.45819142857142853</v>
      </c>
      <c r="C48" s="43">
        <f t="shared" si="650"/>
        <v>0.4737628571428571</v>
      </c>
      <c r="D48" s="43">
        <f t="shared" si="651"/>
        <v>0.47622428571428571</v>
      </c>
      <c r="E48" s="43">
        <f t="shared" si="651"/>
        <v>0.48414999999999997</v>
      </c>
      <c r="F48" s="43">
        <f t="shared" si="651"/>
        <v>0.50814142857142852</v>
      </c>
      <c r="G48" s="43">
        <f t="shared" si="651"/>
        <v>0.50160142857142853</v>
      </c>
      <c r="H48" s="43">
        <f t="shared" si="651"/>
        <v>0.54871428571428571</v>
      </c>
      <c r="I48" s="43" t="e">
        <f t="shared" si="651"/>
        <v>#DIV/0!</v>
      </c>
      <c r="J48" s="43" t="e">
        <f t="shared" si="651"/>
        <v>#DIV/0!</v>
      </c>
      <c r="K48" s="43" t="e">
        <f t="shared" si="651"/>
        <v>#DIV/0!</v>
      </c>
      <c r="L48" s="43" t="e">
        <f t="shared" si="651"/>
        <v>#DIV/0!</v>
      </c>
      <c r="N48" s="11" t="s">
        <v>19</v>
      </c>
      <c r="P48" s="43">
        <f t="shared" ref="P48" si="692">ROUND((P17+P18)/P22,3)</f>
        <v>0.439</v>
      </c>
      <c r="Q48" s="43">
        <f>ROUND((Q17+Q18)/Q22,3)</f>
        <v>0.5</v>
      </c>
      <c r="R48" s="43">
        <f t="shared" ref="R48:S48" si="693">ROUND((R17+R18)/R22,3)</f>
        <v>0.496</v>
      </c>
      <c r="S48" s="43">
        <f t="shared" si="693"/>
        <v>0.46500000000000002</v>
      </c>
      <c r="T48" s="43">
        <f t="shared" ref="T48:U48" si="694">ROUND((T17+T18)/T22,3)</f>
        <v>0.48699999999999999</v>
      </c>
      <c r="U48" s="43">
        <f t="shared" si="694"/>
        <v>0.54800000000000004</v>
      </c>
      <c r="V48" s="43">
        <f t="shared" ref="V48:W48" si="695">ROUND((V17+V18)/V22,3)</f>
        <v>0.51</v>
      </c>
      <c r="W48" s="43">
        <f t="shared" si="695"/>
        <v>0.48399999999999999</v>
      </c>
      <c r="X48" s="43">
        <f t="shared" ref="X48" si="696">ROUND((X17+X18)/X22,3)</f>
        <v>0.504</v>
      </c>
      <c r="Y48" s="43">
        <f t="shared" ref="Y48:AD48" si="697">ROUND((Y17+Y18)/Y22,3)</f>
        <v>0.56999999999999995</v>
      </c>
      <c r="Z48" s="43">
        <f t="shared" si="697"/>
        <v>0.54800000000000004</v>
      </c>
      <c r="AA48" s="43">
        <f t="shared" si="697"/>
        <v>0.53600000000000003</v>
      </c>
      <c r="AB48" s="43">
        <f t="shared" si="697"/>
        <v>0.51300000000000001</v>
      </c>
      <c r="AC48" s="43">
        <f t="shared" si="697"/>
        <v>0.503</v>
      </c>
      <c r="AD48" s="43">
        <f t="shared" si="697"/>
        <v>0.501</v>
      </c>
      <c r="AG48" s="11" t="s">
        <v>19</v>
      </c>
      <c r="AI48" s="43">
        <f t="shared" ref="AI48:AJ48" si="698">ROUND((AI17+AI18)/AI22,3)</f>
        <v>0.41699999999999998</v>
      </c>
      <c r="AJ48" s="43">
        <f t="shared" si="698"/>
        <v>0.46</v>
      </c>
      <c r="AK48" s="43">
        <f t="shared" ref="AK48:AL48" si="699">ROUND((AK17+AK18)/AK22,3)</f>
        <v>0.44700000000000001</v>
      </c>
      <c r="AL48" s="43">
        <f t="shared" si="699"/>
        <v>0.47399999999999998</v>
      </c>
      <c r="AM48" s="43">
        <f t="shared" ref="AM48:AN48" si="700">ROUND((AM17+AM18)/AM22,3)</f>
        <v>0.52600000000000002</v>
      </c>
      <c r="AN48" s="43">
        <f t="shared" si="700"/>
        <v>0.47699999999999998</v>
      </c>
      <c r="AO48" s="43">
        <f t="shared" ref="AO48" si="701">ROUND((AO17+AO18)/AO22,3)</f>
        <v>0.46400000000000002</v>
      </c>
      <c r="AP48" s="43">
        <f t="shared" ref="AP48" si="702">ROUND((AP17+AP18)/AP22,3)</f>
        <v>0.44900000000000001</v>
      </c>
      <c r="AQ48" s="43">
        <f t="shared" ref="AQ48" si="703">ROUND((AQ17+AQ18)/AQ22,3)</f>
        <v>0.45700000000000002</v>
      </c>
      <c r="AR48" s="43">
        <f t="shared" ref="AR48:AW48" si="704">ROUND((AR17+AR18)/AR22,3)</f>
        <v>0.46700000000000003</v>
      </c>
      <c r="AS48" s="43">
        <f t="shared" si="704"/>
        <v>0.44900000000000001</v>
      </c>
      <c r="AT48" s="43">
        <f t="shared" si="704"/>
        <v>0.47399999999999998</v>
      </c>
      <c r="AU48" s="43">
        <f t="shared" si="704"/>
        <v>0.45400000000000001</v>
      </c>
      <c r="AV48" s="43">
        <f t="shared" si="704"/>
        <v>0.47499999999999998</v>
      </c>
      <c r="AW48" s="43">
        <f t="shared" si="704"/>
        <v>0.48199999999999998</v>
      </c>
      <c r="AZ48" s="11" t="s">
        <v>19</v>
      </c>
      <c r="BB48" s="43">
        <f t="shared" ref="BB48:BC48" si="705">ROUND((BB17+BB18)/BB22,3)</f>
        <v>0.60199999999999998</v>
      </c>
      <c r="BC48" s="43">
        <f t="shared" si="705"/>
        <v>0.59499999999999997</v>
      </c>
      <c r="BD48" s="43">
        <f t="shared" ref="BD48:BE48" si="706">ROUND((BD17+BD18)/BD22,3)</f>
        <v>0.57099999999999995</v>
      </c>
      <c r="BE48" s="43">
        <f t="shared" si="706"/>
        <v>0.53300000000000003</v>
      </c>
      <c r="BF48" s="43">
        <f t="shared" ref="BF48:BG48" si="707">ROUND((BF17+BF18)/BF22,3)</f>
        <v>0.52800000000000002</v>
      </c>
      <c r="BG48" s="43">
        <f t="shared" si="707"/>
        <v>0.53300000000000003</v>
      </c>
      <c r="BH48" s="43">
        <f t="shared" ref="BH48:BI48" si="708">ROUND((BH17+BH18)/BH22,3)</f>
        <v>0.53900000000000003</v>
      </c>
      <c r="BI48" s="43">
        <f t="shared" si="708"/>
        <v>0.47399999999999998</v>
      </c>
      <c r="BJ48" s="43">
        <f t="shared" ref="BJ48" si="709">ROUND((BJ17+BJ18)/BJ22,3)</f>
        <v>0.48799999999999999</v>
      </c>
      <c r="BK48" s="43">
        <f t="shared" ref="BK48:BP48" si="710">ROUND((BK17+BK18)/BK22,3)</f>
        <v>0.48799999999999999</v>
      </c>
      <c r="BL48" s="43">
        <f t="shared" si="710"/>
        <v>0.49</v>
      </c>
      <c r="BM48" s="43">
        <f t="shared" si="710"/>
        <v>0.495</v>
      </c>
      <c r="BN48" s="43">
        <f t="shared" si="710"/>
        <v>0.45800000000000002</v>
      </c>
      <c r="BO48" s="43">
        <f t="shared" si="710"/>
        <v>0.46500000000000002</v>
      </c>
      <c r="BP48" s="43">
        <f t="shared" si="710"/>
        <v>0.39700000000000002</v>
      </c>
      <c r="BS48" s="11" t="s">
        <v>19</v>
      </c>
      <c r="BU48" s="43">
        <f>ROUND((BU17+BU18)/BU22,5)</f>
        <v>0.52834000000000003</v>
      </c>
      <c r="BV48" s="43">
        <f>ROUND((BV17+BV18)/BV22,5)</f>
        <v>0.54234000000000004</v>
      </c>
      <c r="BW48" s="43">
        <f>ROUND((BW17+BW18)/BW22,5)</f>
        <v>0.56357000000000002</v>
      </c>
      <c r="BX48" s="43">
        <f t="shared" ref="BX48:BZ48" si="711">ROUND((BX17+BX18)/BX22,5)</f>
        <v>0.55905000000000005</v>
      </c>
      <c r="BY48" s="43">
        <f t="shared" si="711"/>
        <v>0.58599000000000001</v>
      </c>
      <c r="BZ48" s="43">
        <f t="shared" si="711"/>
        <v>0.60521000000000003</v>
      </c>
      <c r="CA48" s="43">
        <f t="shared" ref="CA48" si="712">ROUND((CA17+CA18)/CA22,3)</f>
        <v>1</v>
      </c>
      <c r="CB48" s="43" t="e">
        <f t="shared" ref="CB48:CG48" si="713">ROUND((CB17+CB18)/CB22,3)</f>
        <v>#DIV/0!</v>
      </c>
      <c r="CC48" s="43" t="e">
        <f t="shared" si="713"/>
        <v>#DIV/0!</v>
      </c>
      <c r="CD48" s="43" t="e">
        <f t="shared" si="713"/>
        <v>#DIV/0!</v>
      </c>
      <c r="CE48" s="43" t="e">
        <f t="shared" si="713"/>
        <v>#DIV/0!</v>
      </c>
      <c r="CF48" s="43" t="e">
        <f t="shared" si="713"/>
        <v>#DIV/0!</v>
      </c>
      <c r="CG48" s="43" t="e">
        <f t="shared" si="713"/>
        <v>#DIV/0!</v>
      </c>
      <c r="CJ48" s="11" t="s">
        <v>19</v>
      </c>
      <c r="CL48" s="43">
        <f t="shared" ref="CL48" si="714">ROUND((CL17+CL18)/CL22,3)</f>
        <v>0.48699999999999999</v>
      </c>
      <c r="CM48" s="43">
        <f t="shared" ref="CM48" si="715">ROUND((CM17+CM18)/CM22,3)</f>
        <v>0.48899999999999999</v>
      </c>
      <c r="CN48" s="43">
        <f t="shared" ref="CN48:CO48" si="716">ROUND((CN17+CN18)/CN22,3)</f>
        <v>0.501</v>
      </c>
      <c r="CO48" s="43">
        <f t="shared" si="716"/>
        <v>0.47699999999999998</v>
      </c>
      <c r="CP48" s="43">
        <f t="shared" ref="CP48:CQ48" si="717">ROUND((CP17+CP18)/CP22,3)</f>
        <v>0.51700000000000002</v>
      </c>
      <c r="CQ48" s="43">
        <f t="shared" si="717"/>
        <v>0.50900000000000001</v>
      </c>
      <c r="CR48" s="43">
        <f t="shared" ref="CR48" si="718">ROUND((CR17+CR18)/CR22,3)</f>
        <v>0.48</v>
      </c>
      <c r="CS48" s="43">
        <f t="shared" ref="CS48" si="719">ROUND((CS17+CS18)/CS22,3)</f>
        <v>0.51100000000000001</v>
      </c>
      <c r="CT48" s="43">
        <f t="shared" ref="CT48" si="720">ROUND((CT17+CT18)/CT22,3)</f>
        <v>0.50800000000000001</v>
      </c>
      <c r="CU48" s="43">
        <f t="shared" ref="CU48:CZ48" si="721">ROUND((CU17+CU18)/CU22,3)</f>
        <v>0.504</v>
      </c>
      <c r="CV48" s="43">
        <f t="shared" si="721"/>
        <v>0.5</v>
      </c>
      <c r="CW48" s="43">
        <f t="shared" si="721"/>
        <v>0.46899999999999997</v>
      </c>
      <c r="CX48" s="43">
        <f t="shared" si="721"/>
        <v>0.44</v>
      </c>
      <c r="CY48" s="43">
        <f t="shared" si="721"/>
        <v>0.41399999999999998</v>
      </c>
      <c r="CZ48" s="43">
        <f t="shared" si="721"/>
        <v>0.39300000000000002</v>
      </c>
      <c r="DC48" s="11" t="s">
        <v>99</v>
      </c>
      <c r="DE48" s="43">
        <f t="shared" ref="DE48:DF48" si="722">ROUND((DE17+DE18)/DE22,3)</f>
        <v>0.40799999999999997</v>
      </c>
      <c r="DF48" s="43">
        <f t="shared" si="722"/>
        <v>0.42899999999999999</v>
      </c>
      <c r="DG48" s="43">
        <f t="shared" ref="DG48:DH48" si="723">ROUND((DG17+DG18)/DG22,3)</f>
        <v>0.46100000000000002</v>
      </c>
      <c r="DH48" s="43">
        <f t="shared" si="723"/>
        <v>0.436</v>
      </c>
      <c r="DI48" s="43">
        <f t="shared" ref="DI48:DJ48" si="724">ROUND((DI17+DI18)/DI22,3)</f>
        <v>0.41699999999999998</v>
      </c>
      <c r="DJ48" s="43">
        <f t="shared" si="724"/>
        <v>0.41799999999999998</v>
      </c>
      <c r="DK48" s="43">
        <f t="shared" ref="DK48" si="725">ROUND((DK17+DK18)/DK22,3)</f>
        <v>0.41399999999999998</v>
      </c>
      <c r="DL48" s="43">
        <f t="shared" ref="DL48:DM48" si="726">ROUND((DL17+DL18)/DL22,3)</f>
        <v>0.51500000000000001</v>
      </c>
      <c r="DM48" s="43">
        <f t="shared" si="726"/>
        <v>0.6</v>
      </c>
      <c r="DN48" s="43">
        <f t="shared" ref="DN48:DS48" si="727">ROUND((DN17+DN18)/DN22,3)</f>
        <v>0.58399999999999996</v>
      </c>
      <c r="DO48" s="43">
        <f t="shared" si="727"/>
        <v>0.51100000000000001</v>
      </c>
      <c r="DP48" s="43">
        <f t="shared" si="727"/>
        <v>0.5</v>
      </c>
      <c r="DQ48" s="43">
        <f t="shared" si="727"/>
        <v>0.443</v>
      </c>
      <c r="DR48" s="43">
        <f t="shared" si="727"/>
        <v>0.41199999999999998</v>
      </c>
      <c r="DS48" s="43">
        <f t="shared" si="727"/>
        <v>0.39800000000000002</v>
      </c>
      <c r="DV48" s="11" t="s">
        <v>19</v>
      </c>
      <c r="DX48" s="43">
        <f t="shared" ref="DX48" si="728">ROUND((DX17+DX18)/DX22,3)</f>
        <v>0.32600000000000001</v>
      </c>
      <c r="DY48" s="43">
        <f t="shared" ref="DY48:EL48" si="729">ROUND((DY17+DY18)/DY22,3)</f>
        <v>0.30099999999999999</v>
      </c>
      <c r="DZ48" s="43">
        <f t="shared" si="729"/>
        <v>0.29399999999999998</v>
      </c>
      <c r="EA48" s="43">
        <f t="shared" si="729"/>
        <v>0.44500000000000001</v>
      </c>
      <c r="EB48" s="43">
        <f t="shared" si="729"/>
        <v>0.496</v>
      </c>
      <c r="EC48" s="43">
        <f t="shared" si="729"/>
        <v>0.42099999999999999</v>
      </c>
      <c r="ED48" s="43">
        <f t="shared" si="729"/>
        <v>0.434</v>
      </c>
      <c r="EE48" s="43">
        <f t="shared" si="729"/>
        <v>0.44500000000000001</v>
      </c>
      <c r="EF48" s="43">
        <f t="shared" si="729"/>
        <v>0.443</v>
      </c>
      <c r="EG48" s="43">
        <f t="shared" si="729"/>
        <v>0.46600000000000003</v>
      </c>
      <c r="EH48" s="43">
        <f t="shared" si="729"/>
        <v>0.45700000000000002</v>
      </c>
      <c r="EI48" s="43">
        <f t="shared" si="729"/>
        <v>0.50800000000000001</v>
      </c>
      <c r="EJ48" s="43">
        <f t="shared" si="729"/>
        <v>0.48599999999999999</v>
      </c>
      <c r="EK48" s="43">
        <f t="shared" si="729"/>
        <v>0.50800000000000001</v>
      </c>
      <c r="EL48" s="43">
        <f t="shared" si="729"/>
        <v>0.44800000000000001</v>
      </c>
      <c r="EO48" s="11" t="s">
        <v>99</v>
      </c>
      <c r="EP48" s="43">
        <f t="shared" ref="EP48:EU48" si="730">ROUND((EP20)/EP21,3)</f>
        <v>0.497</v>
      </c>
      <c r="EQ48" s="43">
        <f t="shared" si="730"/>
        <v>0.50700000000000001</v>
      </c>
      <c r="ER48" s="43">
        <f t="shared" si="730"/>
        <v>0.53200000000000003</v>
      </c>
      <c r="ES48" s="43">
        <f t="shared" si="730"/>
        <v>0.48299999999999998</v>
      </c>
      <c r="ET48" s="43">
        <f t="shared" si="730"/>
        <v>0.498</v>
      </c>
      <c r="EU48" s="43">
        <f t="shared" si="730"/>
        <v>0.56599999999999995</v>
      </c>
      <c r="EX48" s="3"/>
      <c r="EY48" s="3"/>
      <c r="EZ48" s="3"/>
      <c r="FA48" s="3"/>
      <c r="FB48" s="3"/>
      <c r="FC48" s="3"/>
      <c r="FD48" s="3"/>
      <c r="FE48" s="30"/>
      <c r="FF48" s="36"/>
      <c r="FG48" s="1"/>
      <c r="FH48" s="1"/>
    </row>
    <row r="49" spans="1:166" x14ac:dyDescent="0.25">
      <c r="A49" s="2" t="s">
        <v>7</v>
      </c>
      <c r="B49" s="33">
        <f>ROUND(B46+B47+B48,4)</f>
        <v>1.0001</v>
      </c>
      <c r="C49" s="33">
        <f>ROUND(C46+C47+C48,4)</f>
        <v>1</v>
      </c>
      <c r="D49" s="33">
        <f t="shared" ref="D49:L49" si="731">ROUND(D46+D47+D48,4)</f>
        <v>1</v>
      </c>
      <c r="E49" s="33">
        <f t="shared" si="731"/>
        <v>1</v>
      </c>
      <c r="F49" s="33">
        <f t="shared" si="731"/>
        <v>1</v>
      </c>
      <c r="G49" s="33">
        <f t="shared" si="731"/>
        <v>1</v>
      </c>
      <c r="H49" s="33">
        <f t="shared" si="731"/>
        <v>1</v>
      </c>
      <c r="I49" s="33" t="e">
        <f t="shared" si="731"/>
        <v>#DIV/0!</v>
      </c>
      <c r="J49" s="33" t="e">
        <f t="shared" si="731"/>
        <v>#DIV/0!</v>
      </c>
      <c r="K49" s="33" t="e">
        <f t="shared" si="731"/>
        <v>#DIV/0!</v>
      </c>
      <c r="L49" s="33" t="e">
        <f t="shared" si="731"/>
        <v>#DIV/0!</v>
      </c>
      <c r="N49" s="2" t="s">
        <v>7</v>
      </c>
      <c r="O49" s="2"/>
      <c r="P49" s="33">
        <f t="shared" ref="P49" si="732">ROUND(P46+P47+P48,3)</f>
        <v>1</v>
      </c>
      <c r="Q49" s="33">
        <f t="shared" ref="Q49" si="733">ROUND(Q46+Q47+Q48,3)</f>
        <v>1</v>
      </c>
      <c r="R49" s="33">
        <f t="shared" ref="R49:S49" si="734">ROUND(R46+R47+R48,3)</f>
        <v>1</v>
      </c>
      <c r="S49" s="33">
        <f t="shared" si="734"/>
        <v>1</v>
      </c>
      <c r="T49" s="33">
        <f t="shared" ref="T49:U49" si="735">ROUND(T46+T47+T48,3)</f>
        <v>1</v>
      </c>
      <c r="U49" s="33">
        <f t="shared" si="735"/>
        <v>1</v>
      </c>
      <c r="V49" s="33">
        <f t="shared" ref="V49:W49" si="736">ROUND(V46+V47+V48,3)</f>
        <v>1</v>
      </c>
      <c r="W49" s="33">
        <f t="shared" si="736"/>
        <v>1</v>
      </c>
      <c r="X49" s="33">
        <f t="shared" ref="X49" si="737">ROUND(X46+X47+X48,3)</f>
        <v>1</v>
      </c>
      <c r="Y49" s="33">
        <f t="shared" ref="Y49:AD49" si="738">ROUND(Y46+Y47+Y48,3)</f>
        <v>1</v>
      </c>
      <c r="Z49" s="33">
        <f t="shared" si="738"/>
        <v>1</v>
      </c>
      <c r="AA49" s="33">
        <f t="shared" si="738"/>
        <v>1</v>
      </c>
      <c r="AB49" s="33">
        <f t="shared" si="738"/>
        <v>1</v>
      </c>
      <c r="AC49" s="33">
        <f t="shared" si="738"/>
        <v>1</v>
      </c>
      <c r="AD49" s="33">
        <f t="shared" si="738"/>
        <v>1</v>
      </c>
      <c r="AG49" s="2" t="s">
        <v>7</v>
      </c>
      <c r="AH49" s="2"/>
      <c r="AI49" s="33">
        <f t="shared" ref="AI49:AJ49" si="739">ROUND(AI46+AI47+AI48,3)</f>
        <v>1</v>
      </c>
      <c r="AJ49" s="33">
        <f t="shared" si="739"/>
        <v>1</v>
      </c>
      <c r="AK49" s="33">
        <f t="shared" ref="AK49:AL49" si="740">ROUND(AK46+AK47+AK48,3)</f>
        <v>1</v>
      </c>
      <c r="AL49" s="33">
        <f t="shared" si="740"/>
        <v>1</v>
      </c>
      <c r="AM49" s="33">
        <f t="shared" ref="AM49:AN49" si="741">ROUND(AM46+AM47+AM48,3)</f>
        <v>1</v>
      </c>
      <c r="AN49" s="33">
        <f t="shared" si="741"/>
        <v>1</v>
      </c>
      <c r="AO49" s="33">
        <f t="shared" ref="AO49" si="742">ROUND(AO46+AO47+AO48,3)</f>
        <v>1</v>
      </c>
      <c r="AP49" s="33">
        <f t="shared" ref="AP49" si="743">ROUND(AP46+AP47+AP48,3)</f>
        <v>1</v>
      </c>
      <c r="AQ49" s="33">
        <f t="shared" ref="AQ49" si="744">ROUND(AQ46+AQ47+AQ48,3)</f>
        <v>1</v>
      </c>
      <c r="AR49" s="33">
        <f t="shared" ref="AR49:AW49" si="745">ROUND(AR46+AR47+AR48,3)</f>
        <v>1</v>
      </c>
      <c r="AS49" s="33">
        <f t="shared" si="745"/>
        <v>1</v>
      </c>
      <c r="AT49" s="33">
        <f t="shared" si="745"/>
        <v>1</v>
      </c>
      <c r="AU49" s="33">
        <f t="shared" si="745"/>
        <v>1</v>
      </c>
      <c r="AV49" s="33">
        <f t="shared" si="745"/>
        <v>1</v>
      </c>
      <c r="AW49" s="33">
        <f t="shared" si="745"/>
        <v>1</v>
      </c>
      <c r="AZ49" s="2" t="s">
        <v>7</v>
      </c>
      <c r="BA49" s="2"/>
      <c r="BB49" s="33">
        <f t="shared" ref="BB49:BC49" si="746">ROUND(BB46+BB47+BB48,3)</f>
        <v>1</v>
      </c>
      <c r="BC49" s="33">
        <f t="shared" si="746"/>
        <v>1</v>
      </c>
      <c r="BD49" s="33">
        <f t="shared" ref="BD49:BE49" si="747">ROUND(BD46+BD47+BD48,3)</f>
        <v>1</v>
      </c>
      <c r="BE49" s="33">
        <f t="shared" si="747"/>
        <v>1</v>
      </c>
      <c r="BF49" s="33">
        <f t="shared" ref="BF49:BG49" si="748">ROUND(BF46+BF47+BF48,3)</f>
        <v>1</v>
      </c>
      <c r="BG49" s="33">
        <f t="shared" si="748"/>
        <v>1</v>
      </c>
      <c r="BH49" s="33">
        <f t="shared" ref="BH49:BI49" si="749">ROUND(BH46+BH47+BH48,3)</f>
        <v>1</v>
      </c>
      <c r="BI49" s="33">
        <f t="shared" si="749"/>
        <v>1</v>
      </c>
      <c r="BJ49" s="33">
        <f t="shared" ref="BJ49" si="750">ROUND(BJ46+BJ47+BJ48,3)</f>
        <v>1</v>
      </c>
      <c r="BK49" s="33">
        <f t="shared" ref="BK49:BP49" si="751">ROUND(BK46+BK47+BK48,3)</f>
        <v>1</v>
      </c>
      <c r="BL49" s="33">
        <f t="shared" si="751"/>
        <v>1</v>
      </c>
      <c r="BM49" s="33">
        <f t="shared" si="751"/>
        <v>1</v>
      </c>
      <c r="BN49" s="33">
        <f t="shared" si="751"/>
        <v>1</v>
      </c>
      <c r="BO49" s="33">
        <f t="shared" si="751"/>
        <v>1</v>
      </c>
      <c r="BP49" s="33">
        <f t="shared" si="751"/>
        <v>1</v>
      </c>
      <c r="BS49" s="2" t="s">
        <v>7</v>
      </c>
      <c r="BT49" s="2"/>
      <c r="BU49" s="33">
        <f t="shared" ref="BU49" si="752">ROUND(BU46+BU47+BU48,3)</f>
        <v>1</v>
      </c>
      <c r="BV49" s="33">
        <f t="shared" ref="BV49" si="753">ROUND(BV46+BV47+BV48,3)</f>
        <v>1</v>
      </c>
      <c r="BW49" s="33">
        <f t="shared" ref="BW49:BZ49" si="754">ROUND(BW46+BW47+BW48,3)</f>
        <v>1</v>
      </c>
      <c r="BX49" s="33">
        <f t="shared" si="754"/>
        <v>1</v>
      </c>
      <c r="BY49" s="33">
        <f t="shared" si="754"/>
        <v>1</v>
      </c>
      <c r="BZ49" s="33">
        <f t="shared" si="754"/>
        <v>1</v>
      </c>
      <c r="CA49" s="33">
        <f t="shared" ref="CA49" si="755">ROUND(CA46+CA47+CA48,3)</f>
        <v>1</v>
      </c>
      <c r="CB49" s="33" t="e">
        <f t="shared" ref="CB49:CG49" si="756">ROUND(CB46+CB47+CB48,3)</f>
        <v>#DIV/0!</v>
      </c>
      <c r="CC49" s="33" t="e">
        <f t="shared" si="756"/>
        <v>#DIV/0!</v>
      </c>
      <c r="CD49" s="33" t="e">
        <f t="shared" si="756"/>
        <v>#DIV/0!</v>
      </c>
      <c r="CE49" s="33" t="e">
        <f t="shared" si="756"/>
        <v>#DIV/0!</v>
      </c>
      <c r="CF49" s="33" t="e">
        <f t="shared" si="756"/>
        <v>#DIV/0!</v>
      </c>
      <c r="CG49" s="33" t="e">
        <f t="shared" si="756"/>
        <v>#DIV/0!</v>
      </c>
      <c r="CJ49" s="2" t="s">
        <v>7</v>
      </c>
      <c r="CK49" s="2"/>
      <c r="CL49" s="33">
        <f t="shared" ref="CL49" si="757">ROUND(CL46+CL47+CL48,3)</f>
        <v>1</v>
      </c>
      <c r="CM49" s="33">
        <f t="shared" ref="CM49" si="758">ROUND(CM46+CM47+CM48,3)</f>
        <v>1</v>
      </c>
      <c r="CN49" s="33">
        <f t="shared" ref="CN49:CO49" si="759">ROUND(CN46+CN47+CN48,3)</f>
        <v>1</v>
      </c>
      <c r="CO49" s="33">
        <f t="shared" si="759"/>
        <v>1</v>
      </c>
      <c r="CP49" s="33">
        <f t="shared" ref="CP49:CQ49" si="760">ROUND(CP46+CP47+CP48,3)</f>
        <v>1</v>
      </c>
      <c r="CQ49" s="33">
        <f t="shared" si="760"/>
        <v>1</v>
      </c>
      <c r="CR49" s="33">
        <f t="shared" ref="CR49" si="761">ROUND(CR46+CR47+CR48,3)</f>
        <v>1</v>
      </c>
      <c r="CS49" s="33">
        <f t="shared" ref="CS49" si="762">ROUND(CS46+CS47+CS48,3)</f>
        <v>1</v>
      </c>
      <c r="CT49" s="33">
        <f t="shared" ref="CT49" si="763">ROUND(CT46+CT47+CT48,3)</f>
        <v>1</v>
      </c>
      <c r="CU49" s="33">
        <f t="shared" ref="CU49:CZ49" si="764">ROUND(CU46+CU47+CU48,3)</f>
        <v>1</v>
      </c>
      <c r="CV49" s="33">
        <f t="shared" si="764"/>
        <v>1</v>
      </c>
      <c r="CW49" s="33">
        <f t="shared" si="764"/>
        <v>1</v>
      </c>
      <c r="CX49" s="33">
        <f t="shared" si="764"/>
        <v>1</v>
      </c>
      <c r="CY49" s="33">
        <f t="shared" si="764"/>
        <v>1</v>
      </c>
      <c r="CZ49" s="33">
        <f t="shared" si="764"/>
        <v>1</v>
      </c>
      <c r="DC49" s="2" t="s">
        <v>7</v>
      </c>
      <c r="DD49" s="2"/>
      <c r="DE49" s="33">
        <f t="shared" ref="DE49:DF49" si="765">ROUND(DE46+DE47+DE48,3)</f>
        <v>1.0009999999999999</v>
      </c>
      <c r="DF49" s="33">
        <f t="shared" si="765"/>
        <v>1</v>
      </c>
      <c r="DG49" s="33">
        <f t="shared" ref="DG49:DH49" si="766">ROUND(DG46+DG47+DG48,3)</f>
        <v>1</v>
      </c>
      <c r="DH49" s="33">
        <f t="shared" si="766"/>
        <v>1</v>
      </c>
      <c r="DI49" s="33">
        <f t="shared" ref="DI49:DJ49" si="767">ROUND(DI46+DI47+DI48,3)</f>
        <v>1</v>
      </c>
      <c r="DJ49" s="33">
        <f t="shared" si="767"/>
        <v>1</v>
      </c>
      <c r="DK49" s="33">
        <f t="shared" ref="DK49" si="768">ROUND(DK46+DK47+DK48,3)</f>
        <v>1</v>
      </c>
      <c r="DL49" s="33">
        <f t="shared" ref="DL49:DM49" si="769">ROUND(DL46+DL47+DL48,3)</f>
        <v>1</v>
      </c>
      <c r="DM49" s="33">
        <f t="shared" si="769"/>
        <v>1</v>
      </c>
      <c r="DN49" s="33">
        <f t="shared" ref="DN49:DS49" si="770">ROUND(DN46+DN47+DN48,3)</f>
        <v>1</v>
      </c>
      <c r="DO49" s="33">
        <f t="shared" si="770"/>
        <v>1</v>
      </c>
      <c r="DP49" s="33">
        <f t="shared" si="770"/>
        <v>1</v>
      </c>
      <c r="DQ49" s="33">
        <f t="shared" si="770"/>
        <v>0.999</v>
      </c>
      <c r="DR49" s="33">
        <f t="shared" si="770"/>
        <v>1</v>
      </c>
      <c r="DS49" s="33">
        <f t="shared" si="770"/>
        <v>1</v>
      </c>
      <c r="DV49" s="2" t="s">
        <v>7</v>
      </c>
      <c r="DW49" s="2"/>
      <c r="DX49" s="33">
        <f t="shared" ref="DX49" si="771">ROUND(DX46+DX47+DX48,3)</f>
        <v>1</v>
      </c>
      <c r="DY49" s="33">
        <f t="shared" ref="DY49:EL49" si="772">ROUND(DY46+DY47+DY48,3)</f>
        <v>1</v>
      </c>
      <c r="DZ49" s="33">
        <f t="shared" si="772"/>
        <v>1</v>
      </c>
      <c r="EA49" s="33">
        <f t="shared" si="772"/>
        <v>1</v>
      </c>
      <c r="EB49" s="33">
        <f t="shared" si="772"/>
        <v>1</v>
      </c>
      <c r="EC49" s="33">
        <f t="shared" si="772"/>
        <v>1</v>
      </c>
      <c r="ED49" s="33">
        <f t="shared" si="772"/>
        <v>1</v>
      </c>
      <c r="EE49" s="33">
        <f t="shared" si="772"/>
        <v>1</v>
      </c>
      <c r="EF49" s="33">
        <f t="shared" si="772"/>
        <v>1</v>
      </c>
      <c r="EG49" s="33">
        <f t="shared" si="772"/>
        <v>1</v>
      </c>
      <c r="EH49" s="33">
        <f t="shared" si="772"/>
        <v>1</v>
      </c>
      <c r="EI49" s="33">
        <f t="shared" si="772"/>
        <v>1</v>
      </c>
      <c r="EJ49" s="33">
        <f t="shared" si="772"/>
        <v>1</v>
      </c>
      <c r="EK49" s="33">
        <f t="shared" si="772"/>
        <v>1</v>
      </c>
      <c r="EL49" s="33">
        <f t="shared" si="772"/>
        <v>1</v>
      </c>
      <c r="EO49" s="2" t="s">
        <v>7</v>
      </c>
      <c r="EP49" s="33">
        <f t="shared" ref="EP49:EU49" si="773">ROUND(EP46+EP47+EP48,3)</f>
        <v>1</v>
      </c>
      <c r="EQ49" s="33">
        <f t="shared" si="773"/>
        <v>1</v>
      </c>
      <c r="ER49" s="33">
        <f t="shared" si="773"/>
        <v>1</v>
      </c>
      <c r="ES49" s="33">
        <f t="shared" si="773"/>
        <v>1</v>
      </c>
      <c r="ET49" s="33">
        <f t="shared" si="773"/>
        <v>1</v>
      </c>
      <c r="EU49" s="33">
        <f t="shared" si="773"/>
        <v>1</v>
      </c>
      <c r="EX49" s="30"/>
      <c r="EY49" s="30"/>
      <c r="EZ49" s="30"/>
      <c r="FA49" s="30"/>
      <c r="FB49" s="30"/>
      <c r="FC49" s="30"/>
      <c r="FD49" s="30"/>
      <c r="FE49" s="30"/>
      <c r="FF49" s="36"/>
      <c r="FG49" s="1"/>
      <c r="FH49" s="1"/>
    </row>
    <row r="50" spans="1:166" x14ac:dyDescent="0.25">
      <c r="A50" s="1"/>
      <c r="B50" s="1"/>
      <c r="C50" s="1"/>
      <c r="D50" s="1"/>
      <c r="E50" s="1"/>
      <c r="F50" s="134"/>
      <c r="G50" s="134"/>
      <c r="H50" s="134"/>
      <c r="I50" s="134"/>
      <c r="J50" s="134"/>
      <c r="K50" s="134"/>
      <c r="L50" s="134"/>
      <c r="N50" s="1"/>
      <c r="O50" s="1"/>
      <c r="P50" s="1"/>
      <c r="Q50" s="1"/>
      <c r="R50" s="1"/>
      <c r="S50" s="1"/>
      <c r="T50" s="1"/>
      <c r="U50" s="1"/>
      <c r="V50" s="1"/>
      <c r="W50" s="9"/>
      <c r="X50" s="9"/>
      <c r="Y50" s="1"/>
      <c r="Z50" s="30"/>
      <c r="AA50" s="30"/>
      <c r="AB50" s="30"/>
      <c r="AC50" s="30"/>
      <c r="AD50" s="30"/>
      <c r="AG50" s="1"/>
      <c r="AH50" s="1"/>
      <c r="AI50" s="1"/>
      <c r="AJ50" s="1"/>
      <c r="AK50" s="9"/>
      <c r="AL50" s="9"/>
      <c r="AM50" s="9"/>
      <c r="AN50" s="9"/>
      <c r="AO50" s="9"/>
      <c r="AP50" s="9"/>
      <c r="AQ50" s="9"/>
      <c r="AR50" s="1"/>
      <c r="AS50" s="30"/>
      <c r="AT50" s="30"/>
      <c r="AU50" s="30"/>
      <c r="AV50" s="30"/>
      <c r="AW50" s="30"/>
      <c r="AZ50" s="1"/>
      <c r="BA50" s="1"/>
      <c r="BB50" s="1"/>
      <c r="BC50" s="1"/>
      <c r="BD50" s="1"/>
      <c r="BE50" s="1"/>
      <c r="BF50" s="9"/>
      <c r="BG50" s="9"/>
      <c r="BH50" s="9"/>
      <c r="BI50" s="9"/>
      <c r="BJ50" s="9"/>
      <c r="BK50" s="1"/>
      <c r="BL50" s="30"/>
      <c r="BM50" s="30"/>
      <c r="BN50" s="30"/>
      <c r="BO50" s="30"/>
      <c r="BP50" s="30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30"/>
      <c r="CD50" s="30"/>
      <c r="CE50" s="30"/>
      <c r="CF50" s="30"/>
      <c r="CG50" s="30"/>
      <c r="CJ50" s="1"/>
      <c r="CK50" s="1"/>
      <c r="CL50" s="9"/>
      <c r="CM50" s="9"/>
      <c r="CN50" s="9"/>
      <c r="CO50" s="9"/>
      <c r="CP50" s="9"/>
      <c r="CQ50" s="9"/>
      <c r="CR50" s="9"/>
      <c r="CS50" s="9"/>
      <c r="CT50" s="9"/>
      <c r="CU50" s="1"/>
      <c r="CV50" s="30"/>
      <c r="CW50" s="30"/>
      <c r="CX50" s="30"/>
      <c r="CY50" s="30"/>
      <c r="CZ50" s="30"/>
      <c r="DC50" s="1"/>
      <c r="DD50" s="1"/>
      <c r="DE50" s="9"/>
      <c r="DF50" s="9"/>
      <c r="DG50" s="9"/>
      <c r="DH50" s="9"/>
      <c r="DI50" s="9"/>
      <c r="DJ50" s="9"/>
      <c r="DK50" s="9"/>
      <c r="DL50" s="9"/>
      <c r="DM50" s="9"/>
      <c r="DN50" s="1"/>
      <c r="DO50" s="30"/>
      <c r="DP50" s="30"/>
      <c r="DQ50" s="30"/>
      <c r="DR50" s="30"/>
      <c r="DS50" s="30"/>
      <c r="DV50" s="1"/>
      <c r="DW50" s="1"/>
      <c r="DX50" s="1"/>
      <c r="DY50" s="1"/>
      <c r="DZ50" s="9"/>
      <c r="EA50" s="9"/>
      <c r="EB50" s="9"/>
      <c r="EC50" s="9"/>
      <c r="ED50" s="9"/>
      <c r="EE50" s="9"/>
      <c r="EF50" s="9"/>
      <c r="EG50" s="1"/>
      <c r="EH50" s="30"/>
      <c r="EI50" s="30"/>
      <c r="EJ50" s="30"/>
      <c r="EK50" s="30"/>
      <c r="EL50" s="30"/>
      <c r="EX50" s="1"/>
      <c r="EY50" s="1"/>
      <c r="EZ50" s="30"/>
      <c r="FA50" s="30"/>
      <c r="FB50" s="30"/>
      <c r="FC50" s="30"/>
      <c r="FD50" s="30"/>
      <c r="FE50" s="1"/>
      <c r="FF50" s="1"/>
      <c r="FG50" s="1"/>
      <c r="FH50" s="1"/>
    </row>
    <row r="51" spans="1:166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33">
        <f>L29</f>
        <v>0</v>
      </c>
      <c r="N51" s="1"/>
      <c r="O51" s="1"/>
      <c r="P51" s="1"/>
      <c r="Q51" s="1"/>
      <c r="R51" s="1"/>
      <c r="S51" s="1"/>
      <c r="T51" s="192" t="str">
        <f>T29</f>
        <v>New Jersey Resources, Corp.</v>
      </c>
      <c r="U51" s="192"/>
      <c r="V51" s="192"/>
      <c r="W51" s="192"/>
      <c r="X51" s="192"/>
      <c r="Y51" s="1"/>
      <c r="AG51" s="1"/>
      <c r="AH51" s="1"/>
      <c r="AI51" s="1"/>
      <c r="AJ51" s="1"/>
      <c r="AK51" s="9"/>
      <c r="AL51" s="9"/>
      <c r="AM51" s="192" t="str">
        <f>AM29</f>
        <v>Northwest Natural Gas Co.</v>
      </c>
      <c r="AN51" s="192"/>
      <c r="AO51" s="192"/>
      <c r="AP51" s="192"/>
      <c r="AQ51" s="192"/>
      <c r="AR51" s="1"/>
      <c r="AZ51" s="1"/>
      <c r="BA51" s="1"/>
      <c r="BB51" s="1"/>
      <c r="BC51" s="1"/>
      <c r="BD51" s="1"/>
      <c r="BE51" s="1"/>
      <c r="BF51" s="193" t="s">
        <v>49</v>
      </c>
      <c r="BG51" s="193"/>
      <c r="BH51" s="193"/>
      <c r="BI51" s="193"/>
      <c r="BJ51" s="193"/>
      <c r="BK51" s="1"/>
      <c r="BL51" s="192">
        <f>BL29</f>
        <v>0</v>
      </c>
      <c r="BM51" s="192"/>
      <c r="BN51" s="192"/>
      <c r="BO51" s="192"/>
      <c r="BP51" s="192"/>
      <c r="BS51" s="1"/>
      <c r="BT51" s="1"/>
      <c r="BU51" s="1"/>
      <c r="BV51" s="1"/>
      <c r="BW51" s="1"/>
      <c r="BX51" s="1"/>
      <c r="BY51" s="192" t="str">
        <f>BY29</f>
        <v>ONE Gas Inc.</v>
      </c>
      <c r="BZ51" s="192"/>
      <c r="CA51" s="192"/>
      <c r="CB51" s="133"/>
      <c r="CC51" s="133"/>
      <c r="CJ51" s="1"/>
      <c r="CK51" s="1"/>
      <c r="CL51" s="9"/>
      <c r="CM51" s="9"/>
      <c r="CN51" s="9"/>
      <c r="CO51" s="9"/>
      <c r="CP51" s="192" t="str">
        <f>CP29</f>
        <v>Southwest Gas Corp.</v>
      </c>
      <c r="CQ51" s="192"/>
      <c r="CR51" s="192"/>
      <c r="CS51" s="192"/>
      <c r="CT51" s="192"/>
      <c r="CU51" s="1"/>
      <c r="DC51" s="1"/>
      <c r="DD51" s="1"/>
      <c r="DE51" s="9"/>
      <c r="DF51" s="9"/>
      <c r="DG51" s="9"/>
      <c r="DH51" s="9"/>
      <c r="DI51" s="192" t="str">
        <f>DI29</f>
        <v>Spire, Inc.</v>
      </c>
      <c r="DJ51" s="192"/>
      <c r="DK51" s="192"/>
      <c r="DL51" s="192"/>
      <c r="DM51" s="192"/>
      <c r="DN51" s="1"/>
      <c r="DV51" s="1"/>
      <c r="DW51" s="1"/>
      <c r="DX51" s="1"/>
      <c r="DY51" s="1"/>
      <c r="DZ51" s="9"/>
      <c r="EA51" s="9"/>
      <c r="EB51" s="192"/>
      <c r="EC51" s="192"/>
      <c r="ED51" s="192"/>
      <c r="EE51" s="192"/>
      <c r="EF51" s="192"/>
      <c r="EG51" s="1"/>
      <c r="ER51" s="135"/>
      <c r="ES51" s="82" t="str">
        <f>ES29</f>
        <v>Columbia Gas of Kentucky, Inc.</v>
      </c>
      <c r="EX51" s="1"/>
      <c r="EY51" s="1"/>
      <c r="EZ51" s="190"/>
      <c r="FA51" s="190"/>
      <c r="FB51" s="190"/>
      <c r="FC51" s="190"/>
      <c r="FD51" s="190"/>
      <c r="FE51" s="1"/>
      <c r="FF51" s="1"/>
      <c r="FG51" s="1"/>
      <c r="FH51" s="1"/>
    </row>
    <row r="52" spans="1:166" x14ac:dyDescent="0.25">
      <c r="B52" s="54">
        <v>2020</v>
      </c>
      <c r="C52" s="54">
        <v>2019</v>
      </c>
      <c r="D52" s="54">
        <f>D30</f>
        <v>2018</v>
      </c>
      <c r="E52" s="54">
        <f>E30</f>
        <v>2017</v>
      </c>
      <c r="F52" s="54">
        <f>F30</f>
        <v>2016</v>
      </c>
      <c r="G52" s="54">
        <f>G30</f>
        <v>2015</v>
      </c>
      <c r="H52" s="54">
        <f>H30</f>
        <v>2014</v>
      </c>
      <c r="I52" s="54">
        <v>2013</v>
      </c>
      <c r="J52" s="54">
        <v>2012</v>
      </c>
      <c r="K52" s="39">
        <v>2011</v>
      </c>
      <c r="L52" s="41">
        <f>L30</f>
        <v>2010</v>
      </c>
      <c r="P52" s="54">
        <v>2020</v>
      </c>
      <c r="Q52" s="39">
        <v>2019</v>
      </c>
      <c r="R52" s="39">
        <v>2018</v>
      </c>
      <c r="S52" s="39">
        <v>2017</v>
      </c>
      <c r="T52" s="39">
        <v>2016</v>
      </c>
      <c r="U52" s="39">
        <v>2015</v>
      </c>
      <c r="V52" s="39">
        <v>2014</v>
      </c>
      <c r="W52" s="39">
        <v>2013</v>
      </c>
      <c r="X52" s="39">
        <v>2012</v>
      </c>
      <c r="Y52" s="39">
        <v>2011</v>
      </c>
      <c r="Z52" s="84">
        <f>Z30</f>
        <v>2010</v>
      </c>
      <c r="AA52" s="84">
        <f>AA30</f>
        <v>2009</v>
      </c>
      <c r="AB52" s="84">
        <f>AB30</f>
        <v>2008</v>
      </c>
      <c r="AC52" s="84">
        <f>AC30</f>
        <v>2007</v>
      </c>
      <c r="AD52" s="84">
        <f>AD30</f>
        <v>2006</v>
      </c>
      <c r="AI52" s="54">
        <v>2020</v>
      </c>
      <c r="AJ52" s="54">
        <v>2019</v>
      </c>
      <c r="AK52" s="54">
        <v>2018</v>
      </c>
      <c r="AL52" s="54">
        <v>2017</v>
      </c>
      <c r="AM52" s="54">
        <v>2016</v>
      </c>
      <c r="AN52" s="54">
        <v>2015</v>
      </c>
      <c r="AO52" s="54">
        <v>2014</v>
      </c>
      <c r="AP52" s="54">
        <v>2013</v>
      </c>
      <c r="AQ52" s="85">
        <v>2012</v>
      </c>
      <c r="AR52" s="39">
        <v>2011</v>
      </c>
      <c r="AS52" s="84">
        <f>AS30</f>
        <v>2010</v>
      </c>
      <c r="AT52" s="84">
        <f>AT30</f>
        <v>2009</v>
      </c>
      <c r="AU52" s="84">
        <f>AU30</f>
        <v>2008</v>
      </c>
      <c r="AV52" s="84">
        <f>AV30</f>
        <v>2007</v>
      </c>
      <c r="AW52" s="84">
        <f>AW30</f>
        <v>2006</v>
      </c>
      <c r="BB52" s="54">
        <f>BB9</f>
        <v>2020</v>
      </c>
      <c r="BC52" s="54">
        <f>BC9</f>
        <v>2019</v>
      </c>
      <c r="BD52" s="54">
        <f>BD9</f>
        <v>2018</v>
      </c>
      <c r="BE52" s="54">
        <f>BE9</f>
        <v>2017</v>
      </c>
      <c r="BF52" s="81">
        <v>2016</v>
      </c>
      <c r="BG52" s="81">
        <v>2015</v>
      </c>
      <c r="BH52" s="81">
        <v>2014</v>
      </c>
      <c r="BI52" s="81">
        <v>2013</v>
      </c>
      <c r="BJ52" s="81">
        <v>2012</v>
      </c>
      <c r="BK52" s="39">
        <v>2011</v>
      </c>
      <c r="BL52" s="84">
        <f>BL30</f>
        <v>2010</v>
      </c>
      <c r="BM52" s="84">
        <f>BM30</f>
        <v>2009</v>
      </c>
      <c r="BN52" s="84">
        <f>BN30</f>
        <v>2008</v>
      </c>
      <c r="BO52" s="84">
        <f>BO30</f>
        <v>2007</v>
      </c>
      <c r="BP52" s="84">
        <f>BP30</f>
        <v>2006</v>
      </c>
      <c r="BU52" s="54">
        <v>2020</v>
      </c>
      <c r="BV52" s="54">
        <v>2019</v>
      </c>
      <c r="BW52" s="54">
        <v>2018</v>
      </c>
      <c r="BX52" s="54">
        <v>2017</v>
      </c>
      <c r="BY52" s="54">
        <v>2016</v>
      </c>
      <c r="BZ52" s="54">
        <v>2015</v>
      </c>
      <c r="CA52" s="54">
        <v>2014</v>
      </c>
      <c r="CB52" s="39">
        <v>2013</v>
      </c>
      <c r="CC52" s="39">
        <v>2012</v>
      </c>
      <c r="CD52" s="39">
        <v>2011</v>
      </c>
      <c r="CE52" s="39">
        <v>2008</v>
      </c>
      <c r="CF52" s="39">
        <v>2007</v>
      </c>
      <c r="CG52" s="39">
        <v>2006</v>
      </c>
      <c r="CL52" s="54">
        <f>CL9</f>
        <v>2020</v>
      </c>
      <c r="CM52" s="54">
        <f>CM9</f>
        <v>2019</v>
      </c>
      <c r="CN52" s="54">
        <f>CN9</f>
        <v>2018</v>
      </c>
      <c r="CO52" s="54">
        <v>2017</v>
      </c>
      <c r="CP52" s="54">
        <f>CP9</f>
        <v>2016</v>
      </c>
      <c r="CQ52" s="54">
        <v>2015</v>
      </c>
      <c r="CR52" s="54">
        <v>2014</v>
      </c>
      <c r="CS52" s="54">
        <v>2013</v>
      </c>
      <c r="CT52" s="54">
        <v>2012</v>
      </c>
      <c r="CU52" s="39">
        <v>2011</v>
      </c>
      <c r="CV52" s="84">
        <f>CV30</f>
        <v>2010</v>
      </c>
      <c r="CW52" s="84">
        <f>CW30</f>
        <v>2009</v>
      </c>
      <c r="CX52" s="84">
        <f>CX30</f>
        <v>2008</v>
      </c>
      <c r="CY52" s="84">
        <f>CY30</f>
        <v>2007</v>
      </c>
      <c r="CZ52" s="84">
        <f>CZ30</f>
        <v>2006</v>
      </c>
      <c r="DE52" s="54">
        <f>DE9</f>
        <v>2020</v>
      </c>
      <c r="DF52" s="54">
        <f>DF9</f>
        <v>2019</v>
      </c>
      <c r="DG52" s="54">
        <f>DG9</f>
        <v>2018</v>
      </c>
      <c r="DH52" s="54">
        <v>2017</v>
      </c>
      <c r="DI52" s="54">
        <f>DI9</f>
        <v>2016</v>
      </c>
      <c r="DJ52" s="54">
        <v>2015</v>
      </c>
      <c r="DK52" s="54">
        <v>2014</v>
      </c>
      <c r="DL52" s="54">
        <v>2013</v>
      </c>
      <c r="DM52" s="54">
        <v>2012</v>
      </c>
      <c r="DN52" s="39">
        <v>2011</v>
      </c>
      <c r="DO52" s="84">
        <f>DO30</f>
        <v>2010</v>
      </c>
      <c r="DP52" s="84">
        <f>DP30</f>
        <v>2009</v>
      </c>
      <c r="DQ52" s="84">
        <f>DQ30</f>
        <v>2008</v>
      </c>
      <c r="DR52" s="84">
        <f>DR30</f>
        <v>2007</v>
      </c>
      <c r="DS52" s="84">
        <f>DS30</f>
        <v>2006</v>
      </c>
      <c r="DX52" s="54">
        <v>2020</v>
      </c>
      <c r="DY52" s="54">
        <v>2019</v>
      </c>
      <c r="DZ52" s="54">
        <v>2018</v>
      </c>
      <c r="EA52" s="54">
        <v>2017</v>
      </c>
      <c r="EB52" s="54">
        <v>2016</v>
      </c>
      <c r="EC52" s="54">
        <v>2015</v>
      </c>
      <c r="ED52" s="54">
        <v>2014</v>
      </c>
      <c r="EE52" s="54">
        <v>2013</v>
      </c>
      <c r="EF52" s="54">
        <v>2012</v>
      </c>
      <c r="EG52" s="39">
        <v>2011</v>
      </c>
      <c r="EH52" s="84">
        <f>EH30</f>
        <v>2010</v>
      </c>
      <c r="EI52" s="84">
        <f>EI30</f>
        <v>2009</v>
      </c>
      <c r="EJ52" s="84">
        <f>EJ30</f>
        <v>2008</v>
      </c>
      <c r="EK52" s="84">
        <f>EK30</f>
        <v>2007</v>
      </c>
      <c r="EL52" s="84">
        <f>EL30</f>
        <v>2006</v>
      </c>
      <c r="EP52" s="54">
        <f>EP9</f>
        <v>2020</v>
      </c>
      <c r="EQ52" s="54">
        <f>EQ9</f>
        <v>2019</v>
      </c>
      <c r="ER52" s="54">
        <f>ER9</f>
        <v>2018</v>
      </c>
      <c r="ES52" s="54">
        <v>2017</v>
      </c>
      <c r="ET52" s="54">
        <f>ET9</f>
        <v>2016</v>
      </c>
      <c r="EU52" s="54">
        <v>2015</v>
      </c>
      <c r="EX52" s="61"/>
      <c r="EY52" s="16"/>
      <c r="EZ52" s="126"/>
      <c r="FA52" s="126"/>
      <c r="FB52" s="126"/>
      <c r="FC52" s="126"/>
      <c r="FD52" s="126"/>
      <c r="FE52" s="127"/>
      <c r="FF52" s="1"/>
      <c r="FG52" s="1"/>
      <c r="FH52" s="1"/>
    </row>
    <row r="53" spans="1:166" x14ac:dyDescent="0.25">
      <c r="F53" s="44" t="s">
        <v>26</v>
      </c>
      <c r="G53" s="44"/>
      <c r="U53" s="10"/>
      <c r="W53" s="10"/>
      <c r="X53" s="10"/>
      <c r="Z53" s="44" t="s">
        <v>26</v>
      </c>
      <c r="AM53" s="10"/>
      <c r="AN53" s="10"/>
      <c r="AO53" s="10"/>
      <c r="AP53" s="10"/>
      <c r="AQ53" s="10"/>
      <c r="AS53" s="44" t="s">
        <v>26</v>
      </c>
      <c r="BF53" s="10"/>
      <c r="BG53" s="10"/>
      <c r="BH53" s="10"/>
      <c r="BI53" s="10"/>
      <c r="BJ53" s="10"/>
      <c r="BL53" s="44" t="s">
        <v>26</v>
      </c>
      <c r="BY53" s="10"/>
      <c r="BZ53" s="10"/>
      <c r="CC53" s="44" t="s">
        <v>26</v>
      </c>
      <c r="CP53" s="10"/>
      <c r="CQ53" s="10"/>
      <c r="CR53" s="10"/>
      <c r="CS53" s="10"/>
      <c r="CT53" s="10"/>
      <c r="CV53" s="44" t="s">
        <v>26</v>
      </c>
      <c r="DI53" s="10"/>
      <c r="DJ53" s="10"/>
      <c r="DK53" s="10"/>
      <c r="DL53" s="10"/>
      <c r="DM53" s="10"/>
      <c r="DO53" s="44" t="s">
        <v>26</v>
      </c>
      <c r="EB53" s="10"/>
      <c r="EC53" s="10"/>
      <c r="ED53" s="10"/>
      <c r="EE53" s="10"/>
      <c r="EF53" s="10"/>
      <c r="EH53" s="44" t="s">
        <v>26</v>
      </c>
      <c r="EX53" s="1"/>
      <c r="EY53" s="1"/>
      <c r="EZ53" s="29"/>
      <c r="FA53" s="1"/>
      <c r="FB53" s="1"/>
      <c r="FC53" s="1"/>
      <c r="FD53" s="1"/>
      <c r="FE53" s="1"/>
      <c r="FF53" s="1"/>
      <c r="FG53" s="1"/>
      <c r="FH53" s="1"/>
    </row>
    <row r="54" spans="1:166" x14ac:dyDescent="0.25">
      <c r="A54" s="83" t="s">
        <v>27</v>
      </c>
      <c r="B54" s="46"/>
      <c r="C54" s="46"/>
      <c r="D54" s="46"/>
      <c r="E54" s="46"/>
      <c r="F54" s="44" t="s">
        <v>31</v>
      </c>
      <c r="G54" s="44"/>
      <c r="N54" s="83" t="s">
        <v>27</v>
      </c>
      <c r="U54" s="10"/>
      <c r="W54" s="10"/>
      <c r="X54" s="10"/>
      <c r="Z54" s="44" t="s">
        <v>31</v>
      </c>
      <c r="AG54" s="83" t="s">
        <v>27</v>
      </c>
      <c r="AM54" s="10"/>
      <c r="AN54" s="10"/>
      <c r="AO54" s="10"/>
      <c r="AP54" s="10"/>
      <c r="AQ54" s="10"/>
      <c r="AS54" s="44" t="s">
        <v>31</v>
      </c>
      <c r="AZ54" s="83" t="s">
        <v>27</v>
      </c>
      <c r="BF54" s="10"/>
      <c r="BG54" s="10"/>
      <c r="BH54" s="10"/>
      <c r="BI54" s="10"/>
      <c r="BJ54" s="10"/>
      <c r="BL54" s="44" t="s">
        <v>31</v>
      </c>
      <c r="BS54" s="83" t="s">
        <v>27</v>
      </c>
      <c r="BY54" s="10"/>
      <c r="BZ54" s="10"/>
      <c r="CC54" s="44" t="s">
        <v>31</v>
      </c>
      <c r="CJ54" s="83" t="s">
        <v>27</v>
      </c>
      <c r="CP54" s="10"/>
      <c r="CQ54" s="10"/>
      <c r="CR54" s="10"/>
      <c r="CS54" s="10"/>
      <c r="CT54" s="10"/>
      <c r="CV54" s="44" t="s">
        <v>31</v>
      </c>
      <c r="DC54" s="83" t="s">
        <v>27</v>
      </c>
      <c r="DI54" s="10"/>
      <c r="DJ54" s="10"/>
      <c r="DK54" s="10"/>
      <c r="DL54" s="10"/>
      <c r="DM54" s="10"/>
      <c r="DO54" s="44" t="s">
        <v>31</v>
      </c>
      <c r="DV54" s="83" t="s">
        <v>27</v>
      </c>
      <c r="EB54" s="10"/>
      <c r="EC54" s="10"/>
      <c r="ED54" s="10"/>
      <c r="EE54" s="10"/>
      <c r="EF54" s="10"/>
      <c r="EH54" s="44" t="s">
        <v>31</v>
      </c>
      <c r="EO54" s="83" t="s">
        <v>27</v>
      </c>
      <c r="EX54" s="1"/>
      <c r="EY54" s="1"/>
      <c r="EZ54" s="29"/>
      <c r="FA54" s="1"/>
      <c r="FB54" s="1"/>
      <c r="FC54" s="1"/>
      <c r="FD54" s="1"/>
      <c r="FE54" s="1"/>
      <c r="FF54" s="36"/>
      <c r="FG54" s="1"/>
      <c r="FH54" s="1"/>
    </row>
    <row r="55" spans="1:166" x14ac:dyDescent="0.25">
      <c r="A55" s="47" t="s">
        <v>22</v>
      </c>
      <c r="B55" s="47"/>
      <c r="C55" s="47"/>
      <c r="D55" s="47"/>
      <c r="E55" s="47"/>
      <c r="F55" s="47"/>
      <c r="G55" s="47"/>
      <c r="N55" s="47" t="s">
        <v>22</v>
      </c>
      <c r="U55" s="10"/>
      <c r="W55" s="10"/>
      <c r="X55" s="10"/>
      <c r="AG55" s="47" t="s">
        <v>22</v>
      </c>
      <c r="AM55" s="10"/>
      <c r="AN55" s="10"/>
      <c r="AO55" s="10"/>
      <c r="AP55" s="10"/>
      <c r="AQ55" s="10"/>
      <c r="AZ55" s="47" t="s">
        <v>22</v>
      </c>
      <c r="BF55" s="10"/>
      <c r="BG55" s="10"/>
      <c r="BH55" s="10"/>
      <c r="BI55" s="10"/>
      <c r="BJ55" s="10"/>
      <c r="BS55" s="47" t="s">
        <v>22</v>
      </c>
      <c r="BY55" s="10"/>
      <c r="BZ55" s="10"/>
      <c r="CJ55" s="47" t="s">
        <v>22</v>
      </c>
      <c r="CP55" s="10"/>
      <c r="CQ55" s="10"/>
      <c r="CR55" s="10"/>
      <c r="CS55" s="10"/>
      <c r="CT55" s="10"/>
      <c r="DC55" s="47" t="s">
        <v>22</v>
      </c>
      <c r="DI55" s="10"/>
      <c r="DJ55" s="10"/>
      <c r="DK55" s="10"/>
      <c r="DL55" s="10"/>
      <c r="DM55" s="10"/>
      <c r="DV55" s="47" t="s">
        <v>22</v>
      </c>
      <c r="EB55" s="10"/>
      <c r="EC55" s="10"/>
      <c r="ED55" s="10"/>
      <c r="EE55" s="10"/>
      <c r="EF55" s="10"/>
      <c r="EO55" s="47" t="s">
        <v>22</v>
      </c>
      <c r="EX55" s="1"/>
      <c r="EY55" s="1"/>
      <c r="EZ55" s="1"/>
      <c r="FA55" s="1"/>
      <c r="FB55" s="1"/>
      <c r="FC55" s="1"/>
      <c r="FD55" s="1"/>
      <c r="FE55" s="1"/>
      <c r="FF55" s="36"/>
      <c r="FG55" s="1"/>
      <c r="FH55" s="1"/>
    </row>
    <row r="56" spans="1:166" x14ac:dyDescent="0.25">
      <c r="A56" s="11" t="s">
        <v>25</v>
      </c>
      <c r="B56" s="10">
        <f t="shared" ref="B56:L56" si="774">(P56+AI56+BB56+BU56+CL56+DE56+DX56)/7</f>
        <v>364653.57142857142</v>
      </c>
      <c r="C56" s="10">
        <f t="shared" si="774"/>
        <v>317826.57142857142</v>
      </c>
      <c r="D56" s="10">
        <f t="shared" si="774"/>
        <v>311851.28571428574</v>
      </c>
      <c r="E56" s="10">
        <f t="shared" si="774"/>
        <v>303883.71428571426</v>
      </c>
      <c r="F56" s="10">
        <f t="shared" si="774"/>
        <v>290853</v>
      </c>
      <c r="G56" s="10">
        <f t="shared" si="774"/>
        <v>280135.57142857142</v>
      </c>
      <c r="H56" s="10">
        <f t="shared" si="774"/>
        <v>219141.42857142858</v>
      </c>
      <c r="I56" s="10">
        <f t="shared" si="774"/>
        <v>177743</v>
      </c>
      <c r="J56" s="10">
        <f t="shared" si="774"/>
        <v>169876.28571428571</v>
      </c>
      <c r="K56" s="10">
        <f t="shared" si="774"/>
        <v>174239.85714285713</v>
      </c>
      <c r="L56" s="10">
        <f t="shared" si="774"/>
        <v>182336.57142857142</v>
      </c>
      <c r="N56" s="11" t="s">
        <v>25</v>
      </c>
      <c r="P56" s="10">
        <v>216383</v>
      </c>
      <c r="Q56" s="10">
        <v>153935</v>
      </c>
      <c r="R56" s="10">
        <v>196076</v>
      </c>
      <c r="S56" s="10">
        <v>167044</v>
      </c>
      <c r="T56" s="10">
        <v>167535</v>
      </c>
      <c r="U56" s="10">
        <v>248451</v>
      </c>
      <c r="V56" s="10">
        <v>201190</v>
      </c>
      <c r="W56" s="10">
        <v>159231</v>
      </c>
      <c r="X56" s="10">
        <v>108690</v>
      </c>
      <c r="Y56" s="10">
        <v>143001</v>
      </c>
      <c r="Z56" s="10">
        <v>188125</v>
      </c>
      <c r="AA56" s="10">
        <v>48070</v>
      </c>
      <c r="AB56" s="10">
        <v>193338</v>
      </c>
      <c r="AC56" s="10">
        <v>127250</v>
      </c>
      <c r="AD56" s="10">
        <f>388384-241921</f>
        <v>146463</v>
      </c>
      <c r="AE56" s="86" t="s">
        <v>92</v>
      </c>
      <c r="AG56" s="11" t="s">
        <v>25</v>
      </c>
      <c r="AI56" s="10">
        <v>148351</v>
      </c>
      <c r="AJ56" s="10">
        <v>143474</v>
      </c>
      <c r="AK56" s="10">
        <v>132162</v>
      </c>
      <c r="AL56" s="10">
        <v>150902</v>
      </c>
      <c r="AM56" s="10">
        <v>139280</v>
      </c>
      <c r="AN56" s="10">
        <v>124248</v>
      </c>
      <c r="AO56" s="10">
        <v>142965</v>
      </c>
      <c r="AP56" s="10">
        <v>142746</v>
      </c>
      <c r="AQ56" s="10">
        <v>142180</v>
      </c>
      <c r="AR56" s="10">
        <v>144845</v>
      </c>
      <c r="AS56" s="10">
        <v>157605</v>
      </c>
      <c r="AT56" s="10">
        <v>158716</v>
      </c>
      <c r="AU56" s="10">
        <v>144036</v>
      </c>
      <c r="AV56" s="10">
        <v>154923</v>
      </c>
      <c r="AW56" s="10">
        <v>136762</v>
      </c>
      <c r="AX56" s="10"/>
      <c r="AZ56" s="11" t="s">
        <v>25</v>
      </c>
      <c r="BB56" s="10">
        <v>824099</v>
      </c>
      <c r="BC56" s="10">
        <v>746058</v>
      </c>
      <c r="BD56" s="10">
        <v>723134</v>
      </c>
      <c r="BE56" s="10">
        <v>727546</v>
      </c>
      <c r="BF56" s="10">
        <v>668018</v>
      </c>
      <c r="BG56" s="10">
        <v>631395</v>
      </c>
      <c r="BH56" s="10">
        <v>611349</v>
      </c>
      <c r="BI56" s="10">
        <v>501879</v>
      </c>
      <c r="BJ56" s="10">
        <v>446240</v>
      </c>
      <c r="BK56" s="10">
        <v>441899</v>
      </c>
      <c r="BL56" s="10">
        <v>477151</v>
      </c>
      <c r="BM56" s="10">
        <v>436366</v>
      </c>
      <c r="BN56" s="10">
        <v>427895</v>
      </c>
      <c r="BO56" s="10">
        <v>398636</v>
      </c>
      <c r="BP56" s="10">
        <v>382616</v>
      </c>
      <c r="BQ56" s="10"/>
      <c r="BS56" s="11" t="s">
        <v>25</v>
      </c>
      <c r="BU56" s="10">
        <v>303516</v>
      </c>
      <c r="BV56" s="10">
        <v>295258</v>
      </c>
      <c r="BW56" s="10">
        <v>288429</v>
      </c>
      <c r="BX56" s="10">
        <v>316728</v>
      </c>
      <c r="BY56" s="10">
        <v>288947</v>
      </c>
      <c r="BZ56" s="10">
        <v>239129</v>
      </c>
      <c r="CA56" s="10">
        <v>0</v>
      </c>
      <c r="CB56" s="10">
        <v>0</v>
      </c>
      <c r="CC56" s="10">
        <v>0</v>
      </c>
      <c r="CD56" s="10">
        <v>0</v>
      </c>
      <c r="CE56" s="10">
        <v>0</v>
      </c>
      <c r="CF56" s="10">
        <v>0</v>
      </c>
      <c r="CG56" s="10">
        <v>0</v>
      </c>
      <c r="CJ56" s="11" t="s">
        <v>25</v>
      </c>
      <c r="CL56" s="10">
        <v>423004</v>
      </c>
      <c r="CM56" s="10">
        <v>371811</v>
      </c>
      <c r="CN56" s="10">
        <v>357433</v>
      </c>
      <c r="CO56" s="10">
        <v>343124</v>
      </c>
      <c r="CP56" s="10">
        <v>295714</v>
      </c>
      <c r="CQ56" s="10">
        <v>288332</v>
      </c>
      <c r="CR56" s="10">
        <v>284483</v>
      </c>
      <c r="CS56" s="10">
        <v>274215</v>
      </c>
      <c r="CT56" s="10">
        <v>271524</v>
      </c>
      <c r="CU56" s="10">
        <v>250080</v>
      </c>
      <c r="CV56" s="10">
        <v>232117</v>
      </c>
      <c r="CW56" s="10">
        <v>208391</v>
      </c>
      <c r="CX56" s="10">
        <v>207862</v>
      </c>
      <c r="CY56" s="10">
        <v>222300</v>
      </c>
      <c r="CZ56" s="10">
        <v>213150</v>
      </c>
      <c r="DA56" s="10"/>
      <c r="DC56" s="11" t="s">
        <v>146</v>
      </c>
      <c r="DE56" s="10">
        <v>355000</v>
      </c>
      <c r="DF56" s="10">
        <v>302300</v>
      </c>
      <c r="DG56" s="10">
        <v>279700</v>
      </c>
      <c r="DH56" s="10">
        <v>321700</v>
      </c>
      <c r="DI56" s="10">
        <v>282300</v>
      </c>
      <c r="DJ56" s="10">
        <v>272500</v>
      </c>
      <c r="DK56" s="10">
        <v>166400</v>
      </c>
      <c r="DL56" s="10">
        <v>96494</v>
      </c>
      <c r="DM56" s="10">
        <v>110602</v>
      </c>
      <c r="DN56" s="10">
        <v>118247</v>
      </c>
      <c r="DO56" s="10">
        <v>104866</v>
      </c>
      <c r="DP56" s="10">
        <v>125064</v>
      </c>
      <c r="DQ56" s="10">
        <v>111347</v>
      </c>
      <c r="DR56" s="10">
        <v>95054</v>
      </c>
      <c r="DS56" s="10">
        <v>94572</v>
      </c>
      <c r="DT56" s="10"/>
      <c r="DV56" s="11" t="s">
        <v>134</v>
      </c>
      <c r="DX56" s="10">
        <v>282222</v>
      </c>
      <c r="DY56" s="10">
        <f>201205+10745</f>
        <v>211950</v>
      </c>
      <c r="DZ56" s="10">
        <f>100745+105280</f>
        <v>206025</v>
      </c>
      <c r="EA56" s="10">
        <f>8843+91299</f>
        <v>100142</v>
      </c>
      <c r="EB56" s="10">
        <v>194177</v>
      </c>
      <c r="EC56" s="10">
        <v>156894</v>
      </c>
      <c r="ED56" s="10">
        <v>127603</v>
      </c>
      <c r="EE56" s="10">
        <v>69636</v>
      </c>
      <c r="EF56" s="10">
        <v>109898</v>
      </c>
      <c r="EG56" s="10">
        <v>121607</v>
      </c>
      <c r="EH56" s="10">
        <v>116492</v>
      </c>
      <c r="EI56" s="10">
        <v>111110</v>
      </c>
      <c r="EJ56" s="10">
        <v>153509</v>
      </c>
      <c r="EK56" s="10">
        <v>129623</v>
      </c>
      <c r="EL56" s="10">
        <v>145802</v>
      </c>
      <c r="EM56" s="10"/>
      <c r="EO56" s="11" t="s">
        <v>25</v>
      </c>
      <c r="EP56" s="10">
        <v>17968.857</v>
      </c>
      <c r="EQ56" s="10">
        <v>19272.548999999999</v>
      </c>
      <c r="ER56" s="10">
        <v>21477.338</v>
      </c>
      <c r="ES56" s="10">
        <v>15310.659</v>
      </c>
      <c r="ET56" s="10">
        <v>13101.552</v>
      </c>
      <c r="EU56" s="10">
        <v>13275.572</v>
      </c>
      <c r="EX56" s="9"/>
      <c r="EY56" s="9"/>
      <c r="EZ56" s="9"/>
      <c r="FA56" s="9"/>
      <c r="FB56" s="9"/>
      <c r="FC56" s="9"/>
      <c r="FD56" s="9"/>
      <c r="FE56" s="9"/>
      <c r="FF56" s="36"/>
      <c r="FG56" s="1"/>
      <c r="FH56" s="1"/>
    </row>
    <row r="57" spans="1:166" x14ac:dyDescent="0.25">
      <c r="A57" s="49" t="s">
        <v>42</v>
      </c>
      <c r="B57" s="10">
        <f t="shared" ref="B57:C58" si="775">(P57+AI57+BB57+BU57+CL57+DE57+DX57)/7</f>
        <v>221180</v>
      </c>
      <c r="C57" s="10">
        <f t="shared" si="775"/>
        <v>196199.85714285713</v>
      </c>
      <c r="D57" s="10">
        <f t="shared" ref="D57:L58" si="776">(R57+AK57+BD57+BW57+CN57+DG57+DZ57)/7</f>
        <v>177507.42857142858</v>
      </c>
      <c r="E57" s="10">
        <f t="shared" si="776"/>
        <v>166109.71428571429</v>
      </c>
      <c r="F57" s="10">
        <f t="shared" si="776"/>
        <v>161201.71428571429</v>
      </c>
      <c r="G57" s="10">
        <f t="shared" si="776"/>
        <v>148870.57142857142</v>
      </c>
      <c r="H57" s="10">
        <f t="shared" si="776"/>
        <v>114394.28571428571</v>
      </c>
      <c r="I57" s="10">
        <f t="shared" si="776"/>
        <v>101590.42857142857</v>
      </c>
      <c r="J57" s="10">
        <f t="shared" si="776"/>
        <v>97229</v>
      </c>
      <c r="K57" s="10">
        <f t="shared" si="776"/>
        <v>89478.71428571429</v>
      </c>
      <c r="L57" s="10">
        <f t="shared" si="776"/>
        <v>84048.71428571429</v>
      </c>
      <c r="N57" s="49" t="s">
        <v>42</v>
      </c>
      <c r="P57" s="10">
        <v>119894</v>
      </c>
      <c r="Q57" s="10">
        <v>91730</v>
      </c>
      <c r="R57" s="10">
        <v>85701</v>
      </c>
      <c r="S57" s="10">
        <v>81841</v>
      </c>
      <c r="T57" s="10">
        <v>72748</v>
      </c>
      <c r="U57" s="10">
        <v>61399</v>
      </c>
      <c r="V57" s="10">
        <v>52742</v>
      </c>
      <c r="W57" s="10">
        <v>47310</v>
      </c>
      <c r="X57" s="10">
        <v>41643</v>
      </c>
      <c r="Y57" s="10">
        <v>35200</v>
      </c>
      <c r="Z57" s="10">
        <v>33192</v>
      </c>
      <c r="AA57" s="10">
        <v>31142</v>
      </c>
      <c r="AB57" s="10">
        <v>39367</v>
      </c>
      <c r="AC57" s="10">
        <v>36536</v>
      </c>
      <c r="AD57" s="10">
        <v>35054</v>
      </c>
      <c r="AE57" s="86" t="s">
        <v>52</v>
      </c>
      <c r="AG57" s="49" t="s">
        <v>42</v>
      </c>
      <c r="AI57" s="10">
        <v>103683</v>
      </c>
      <c r="AJ57" s="10">
        <v>91496</v>
      </c>
      <c r="AK57" s="10">
        <v>85156</v>
      </c>
      <c r="AL57" s="10">
        <v>81053</v>
      </c>
      <c r="AM57" s="10">
        <v>82289</v>
      </c>
      <c r="AN57" s="10">
        <v>80923</v>
      </c>
      <c r="AO57" s="10">
        <v>79193</v>
      </c>
      <c r="AP57" s="10">
        <v>75905</v>
      </c>
      <c r="AQ57" s="10">
        <v>73017</v>
      </c>
      <c r="AR57" s="10">
        <v>70004</v>
      </c>
      <c r="AS57" s="10">
        <v>65124</v>
      </c>
      <c r="AT57" s="10">
        <v>62814</v>
      </c>
      <c r="AU57" s="10">
        <v>72159</v>
      </c>
      <c r="AV57" s="10">
        <v>68343</v>
      </c>
      <c r="AW57" s="10">
        <v>64435</v>
      </c>
      <c r="AX57" s="10"/>
      <c r="AZ57" s="49" t="s">
        <v>42</v>
      </c>
      <c r="BB57" s="10">
        <v>429828</v>
      </c>
      <c r="BC57" s="10">
        <v>391456</v>
      </c>
      <c r="BD57" s="10">
        <v>361083</v>
      </c>
      <c r="BE57" s="10">
        <v>319448</v>
      </c>
      <c r="BF57" s="10">
        <v>293096</v>
      </c>
      <c r="BG57" s="10">
        <v>274796</v>
      </c>
      <c r="BH57" s="10">
        <v>253987</v>
      </c>
      <c r="BI57" s="10">
        <v>236928</v>
      </c>
      <c r="BJ57" s="10">
        <v>246093</v>
      </c>
      <c r="BK57" s="10">
        <v>233155</v>
      </c>
      <c r="BL57" s="10">
        <v>216960</v>
      </c>
      <c r="BM57" s="10">
        <v>217208</v>
      </c>
      <c r="BN57" s="10">
        <v>200442</v>
      </c>
      <c r="BO57" s="10">
        <v>198863</v>
      </c>
      <c r="BP57" s="10">
        <v>185596</v>
      </c>
      <c r="BQ57" s="10"/>
      <c r="BS57" s="49" t="s">
        <v>42</v>
      </c>
      <c r="BU57" s="10">
        <v>194881</v>
      </c>
      <c r="BV57" s="10">
        <v>180395</v>
      </c>
      <c r="BW57" s="10">
        <v>160086</v>
      </c>
      <c r="BX57" s="10">
        <v>151889</v>
      </c>
      <c r="BY57" s="10">
        <v>143829</v>
      </c>
      <c r="BZ57" s="10">
        <v>133023</v>
      </c>
      <c r="CA57" s="10">
        <v>0</v>
      </c>
      <c r="CB57" s="10">
        <v>0</v>
      </c>
      <c r="CC57" s="10">
        <v>0</v>
      </c>
      <c r="CD57" s="10">
        <v>0</v>
      </c>
      <c r="CE57" s="10">
        <v>0</v>
      </c>
      <c r="CF57" s="10">
        <v>0</v>
      </c>
      <c r="CG57" s="10">
        <v>0</v>
      </c>
      <c r="CJ57" s="49" t="s">
        <v>42</v>
      </c>
      <c r="CL57" s="10">
        <v>332027</v>
      </c>
      <c r="CM57" s="10">
        <v>303237</v>
      </c>
      <c r="CN57" s="10">
        <v>249212</v>
      </c>
      <c r="CO57" s="10">
        <v>250951</v>
      </c>
      <c r="CP57" s="10">
        <v>289132</v>
      </c>
      <c r="CQ57" s="10">
        <v>270111</v>
      </c>
      <c r="CR57" s="10">
        <v>253027</v>
      </c>
      <c r="CS57" s="10">
        <v>236817</v>
      </c>
      <c r="CT57" s="10">
        <v>223422</v>
      </c>
      <c r="CU57" s="10">
        <v>200469</v>
      </c>
      <c r="CV57" s="10">
        <v>190463</v>
      </c>
      <c r="CW57" s="10">
        <v>190082</v>
      </c>
      <c r="CX57" s="10">
        <v>193719</v>
      </c>
      <c r="CY57" s="10">
        <v>182514</v>
      </c>
      <c r="CZ57" s="10">
        <v>168964</v>
      </c>
      <c r="DA57" s="10"/>
      <c r="DC57" s="49" t="s">
        <v>42</v>
      </c>
      <c r="DE57" s="10">
        <v>197300</v>
      </c>
      <c r="DF57" s="10">
        <v>181700</v>
      </c>
      <c r="DG57" s="10">
        <v>168400</v>
      </c>
      <c r="DH57" s="10">
        <v>154100</v>
      </c>
      <c r="DI57" s="10">
        <v>137500</v>
      </c>
      <c r="DJ57" s="10">
        <v>130800</v>
      </c>
      <c r="DK57" s="10">
        <v>83300</v>
      </c>
      <c r="DL57" s="10">
        <v>49283</v>
      </c>
      <c r="DM57" s="10">
        <v>41339</v>
      </c>
      <c r="DN57" s="10">
        <v>39764</v>
      </c>
      <c r="DO57" s="10">
        <v>37908</v>
      </c>
      <c r="DP57" s="10">
        <v>37041</v>
      </c>
      <c r="DQ57" s="10">
        <v>36913</v>
      </c>
      <c r="DR57" s="10">
        <v>38308</v>
      </c>
      <c r="DS57" s="10">
        <v>34943</v>
      </c>
      <c r="DT57" s="10"/>
      <c r="DV57" s="49" t="s">
        <v>42</v>
      </c>
      <c r="DX57" s="10">
        <v>170647</v>
      </c>
      <c r="DY57" s="10">
        <v>133385</v>
      </c>
      <c r="DZ57" s="10">
        <v>132914</v>
      </c>
      <c r="EA57" s="10">
        <v>123486</v>
      </c>
      <c r="EB57" s="10">
        <v>109818</v>
      </c>
      <c r="EC57" s="10">
        <v>91042</v>
      </c>
      <c r="ED57" s="10">
        <v>78511</v>
      </c>
      <c r="EE57" s="10">
        <v>64890</v>
      </c>
      <c r="EF57" s="10">
        <v>55089</v>
      </c>
      <c r="EG57" s="10">
        <v>47759</v>
      </c>
      <c r="EH57" s="10">
        <v>44694</v>
      </c>
      <c r="EI57" s="10">
        <v>39447</v>
      </c>
      <c r="EJ57" s="10">
        <v>35665</v>
      </c>
      <c r="EK57" s="10">
        <v>32865</v>
      </c>
      <c r="EL57" s="10">
        <v>30834</v>
      </c>
      <c r="EM57" s="10"/>
      <c r="EO57" s="49" t="s">
        <v>165</v>
      </c>
      <c r="EP57" s="10">
        <f>13489.911+1679.797</f>
        <v>15169.708000000001</v>
      </c>
      <c r="EQ57" s="10">
        <f>12372.427+1511.512</f>
        <v>13883.939</v>
      </c>
      <c r="ER57" s="10">
        <f>11433.039+1374.757</f>
        <v>12807.796</v>
      </c>
      <c r="ES57" s="10">
        <f>10653.3+1324.159</f>
        <v>11977.458999999999</v>
      </c>
      <c r="ET57" s="10">
        <f>7896.954+1233.59</f>
        <v>9130.5439999999999</v>
      </c>
      <c r="EU57" s="10">
        <f>7270.278+1090.764</f>
        <v>8361.0419999999995</v>
      </c>
      <c r="EX57" s="9"/>
      <c r="EY57" s="9"/>
      <c r="EZ57" s="9"/>
      <c r="FA57" s="9"/>
      <c r="FB57" s="9"/>
      <c r="FC57" s="9"/>
      <c r="FD57" s="9"/>
      <c r="FE57" s="9"/>
      <c r="FF57" s="36"/>
      <c r="FG57" s="1"/>
      <c r="FH57" s="1"/>
    </row>
    <row r="58" spans="1:166" x14ac:dyDescent="0.25">
      <c r="A58" s="49" t="s">
        <v>44</v>
      </c>
      <c r="B58" s="10">
        <f t="shared" si="775"/>
        <v>0</v>
      </c>
      <c r="C58" s="10">
        <f t="shared" si="775"/>
        <v>0</v>
      </c>
      <c r="D58" s="10">
        <f t="shared" si="776"/>
        <v>0</v>
      </c>
      <c r="E58" s="10">
        <f t="shared" si="776"/>
        <v>0</v>
      </c>
      <c r="F58" s="10">
        <f t="shared" si="776"/>
        <v>0</v>
      </c>
      <c r="G58" s="10">
        <f t="shared" si="776"/>
        <v>0</v>
      </c>
      <c r="H58" s="10">
        <f t="shared" si="776"/>
        <v>0</v>
      </c>
      <c r="I58" s="10">
        <f t="shared" si="776"/>
        <v>0</v>
      </c>
      <c r="J58" s="10">
        <f t="shared" si="776"/>
        <v>0</v>
      </c>
      <c r="K58" s="10">
        <f t="shared" si="776"/>
        <v>0</v>
      </c>
      <c r="L58" s="10">
        <f t="shared" si="776"/>
        <v>0</v>
      </c>
      <c r="N58" s="49" t="s">
        <v>142</v>
      </c>
      <c r="P58" s="10">
        <v>0</v>
      </c>
      <c r="Q58" s="10">
        <v>0</v>
      </c>
      <c r="R58" s="10">
        <v>0</v>
      </c>
      <c r="S58" s="10">
        <v>0</v>
      </c>
      <c r="T58" s="10">
        <v>0</v>
      </c>
      <c r="U58" s="10">
        <v>0</v>
      </c>
      <c r="V58" s="10">
        <v>0</v>
      </c>
      <c r="W58" s="10">
        <v>0</v>
      </c>
      <c r="X58" s="10">
        <v>0</v>
      </c>
      <c r="Y58" s="10">
        <v>0</v>
      </c>
      <c r="Z58" s="10">
        <v>0</v>
      </c>
      <c r="AA58" s="10">
        <v>0</v>
      </c>
      <c r="AB58" s="10">
        <v>0</v>
      </c>
      <c r="AC58" s="10">
        <v>0</v>
      </c>
      <c r="AD58" s="10">
        <v>0</v>
      </c>
      <c r="AE58" s="86" t="s">
        <v>53</v>
      </c>
      <c r="AG58" s="49" t="s">
        <v>44</v>
      </c>
      <c r="AI58" s="10">
        <v>0</v>
      </c>
      <c r="AJ58" s="10">
        <v>0</v>
      </c>
      <c r="AK58" s="10">
        <v>0</v>
      </c>
      <c r="AL58" s="10">
        <v>0</v>
      </c>
      <c r="AM58" s="10">
        <v>0</v>
      </c>
      <c r="AN58" s="10">
        <v>0</v>
      </c>
      <c r="AO58" s="10">
        <v>0</v>
      </c>
      <c r="AP58" s="10">
        <v>0</v>
      </c>
      <c r="AQ58" s="10">
        <v>0</v>
      </c>
      <c r="AR58" s="10">
        <v>0</v>
      </c>
      <c r="AS58" s="10">
        <v>0</v>
      </c>
      <c r="AT58" s="10">
        <v>0</v>
      </c>
      <c r="AU58" s="10">
        <v>0</v>
      </c>
      <c r="AV58" s="10">
        <v>0</v>
      </c>
      <c r="AW58" s="10">
        <v>0</v>
      </c>
      <c r="AX58" s="10"/>
      <c r="AZ58" s="49" t="s">
        <v>44</v>
      </c>
      <c r="BB58" s="10">
        <v>0</v>
      </c>
      <c r="BC58" s="10">
        <v>0</v>
      </c>
      <c r="BD58" s="10">
        <v>0</v>
      </c>
      <c r="BE58" s="10">
        <v>0</v>
      </c>
      <c r="BF58" s="10">
        <v>0</v>
      </c>
      <c r="BG58" s="10">
        <v>0</v>
      </c>
      <c r="BH58" s="10">
        <v>0</v>
      </c>
      <c r="BI58" s="10">
        <v>0</v>
      </c>
      <c r="BJ58" s="10">
        <v>0</v>
      </c>
      <c r="BK58" s="10">
        <v>0</v>
      </c>
      <c r="BL58" s="10">
        <v>0</v>
      </c>
      <c r="BM58" s="10">
        <v>0</v>
      </c>
      <c r="BN58" s="10">
        <v>0</v>
      </c>
      <c r="BO58" s="10">
        <v>0</v>
      </c>
      <c r="BP58" s="10">
        <v>0</v>
      </c>
      <c r="BQ58" s="10"/>
      <c r="BS58" s="49" t="s">
        <v>44</v>
      </c>
      <c r="BU58" s="10">
        <v>0</v>
      </c>
      <c r="BV58" s="10">
        <v>0</v>
      </c>
      <c r="BW58" s="10">
        <v>0</v>
      </c>
      <c r="BX58" s="10">
        <v>0</v>
      </c>
      <c r="BY58" s="10">
        <v>0</v>
      </c>
      <c r="BZ58" s="10">
        <v>0</v>
      </c>
      <c r="CA58" s="10">
        <v>0</v>
      </c>
      <c r="CB58" s="10">
        <v>0</v>
      </c>
      <c r="CC58" s="10">
        <v>0</v>
      </c>
      <c r="CD58" s="10">
        <v>0</v>
      </c>
      <c r="CE58" s="10">
        <v>0</v>
      </c>
      <c r="CF58" s="10">
        <v>0</v>
      </c>
      <c r="CG58" s="10">
        <v>0</v>
      </c>
      <c r="CJ58" s="49" t="s">
        <v>44</v>
      </c>
      <c r="CL58" s="10">
        <v>0</v>
      </c>
      <c r="CM58" s="10">
        <v>0</v>
      </c>
      <c r="CN58" s="10">
        <v>0</v>
      </c>
      <c r="CO58" s="10">
        <v>0</v>
      </c>
      <c r="CP58" s="10">
        <v>0</v>
      </c>
      <c r="CQ58" s="10">
        <v>0</v>
      </c>
      <c r="CR58" s="10">
        <v>0</v>
      </c>
      <c r="CS58" s="10">
        <v>0</v>
      </c>
      <c r="CT58" s="10">
        <v>0</v>
      </c>
      <c r="CU58" s="10">
        <v>0</v>
      </c>
      <c r="CV58" s="10">
        <v>0</v>
      </c>
      <c r="CW58" s="10">
        <v>0</v>
      </c>
      <c r="CX58" s="10">
        <v>0</v>
      </c>
      <c r="CY58" s="10">
        <v>0</v>
      </c>
      <c r="CZ58" s="10">
        <v>0</v>
      </c>
      <c r="DA58" s="10"/>
      <c r="DC58" s="49" t="s">
        <v>142</v>
      </c>
      <c r="DE58" s="10">
        <v>0</v>
      </c>
      <c r="DF58" s="10">
        <v>0</v>
      </c>
      <c r="DG58" s="10">
        <v>0</v>
      </c>
      <c r="DH58" s="10">
        <v>0</v>
      </c>
      <c r="DI58" s="10">
        <v>0</v>
      </c>
      <c r="DJ58" s="10">
        <v>0</v>
      </c>
      <c r="DK58" s="10">
        <v>0</v>
      </c>
      <c r="DL58" s="10">
        <v>0</v>
      </c>
      <c r="DM58" s="10">
        <v>0</v>
      </c>
      <c r="DN58" s="10">
        <v>0</v>
      </c>
      <c r="DO58" s="10">
        <v>0</v>
      </c>
      <c r="DP58" s="10">
        <v>0</v>
      </c>
      <c r="DQ58" s="10">
        <v>0</v>
      </c>
      <c r="DR58" s="10">
        <v>0</v>
      </c>
      <c r="DS58" s="10">
        <v>0</v>
      </c>
      <c r="DT58" s="10"/>
      <c r="DV58" s="49" t="s">
        <v>44</v>
      </c>
      <c r="DX58" s="10">
        <v>0</v>
      </c>
      <c r="DY58" s="10">
        <v>0</v>
      </c>
      <c r="DZ58" s="10">
        <v>0</v>
      </c>
      <c r="EA58" s="10">
        <v>0</v>
      </c>
      <c r="EB58" s="10">
        <v>0</v>
      </c>
      <c r="EC58" s="10">
        <v>0</v>
      </c>
      <c r="ED58" s="10">
        <v>0</v>
      </c>
      <c r="EE58" s="10">
        <v>0</v>
      </c>
      <c r="EF58" s="10">
        <v>0</v>
      </c>
      <c r="EG58" s="10">
        <v>0</v>
      </c>
      <c r="EH58" s="10">
        <v>0</v>
      </c>
      <c r="EI58" s="10">
        <v>0</v>
      </c>
      <c r="EJ58" s="10">
        <v>0</v>
      </c>
      <c r="EK58" s="10">
        <v>0</v>
      </c>
      <c r="EL58" s="10">
        <v>0</v>
      </c>
      <c r="EM58" s="10"/>
      <c r="EN58" s="49"/>
      <c r="EO58" s="49" t="s">
        <v>166</v>
      </c>
      <c r="EP58" s="10">
        <f>449.908+8.546+9483.4-6006</f>
        <v>3935.8539999999994</v>
      </c>
      <c r="EQ58" s="10">
        <f>1558.516-19.045+5953.4-4284.8</f>
        <v>3208.070999999999</v>
      </c>
      <c r="ER58" s="10">
        <f>3322.03+14.02+4349.8-3504.1</f>
        <v>4181.75</v>
      </c>
      <c r="ES58" s="10">
        <f>68.785+948.269+9884.3-4711.9</f>
        <v>6189.4539999999997</v>
      </c>
      <c r="ET58" s="10">
        <f>289.825-531.669+25391.2-20627.3</f>
        <v>4522.0560000000005</v>
      </c>
      <c r="EU58" s="10">
        <f>111.76-1755.54+26533.96-16811.6</f>
        <v>8078.5800000000017</v>
      </c>
      <c r="EX58" s="9"/>
      <c r="EY58" s="9"/>
      <c r="EZ58" s="9"/>
      <c r="FA58" s="9"/>
      <c r="FB58" s="9"/>
      <c r="FC58" s="9"/>
      <c r="FD58" s="9"/>
      <c r="FE58" s="9"/>
      <c r="FF58" s="36"/>
      <c r="FG58" s="1"/>
      <c r="FH58" s="1"/>
    </row>
    <row r="59" spans="1:166" x14ac:dyDescent="0.25">
      <c r="A59" s="2" t="s">
        <v>23</v>
      </c>
      <c r="B59" s="53">
        <f>B56+B57+B58</f>
        <v>585833.57142857136</v>
      </c>
      <c r="C59" s="53">
        <f>C56+C57+C58</f>
        <v>514026.42857142852</v>
      </c>
      <c r="D59" s="53">
        <f t="shared" ref="D59:L59" si="777">D56+D57+D58</f>
        <v>489358.71428571432</v>
      </c>
      <c r="E59" s="53">
        <f t="shared" si="777"/>
        <v>469993.42857142852</v>
      </c>
      <c r="F59" s="53">
        <f t="shared" si="777"/>
        <v>452054.71428571432</v>
      </c>
      <c r="G59" s="53">
        <f t="shared" si="777"/>
        <v>429006.14285714284</v>
      </c>
      <c r="H59" s="53">
        <f t="shared" si="777"/>
        <v>333535.71428571432</v>
      </c>
      <c r="I59" s="53">
        <f t="shared" si="777"/>
        <v>279333.42857142858</v>
      </c>
      <c r="J59" s="53">
        <f t="shared" si="777"/>
        <v>267105.28571428568</v>
      </c>
      <c r="K59" s="53">
        <f t="shared" si="777"/>
        <v>263718.57142857142</v>
      </c>
      <c r="L59" s="53">
        <f t="shared" si="777"/>
        <v>266385.28571428568</v>
      </c>
      <c r="N59" s="2" t="s">
        <v>23</v>
      </c>
      <c r="O59" s="2"/>
      <c r="P59" s="53">
        <f>P56+P57+P58</f>
        <v>336277</v>
      </c>
      <c r="Q59" s="53">
        <f>Q56+Q57+Q58</f>
        <v>245665</v>
      </c>
      <c r="R59" s="53">
        <f>R56+R57+R58</f>
        <v>281777</v>
      </c>
      <c r="S59" s="53">
        <f t="shared" ref="S59:X59" si="778">S56+S57+S58</f>
        <v>248885</v>
      </c>
      <c r="T59" s="53">
        <f t="shared" si="778"/>
        <v>240283</v>
      </c>
      <c r="U59" s="53">
        <f t="shared" si="778"/>
        <v>309850</v>
      </c>
      <c r="V59" s="53">
        <f t="shared" si="778"/>
        <v>253932</v>
      </c>
      <c r="W59" s="53">
        <f t="shared" si="778"/>
        <v>206541</v>
      </c>
      <c r="X59" s="53">
        <f t="shared" si="778"/>
        <v>150333</v>
      </c>
      <c r="Y59" s="53">
        <f t="shared" ref="Y59:AD59" si="779">Y56+Y57+Y58</f>
        <v>178201</v>
      </c>
      <c r="Z59" s="53">
        <f t="shared" si="779"/>
        <v>221317</v>
      </c>
      <c r="AA59" s="53">
        <f t="shared" si="779"/>
        <v>79212</v>
      </c>
      <c r="AB59" s="53">
        <f t="shared" si="779"/>
        <v>232705</v>
      </c>
      <c r="AC59" s="53">
        <f t="shared" si="779"/>
        <v>163786</v>
      </c>
      <c r="AD59" s="53">
        <f t="shared" si="779"/>
        <v>181517</v>
      </c>
      <c r="AE59" s="86" t="s">
        <v>54</v>
      </c>
      <c r="AG59" s="2" t="s">
        <v>23</v>
      </c>
      <c r="AH59" s="2"/>
      <c r="AI59" s="53">
        <f t="shared" ref="AI59" si="780">AI56+AI57+AI58</f>
        <v>252034</v>
      </c>
      <c r="AJ59" s="53">
        <f t="shared" ref="AJ59:AM59" si="781">AJ56+AJ57+AJ58</f>
        <v>234970</v>
      </c>
      <c r="AK59" s="53">
        <f t="shared" si="781"/>
        <v>217318</v>
      </c>
      <c r="AL59" s="53">
        <f t="shared" ref="AL59:AO59" si="782">AL56+AL57+AL58</f>
        <v>231955</v>
      </c>
      <c r="AM59" s="53">
        <f t="shared" si="781"/>
        <v>221569</v>
      </c>
      <c r="AN59" s="53">
        <f t="shared" si="782"/>
        <v>205171</v>
      </c>
      <c r="AO59" s="53">
        <f t="shared" si="782"/>
        <v>222158</v>
      </c>
      <c r="AP59" s="53">
        <f t="shared" ref="AP59:AW59" si="783">AP56+AP57+AP58</f>
        <v>218651</v>
      </c>
      <c r="AQ59" s="53">
        <f t="shared" si="783"/>
        <v>215197</v>
      </c>
      <c r="AR59" s="53">
        <f t="shared" si="783"/>
        <v>214849</v>
      </c>
      <c r="AS59" s="53">
        <f t="shared" si="783"/>
        <v>222729</v>
      </c>
      <c r="AT59" s="53">
        <f t="shared" si="783"/>
        <v>221530</v>
      </c>
      <c r="AU59" s="53">
        <f t="shared" si="783"/>
        <v>216195</v>
      </c>
      <c r="AV59" s="53">
        <f t="shared" si="783"/>
        <v>223266</v>
      </c>
      <c r="AW59" s="53">
        <f t="shared" si="783"/>
        <v>201197</v>
      </c>
      <c r="AZ59" s="2" t="s">
        <v>23</v>
      </c>
      <c r="BA59" s="2"/>
      <c r="BB59" s="53">
        <f>BB56+BB57+BB58</f>
        <v>1253927</v>
      </c>
      <c r="BC59" s="53">
        <f>BC56+BC57+BC58</f>
        <v>1137514</v>
      </c>
      <c r="BD59" s="53">
        <f>BD56+BD57+BD58</f>
        <v>1084217</v>
      </c>
      <c r="BE59" s="53">
        <f>BE56+BE57+BE58</f>
        <v>1046994</v>
      </c>
      <c r="BF59" s="53">
        <f t="shared" ref="BF59" si="784">BF56+BF57+BF58</f>
        <v>961114</v>
      </c>
      <c r="BG59" s="53">
        <f t="shared" ref="BG59:BH59" si="785">BG56+BG57+BG58</f>
        <v>906191</v>
      </c>
      <c r="BH59" s="53">
        <f t="shared" si="785"/>
        <v>865336</v>
      </c>
      <c r="BI59" s="53">
        <f t="shared" ref="BI59:BP59" si="786">BI56+BI57+BI58</f>
        <v>738807</v>
      </c>
      <c r="BJ59" s="53">
        <f t="shared" si="786"/>
        <v>692333</v>
      </c>
      <c r="BK59" s="53">
        <f t="shared" si="786"/>
        <v>675054</v>
      </c>
      <c r="BL59" s="53">
        <f t="shared" si="786"/>
        <v>694111</v>
      </c>
      <c r="BM59" s="53">
        <f t="shared" si="786"/>
        <v>653574</v>
      </c>
      <c r="BN59" s="53">
        <f t="shared" si="786"/>
        <v>628337</v>
      </c>
      <c r="BO59" s="53">
        <f t="shared" si="786"/>
        <v>597499</v>
      </c>
      <c r="BP59" s="53">
        <f t="shared" si="786"/>
        <v>568212</v>
      </c>
      <c r="BS59" s="2" t="s">
        <v>23</v>
      </c>
      <c r="BT59" s="2"/>
      <c r="BU59" s="53">
        <f>BU56+BU57+BU58</f>
        <v>498397</v>
      </c>
      <c r="BV59" s="53">
        <f>BV56+BV57+BV58</f>
        <v>475653</v>
      </c>
      <c r="BW59" s="53">
        <f>BW56+BW57+BW58</f>
        <v>448515</v>
      </c>
      <c r="BX59" s="53">
        <f t="shared" ref="BX59:BZ59" si="787">BX56+BX57+BX58</f>
        <v>468617</v>
      </c>
      <c r="BY59" s="53">
        <f t="shared" si="787"/>
        <v>432776</v>
      </c>
      <c r="BZ59" s="53">
        <f t="shared" si="787"/>
        <v>372152</v>
      </c>
      <c r="CA59" s="53">
        <f t="shared" ref="CA59:CG59" si="788">CA56+CA57+CA58</f>
        <v>0</v>
      </c>
      <c r="CB59" s="53">
        <f t="shared" si="788"/>
        <v>0</v>
      </c>
      <c r="CC59" s="53">
        <f t="shared" si="788"/>
        <v>0</v>
      </c>
      <c r="CD59" s="53">
        <f t="shared" si="788"/>
        <v>0</v>
      </c>
      <c r="CE59" s="53">
        <f t="shared" si="788"/>
        <v>0</v>
      </c>
      <c r="CF59" s="53">
        <f t="shared" si="788"/>
        <v>0</v>
      </c>
      <c r="CG59" s="53">
        <f t="shared" si="788"/>
        <v>0</v>
      </c>
      <c r="CJ59" s="2" t="s">
        <v>23</v>
      </c>
      <c r="CK59" s="2"/>
      <c r="CL59" s="53">
        <f t="shared" ref="CL59" si="789">CL56+CL57+CL58</f>
        <v>755031</v>
      </c>
      <c r="CM59" s="53">
        <f t="shared" ref="CM59:CP59" si="790">CM56+CM57+CM58</f>
        <v>675048</v>
      </c>
      <c r="CN59" s="53">
        <f t="shared" si="790"/>
        <v>606645</v>
      </c>
      <c r="CO59" s="53">
        <f t="shared" ref="CO59:CR59" si="791">CO56+CO57+CO58</f>
        <v>594075</v>
      </c>
      <c r="CP59" s="53">
        <f t="shared" si="790"/>
        <v>584846</v>
      </c>
      <c r="CQ59" s="53">
        <f t="shared" si="791"/>
        <v>558443</v>
      </c>
      <c r="CR59" s="53">
        <f t="shared" si="791"/>
        <v>537510</v>
      </c>
      <c r="CS59" s="53">
        <f t="shared" ref="CS59:CZ59" si="792">CS56+CS57+CS58</f>
        <v>511032</v>
      </c>
      <c r="CT59" s="53">
        <f t="shared" si="792"/>
        <v>494946</v>
      </c>
      <c r="CU59" s="53">
        <f t="shared" si="792"/>
        <v>450549</v>
      </c>
      <c r="CV59" s="53">
        <f t="shared" si="792"/>
        <v>422580</v>
      </c>
      <c r="CW59" s="53">
        <f t="shared" si="792"/>
        <v>398473</v>
      </c>
      <c r="CX59" s="53">
        <f t="shared" si="792"/>
        <v>401581</v>
      </c>
      <c r="CY59" s="53">
        <f t="shared" si="792"/>
        <v>404814</v>
      </c>
      <c r="CZ59" s="53">
        <f t="shared" si="792"/>
        <v>382114</v>
      </c>
      <c r="DC59" s="2" t="s">
        <v>23</v>
      </c>
      <c r="DD59" s="2"/>
      <c r="DE59" s="53">
        <f t="shared" ref="DE59:DF59" si="793">DE56+DE57+DE58</f>
        <v>552300</v>
      </c>
      <c r="DF59" s="53">
        <f t="shared" si="793"/>
        <v>484000</v>
      </c>
      <c r="DG59" s="53">
        <f t="shared" ref="DG59:DI59" si="794">DG56+DG57+DG58</f>
        <v>448100</v>
      </c>
      <c r="DH59" s="53">
        <f t="shared" ref="DH59:DK59" si="795">DH56+DH57+DH58</f>
        <v>475800</v>
      </c>
      <c r="DI59" s="53">
        <f t="shared" si="794"/>
        <v>419800</v>
      </c>
      <c r="DJ59" s="53">
        <f t="shared" si="795"/>
        <v>403300</v>
      </c>
      <c r="DK59" s="53">
        <f t="shared" si="795"/>
        <v>249700</v>
      </c>
      <c r="DL59" s="53">
        <f t="shared" ref="DL59:DS59" si="796">DL56+DL57+DL58</f>
        <v>145777</v>
      </c>
      <c r="DM59" s="53">
        <f t="shared" si="796"/>
        <v>151941</v>
      </c>
      <c r="DN59" s="53">
        <f t="shared" si="796"/>
        <v>158011</v>
      </c>
      <c r="DO59" s="53">
        <f t="shared" si="796"/>
        <v>142774</v>
      </c>
      <c r="DP59" s="53">
        <f t="shared" si="796"/>
        <v>162105</v>
      </c>
      <c r="DQ59" s="53">
        <f t="shared" si="796"/>
        <v>148260</v>
      </c>
      <c r="DR59" s="53">
        <f t="shared" si="796"/>
        <v>133362</v>
      </c>
      <c r="DS59" s="53">
        <f t="shared" si="796"/>
        <v>129515</v>
      </c>
      <c r="DV59" s="2" t="s">
        <v>23</v>
      </c>
      <c r="DW59" s="2"/>
      <c r="DX59" s="53">
        <f t="shared" ref="DX59" si="797">DX56+DX57+DX58</f>
        <v>452869</v>
      </c>
      <c r="DY59" s="53">
        <f t="shared" ref="DY59:EB59" si="798">DY56+DY57+DY58</f>
        <v>345335</v>
      </c>
      <c r="DZ59" s="53">
        <f t="shared" si="798"/>
        <v>338939</v>
      </c>
      <c r="EA59" s="53">
        <f t="shared" ref="EA59:ED59" si="799">EA56+EA57+EA58</f>
        <v>223628</v>
      </c>
      <c r="EB59" s="53">
        <f t="shared" si="798"/>
        <v>303995</v>
      </c>
      <c r="EC59" s="53">
        <f t="shared" si="799"/>
        <v>247936</v>
      </c>
      <c r="ED59" s="53">
        <f t="shared" si="799"/>
        <v>206114</v>
      </c>
      <c r="EE59" s="53">
        <f t="shared" ref="EE59:EL59" si="800">EE56+EE57+EE58</f>
        <v>134526</v>
      </c>
      <c r="EF59" s="53">
        <f t="shared" si="800"/>
        <v>164987</v>
      </c>
      <c r="EG59" s="53">
        <f t="shared" si="800"/>
        <v>169366</v>
      </c>
      <c r="EH59" s="53">
        <f t="shared" si="800"/>
        <v>161186</v>
      </c>
      <c r="EI59" s="53">
        <f t="shared" si="800"/>
        <v>150557</v>
      </c>
      <c r="EJ59" s="53">
        <f t="shared" si="800"/>
        <v>189174</v>
      </c>
      <c r="EK59" s="53">
        <f t="shared" si="800"/>
        <v>162488</v>
      </c>
      <c r="EL59" s="53">
        <f t="shared" si="800"/>
        <v>176636</v>
      </c>
      <c r="EO59" s="49" t="s">
        <v>167</v>
      </c>
      <c r="EP59" s="10">
        <v>0</v>
      </c>
      <c r="EQ59" s="10">
        <v>0</v>
      </c>
      <c r="ER59" s="58">
        <v>0</v>
      </c>
      <c r="ES59" s="58">
        <v>0</v>
      </c>
      <c r="ET59" s="10">
        <v>0</v>
      </c>
      <c r="EU59" s="10">
        <v>0</v>
      </c>
      <c r="EX59" s="125"/>
      <c r="EY59" s="125"/>
      <c r="EZ59" s="125"/>
      <c r="FA59" s="125"/>
      <c r="FB59" s="125"/>
      <c r="FC59" s="125"/>
      <c r="FD59" s="125"/>
      <c r="FE59" s="1"/>
      <c r="FF59" s="36"/>
      <c r="FG59" s="1"/>
      <c r="FH59" s="1"/>
    </row>
    <row r="60" spans="1:166" x14ac:dyDescent="0.25">
      <c r="P60" s="10"/>
      <c r="Q60" s="10"/>
      <c r="R60" s="10"/>
      <c r="S60" s="10"/>
      <c r="T60" s="10"/>
      <c r="U60" s="10"/>
      <c r="V60" s="10"/>
      <c r="W60" s="10"/>
      <c r="X60" s="10"/>
      <c r="Z60" s="10"/>
      <c r="AA60" s="10"/>
      <c r="AB60" s="10"/>
      <c r="AC60" s="10"/>
      <c r="AD60" s="10"/>
      <c r="AE60" s="87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E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X60" s="10"/>
      <c r="DY60" s="10"/>
      <c r="DZ60" s="10"/>
      <c r="EA60" s="10"/>
      <c r="EB60" s="10"/>
      <c r="EC60" s="10"/>
      <c r="ED60" s="10"/>
      <c r="EE60" s="10"/>
      <c r="EF60" s="10"/>
      <c r="EG60" s="10"/>
      <c r="EH60" s="10"/>
      <c r="EI60" s="10"/>
      <c r="EJ60" s="10"/>
      <c r="EK60" s="10"/>
      <c r="EL60" s="10"/>
      <c r="EO60" s="2" t="s">
        <v>23</v>
      </c>
      <c r="EP60" s="53">
        <f>EP56+EP57+EP58+EP59</f>
        <v>37074.419000000002</v>
      </c>
      <c r="EQ60" s="53">
        <f>EQ56+EQ57+EQ58+EQ59</f>
        <v>36364.558999999994</v>
      </c>
      <c r="ER60" s="53">
        <f>ER56+ER57+ER58+ER59</f>
        <v>38466.883999999998</v>
      </c>
      <c r="ES60" s="53">
        <f>ES56+ES57+ES58+ES59</f>
        <v>33477.572</v>
      </c>
      <c r="ET60" s="53">
        <f t="shared" ref="ET60" si="801">ET56+ET57+ET58+ET59</f>
        <v>26754.151999999998</v>
      </c>
      <c r="EU60" s="53">
        <f>EU56+EU57+EU58+EU59</f>
        <v>29715.194000000003</v>
      </c>
      <c r="EX60" s="9"/>
      <c r="EY60" s="9"/>
      <c r="EZ60" s="9"/>
      <c r="FA60" s="9"/>
      <c r="FB60" s="9"/>
      <c r="FC60" s="9"/>
      <c r="FD60" s="9"/>
      <c r="FE60" s="1"/>
      <c r="FF60" s="36"/>
      <c r="FG60" s="1"/>
      <c r="FH60" s="1"/>
    </row>
    <row r="61" spans="1:166" x14ac:dyDescent="0.25">
      <c r="A61" s="11" t="s">
        <v>24</v>
      </c>
      <c r="B61" s="120">
        <f t="shared" ref="B61:L62" si="802">(P61+AI61+BB61+BU61+CL61+DE61+DX61)/7</f>
        <v>84734.142857142855</v>
      </c>
      <c r="C61" s="120">
        <f t="shared" si="802"/>
        <v>83386.28571428571</v>
      </c>
      <c r="D61" s="120">
        <f t="shared" si="802"/>
        <v>75237.571428571435</v>
      </c>
      <c r="E61" s="120">
        <f t="shared" si="802"/>
        <v>67120.28571428571</v>
      </c>
      <c r="F61" s="120">
        <f t="shared" si="802"/>
        <v>58881.142857142855</v>
      </c>
      <c r="G61" s="120">
        <f t="shared" si="802"/>
        <v>58453.142857142855</v>
      </c>
      <c r="H61" s="120">
        <f t="shared" si="802"/>
        <v>49592.857142857145</v>
      </c>
      <c r="I61" s="120">
        <f t="shared" si="802"/>
        <v>44094.714285714283</v>
      </c>
      <c r="J61" s="120">
        <f t="shared" si="802"/>
        <v>45303.714285714283</v>
      </c>
      <c r="K61" s="120">
        <f t="shared" si="802"/>
        <v>47376.142857142855</v>
      </c>
      <c r="L61" s="120">
        <f t="shared" si="802"/>
        <v>49218</v>
      </c>
      <c r="N61" s="11" t="s">
        <v>129</v>
      </c>
      <c r="P61" s="10">
        <v>67597</v>
      </c>
      <c r="Q61" s="10">
        <v>47082</v>
      </c>
      <c r="R61" s="10">
        <v>46286</v>
      </c>
      <c r="S61" s="10">
        <v>44886</v>
      </c>
      <c r="T61" s="10">
        <v>31044</v>
      </c>
      <c r="U61" s="10">
        <v>27721</v>
      </c>
      <c r="V61" s="10">
        <v>25463</v>
      </c>
      <c r="W61" s="10">
        <v>23979</v>
      </c>
      <c r="X61" s="10">
        <v>20844</v>
      </c>
      <c r="Y61" s="9">
        <v>19623</v>
      </c>
      <c r="Z61" s="10">
        <v>21251</v>
      </c>
      <c r="AA61" s="10">
        <v>21014</v>
      </c>
      <c r="AB61" s="10">
        <v>25811</v>
      </c>
      <c r="AC61" s="10">
        <v>27613</v>
      </c>
      <c r="AD61" s="10">
        <v>25669</v>
      </c>
      <c r="AE61" s="10"/>
      <c r="AG61" s="11" t="s">
        <v>24</v>
      </c>
      <c r="AI61" s="10">
        <v>43052</v>
      </c>
      <c r="AJ61" s="10">
        <v>42685</v>
      </c>
      <c r="AK61" s="10">
        <v>37059</v>
      </c>
      <c r="AL61" s="10">
        <v>37526</v>
      </c>
      <c r="AM61" s="10">
        <v>39128</v>
      </c>
      <c r="AN61" s="10">
        <v>42539</v>
      </c>
      <c r="AO61" s="10">
        <v>44563</v>
      </c>
      <c r="AP61" s="10">
        <v>45172</v>
      </c>
      <c r="AQ61" s="10">
        <v>43157</v>
      </c>
      <c r="AR61" s="10">
        <v>42088</v>
      </c>
      <c r="AS61" s="10">
        <v>42578</v>
      </c>
      <c r="AT61" s="10">
        <v>40637</v>
      </c>
      <c r="AU61" s="10">
        <v>37579</v>
      </c>
      <c r="AV61" s="10">
        <v>37811</v>
      </c>
      <c r="AW61" s="10">
        <v>39247</v>
      </c>
      <c r="AX61" s="10"/>
      <c r="AZ61" s="11" t="s">
        <v>24</v>
      </c>
      <c r="BB61" s="10">
        <v>84474</v>
      </c>
      <c r="BC61" s="10">
        <v>103153</v>
      </c>
      <c r="BD61" s="10">
        <v>106646</v>
      </c>
      <c r="BE61" s="10">
        <v>120182</v>
      </c>
      <c r="BF61" s="10">
        <v>115948</v>
      </c>
      <c r="BG61" s="10">
        <v>116241</v>
      </c>
      <c r="BH61" s="10">
        <v>129295</v>
      </c>
      <c r="BI61" s="10">
        <v>128385</v>
      </c>
      <c r="BJ61" s="10">
        <v>141174</v>
      </c>
      <c r="BK61" s="10">
        <v>150825</v>
      </c>
      <c r="BL61" s="10">
        <v>154360</v>
      </c>
      <c r="BM61" s="10">
        <v>152638</v>
      </c>
      <c r="BN61" s="10">
        <v>137922</v>
      </c>
      <c r="BO61" s="10">
        <v>145236</v>
      </c>
      <c r="BP61" s="10">
        <v>146607</v>
      </c>
      <c r="BQ61" s="10"/>
      <c r="BS61" s="11" t="s">
        <v>24</v>
      </c>
      <c r="BU61" s="10">
        <v>62505</v>
      </c>
      <c r="BV61" s="10">
        <v>62681</v>
      </c>
      <c r="BW61" s="10">
        <v>51305</v>
      </c>
      <c r="BX61" s="10">
        <v>46065</v>
      </c>
      <c r="BY61" s="10">
        <v>43739</v>
      </c>
      <c r="BZ61" s="10">
        <v>44570</v>
      </c>
      <c r="CA61" s="10">
        <v>0</v>
      </c>
      <c r="CB61" s="10">
        <v>0</v>
      </c>
      <c r="CC61" s="10">
        <v>0</v>
      </c>
      <c r="CD61" s="10">
        <v>0</v>
      </c>
      <c r="CE61" s="10">
        <v>0</v>
      </c>
      <c r="CF61" s="10">
        <v>0</v>
      </c>
      <c r="CG61" s="10">
        <v>0</v>
      </c>
      <c r="CJ61" s="11" t="s">
        <v>24</v>
      </c>
      <c r="CL61" s="10">
        <v>111477</v>
      </c>
      <c r="CM61" s="10">
        <v>109226</v>
      </c>
      <c r="CN61" s="10">
        <v>96671</v>
      </c>
      <c r="CO61" s="10">
        <v>78064</v>
      </c>
      <c r="CP61" s="10">
        <v>73660</v>
      </c>
      <c r="CQ61" s="10">
        <v>71879</v>
      </c>
      <c r="CR61" s="10">
        <v>72069</v>
      </c>
      <c r="CS61" s="10">
        <v>63700</v>
      </c>
      <c r="CT61" s="10">
        <v>68020</v>
      </c>
      <c r="CU61" s="10">
        <v>69602</v>
      </c>
      <c r="CV61" s="10">
        <f>75677+1912</f>
        <v>77589</v>
      </c>
      <c r="CW61" s="10">
        <f>75270+7731</f>
        <v>83001</v>
      </c>
      <c r="CX61" s="10">
        <f>84919+7729</f>
        <v>92648</v>
      </c>
      <c r="CY61" s="10">
        <f>88472+7727</f>
        <v>96199</v>
      </c>
      <c r="CZ61" s="10">
        <f>87253+7724</f>
        <v>94977</v>
      </c>
      <c r="DA61" s="10"/>
      <c r="DC61" s="11" t="s">
        <v>24</v>
      </c>
      <c r="DE61" s="10">
        <v>105500</v>
      </c>
      <c r="DF61" s="10">
        <v>104400</v>
      </c>
      <c r="DG61" s="10">
        <v>98400</v>
      </c>
      <c r="DH61" s="10">
        <v>89100</v>
      </c>
      <c r="DI61" s="10">
        <v>77200</v>
      </c>
      <c r="DJ61" s="10">
        <v>74600</v>
      </c>
      <c r="DK61" s="10">
        <v>46200</v>
      </c>
      <c r="DL61" s="10">
        <v>28602</v>
      </c>
      <c r="DM61" s="10">
        <v>24945</v>
      </c>
      <c r="DN61" s="10">
        <v>25417</v>
      </c>
      <c r="DO61" s="10">
        <v>26852</v>
      </c>
      <c r="DP61" s="10">
        <v>29746</v>
      </c>
      <c r="DQ61" s="10">
        <v>29477</v>
      </c>
      <c r="DR61" s="10">
        <v>33934</v>
      </c>
      <c r="DS61" s="10">
        <v>32884</v>
      </c>
      <c r="DT61" s="10"/>
      <c r="DV61" s="11" t="s">
        <v>24</v>
      </c>
      <c r="DX61" s="10">
        <v>118534</v>
      </c>
      <c r="DY61" s="10">
        <v>114477</v>
      </c>
      <c r="DZ61" s="10">
        <v>90296</v>
      </c>
      <c r="EA61" s="10">
        <v>54019</v>
      </c>
      <c r="EB61" s="10">
        <v>31449</v>
      </c>
      <c r="EC61" s="10">
        <v>31622</v>
      </c>
      <c r="ED61" s="10">
        <v>29560</v>
      </c>
      <c r="EE61" s="10">
        <v>18825</v>
      </c>
      <c r="EF61" s="10">
        <v>18986</v>
      </c>
      <c r="EG61" s="10">
        <v>24078</v>
      </c>
      <c r="EH61" s="10">
        <v>21896</v>
      </c>
      <c r="EI61" s="10">
        <v>18992</v>
      </c>
      <c r="EJ61" s="10">
        <v>25676</v>
      </c>
      <c r="EK61" s="10">
        <v>27215</v>
      </c>
      <c r="EL61" s="10">
        <v>27671</v>
      </c>
      <c r="EM61" s="10"/>
      <c r="EP61" s="10"/>
      <c r="EQ61" s="10"/>
      <c r="ES61" s="10"/>
      <c r="ET61" s="10"/>
      <c r="EU61" s="10"/>
      <c r="EX61" s="9"/>
      <c r="EY61" s="9"/>
      <c r="EZ61" s="9"/>
      <c r="FA61" s="9"/>
      <c r="FB61" s="9"/>
      <c r="FC61" s="9"/>
      <c r="FD61" s="9"/>
      <c r="FE61" s="1"/>
      <c r="FF61" s="36"/>
      <c r="FG61" s="1"/>
      <c r="FH61" s="1"/>
    </row>
    <row r="62" spans="1:166" x14ac:dyDescent="0.25">
      <c r="A62" s="2" t="s">
        <v>28</v>
      </c>
      <c r="B62" s="121">
        <f t="shared" si="802"/>
        <v>7.0657142857142867</v>
      </c>
      <c r="C62" s="121">
        <f t="shared" si="802"/>
        <v>6.1685714285714282</v>
      </c>
      <c r="D62" s="121">
        <f t="shared" si="802"/>
        <v>6.4914285714285711</v>
      </c>
      <c r="E62" s="121">
        <f t="shared" si="802"/>
        <v>6.8128571428571423</v>
      </c>
      <c r="F62" s="121">
        <f t="shared" si="802"/>
        <v>7.8042857142857134</v>
      </c>
      <c r="G62" s="121">
        <f t="shared" si="802"/>
        <v>7.5957142857142861</v>
      </c>
      <c r="H62" s="121" t="e">
        <f t="shared" si="802"/>
        <v>#DIV/0!</v>
      </c>
      <c r="I62" s="121" t="e">
        <f t="shared" si="802"/>
        <v>#DIV/0!</v>
      </c>
      <c r="J62" s="121" t="e">
        <f t="shared" si="802"/>
        <v>#DIV/0!</v>
      </c>
      <c r="K62" s="121" t="e">
        <f t="shared" si="802"/>
        <v>#DIV/0!</v>
      </c>
      <c r="L62" s="121" t="e">
        <f t="shared" si="802"/>
        <v>#DIV/0!</v>
      </c>
      <c r="N62" s="2" t="s">
        <v>28</v>
      </c>
      <c r="O62" s="2"/>
      <c r="P62" s="59">
        <f>ROUND(P59/P61,2)</f>
        <v>4.97</v>
      </c>
      <c r="Q62" s="59">
        <f>ROUND(Q59/Q61,2)</f>
        <v>5.22</v>
      </c>
      <c r="R62" s="59">
        <f>ROUND(R59/R61,2)</f>
        <v>6.09</v>
      </c>
      <c r="S62" s="59">
        <f t="shared" ref="S62:AD62" si="803">ROUND(S59/S61,2)</f>
        <v>5.54</v>
      </c>
      <c r="T62" s="59">
        <f>ROUND(T59/T61,2)</f>
        <v>7.74</v>
      </c>
      <c r="U62" s="59">
        <f t="shared" si="803"/>
        <v>11.18</v>
      </c>
      <c r="V62" s="59">
        <f t="shared" si="803"/>
        <v>9.9700000000000006</v>
      </c>
      <c r="W62" s="59">
        <f t="shared" si="803"/>
        <v>8.61</v>
      </c>
      <c r="X62" s="59">
        <f t="shared" si="803"/>
        <v>7.21</v>
      </c>
      <c r="Y62" s="59">
        <f t="shared" si="803"/>
        <v>9.08</v>
      </c>
      <c r="Z62" s="59">
        <f t="shared" si="803"/>
        <v>10.41</v>
      </c>
      <c r="AA62" s="59">
        <f t="shared" si="803"/>
        <v>3.77</v>
      </c>
      <c r="AB62" s="59">
        <f t="shared" si="803"/>
        <v>9.02</v>
      </c>
      <c r="AC62" s="59">
        <f t="shared" si="803"/>
        <v>5.93</v>
      </c>
      <c r="AD62" s="59">
        <f t="shared" si="803"/>
        <v>7.07</v>
      </c>
      <c r="AG62" s="2" t="s">
        <v>28</v>
      </c>
      <c r="AH62" s="2"/>
      <c r="AI62" s="59">
        <f t="shared" ref="AI62" si="804">ROUND(AI59/AI61,2)</f>
        <v>5.85</v>
      </c>
      <c r="AJ62" s="59">
        <f t="shared" ref="AJ62:AM62" si="805">ROUND(AJ59/AJ61,2)</f>
        <v>5.5</v>
      </c>
      <c r="AK62" s="59">
        <f t="shared" si="805"/>
        <v>5.86</v>
      </c>
      <c r="AL62" s="59">
        <f t="shared" ref="AL62:AW62" si="806">ROUND(AL59/AL61,2)</f>
        <v>6.18</v>
      </c>
      <c r="AM62" s="59">
        <f t="shared" si="805"/>
        <v>5.66</v>
      </c>
      <c r="AN62" s="59">
        <f t="shared" si="806"/>
        <v>4.82</v>
      </c>
      <c r="AO62" s="59">
        <f t="shared" si="806"/>
        <v>4.99</v>
      </c>
      <c r="AP62" s="59">
        <f t="shared" si="806"/>
        <v>4.84</v>
      </c>
      <c r="AQ62" s="59">
        <f t="shared" si="806"/>
        <v>4.99</v>
      </c>
      <c r="AR62" s="59">
        <f t="shared" si="806"/>
        <v>5.0999999999999996</v>
      </c>
      <c r="AS62" s="59">
        <f t="shared" si="806"/>
        <v>5.23</v>
      </c>
      <c r="AT62" s="59">
        <f t="shared" si="806"/>
        <v>5.45</v>
      </c>
      <c r="AU62" s="59">
        <f t="shared" si="806"/>
        <v>5.75</v>
      </c>
      <c r="AV62" s="59">
        <f t="shared" si="806"/>
        <v>5.9</v>
      </c>
      <c r="AW62" s="59">
        <f t="shared" si="806"/>
        <v>5.13</v>
      </c>
      <c r="AZ62" s="2" t="s">
        <v>28</v>
      </c>
      <c r="BA62" s="2"/>
      <c r="BB62" s="59">
        <f>ROUND(BB59/BB61,2)</f>
        <v>14.84</v>
      </c>
      <c r="BC62" s="59">
        <f>ROUND(BC59/BC61,2)</f>
        <v>11.03</v>
      </c>
      <c r="BD62" s="59">
        <f>ROUND(BD59/BD61,2)</f>
        <v>10.17</v>
      </c>
      <c r="BE62" s="59">
        <f t="shared" ref="BE62:BP62" si="807">ROUND(BE59/BE61,2)</f>
        <v>8.7100000000000009</v>
      </c>
      <c r="BF62" s="59">
        <f t="shared" ref="BF62" si="808">ROUND(BF59/BF61,2)</f>
        <v>8.2899999999999991</v>
      </c>
      <c r="BG62" s="59">
        <f t="shared" si="807"/>
        <v>7.8</v>
      </c>
      <c r="BH62" s="59">
        <f t="shared" si="807"/>
        <v>6.69</v>
      </c>
      <c r="BI62" s="59">
        <f t="shared" si="807"/>
        <v>5.75</v>
      </c>
      <c r="BJ62" s="59">
        <f t="shared" si="807"/>
        <v>4.9000000000000004</v>
      </c>
      <c r="BK62" s="59">
        <f t="shared" si="807"/>
        <v>4.4800000000000004</v>
      </c>
      <c r="BL62" s="59">
        <f t="shared" si="807"/>
        <v>4.5</v>
      </c>
      <c r="BM62" s="59">
        <f t="shared" si="807"/>
        <v>4.28</v>
      </c>
      <c r="BN62" s="59">
        <f t="shared" si="807"/>
        <v>4.5599999999999996</v>
      </c>
      <c r="BO62" s="59">
        <f t="shared" si="807"/>
        <v>4.1100000000000003</v>
      </c>
      <c r="BP62" s="59">
        <f t="shared" si="807"/>
        <v>3.88</v>
      </c>
      <c r="BS62" s="2" t="s">
        <v>28</v>
      </c>
      <c r="BT62" s="2"/>
      <c r="BU62" s="59">
        <f>ROUND(BU59/BU61,2)</f>
        <v>7.97</v>
      </c>
      <c r="BV62" s="59">
        <f>ROUND(BV59/BV61,2)</f>
        <v>7.59</v>
      </c>
      <c r="BW62" s="59">
        <f>ROUND(BW59/BW61,2)</f>
        <v>8.74</v>
      </c>
      <c r="BX62" s="59">
        <f t="shared" ref="BX62:BZ62" si="809">ROUND(BX59/BX61,2)</f>
        <v>10.17</v>
      </c>
      <c r="BY62" s="59">
        <f t="shared" si="809"/>
        <v>9.89</v>
      </c>
      <c r="BZ62" s="59">
        <f t="shared" si="809"/>
        <v>8.35</v>
      </c>
      <c r="CA62" s="59" t="e">
        <f t="shared" ref="CA62:CG62" si="810">ROUND(CA59/CA61,2)</f>
        <v>#DIV/0!</v>
      </c>
      <c r="CB62" s="59" t="e">
        <f t="shared" si="810"/>
        <v>#DIV/0!</v>
      </c>
      <c r="CC62" s="59" t="e">
        <f t="shared" si="810"/>
        <v>#DIV/0!</v>
      </c>
      <c r="CD62" s="59" t="e">
        <f t="shared" si="810"/>
        <v>#DIV/0!</v>
      </c>
      <c r="CE62" s="59" t="e">
        <f t="shared" si="810"/>
        <v>#DIV/0!</v>
      </c>
      <c r="CF62" s="59" t="e">
        <f t="shared" si="810"/>
        <v>#DIV/0!</v>
      </c>
      <c r="CG62" s="59" t="e">
        <f t="shared" si="810"/>
        <v>#DIV/0!</v>
      </c>
      <c r="CJ62" s="2" t="s">
        <v>28</v>
      </c>
      <c r="CK62" s="2"/>
      <c r="CL62" s="59">
        <f t="shared" ref="CL62" si="811">ROUND(CL59/CL61,2)</f>
        <v>6.77</v>
      </c>
      <c r="CM62" s="59">
        <f t="shared" ref="CM62:CP62" si="812">ROUND(CM59/CM61,2)</f>
        <v>6.18</v>
      </c>
      <c r="CN62" s="59">
        <f t="shared" si="812"/>
        <v>6.28</v>
      </c>
      <c r="CO62" s="59">
        <f t="shared" ref="CO62:CZ62" si="813">ROUND(CO59/CO61,2)</f>
        <v>7.61</v>
      </c>
      <c r="CP62" s="59">
        <f t="shared" si="812"/>
        <v>7.94</v>
      </c>
      <c r="CQ62" s="59">
        <f t="shared" si="813"/>
        <v>7.77</v>
      </c>
      <c r="CR62" s="59">
        <f t="shared" si="813"/>
        <v>7.46</v>
      </c>
      <c r="CS62" s="59">
        <f t="shared" si="813"/>
        <v>8.02</v>
      </c>
      <c r="CT62" s="59">
        <f t="shared" si="813"/>
        <v>7.28</v>
      </c>
      <c r="CU62" s="59">
        <f t="shared" si="813"/>
        <v>6.47</v>
      </c>
      <c r="CV62" s="59">
        <f t="shared" si="813"/>
        <v>5.45</v>
      </c>
      <c r="CW62" s="59">
        <f t="shared" si="813"/>
        <v>4.8</v>
      </c>
      <c r="CX62" s="59">
        <f t="shared" si="813"/>
        <v>4.33</v>
      </c>
      <c r="CY62" s="59">
        <f t="shared" si="813"/>
        <v>4.21</v>
      </c>
      <c r="CZ62" s="59">
        <f t="shared" si="813"/>
        <v>4.0199999999999996</v>
      </c>
      <c r="DC62" s="2" t="s">
        <v>28</v>
      </c>
      <c r="DD62" s="2"/>
      <c r="DE62" s="59">
        <f t="shared" ref="DE62:DF62" si="814">ROUND(DE59/DE61,2)</f>
        <v>5.24</v>
      </c>
      <c r="DF62" s="59">
        <f t="shared" si="814"/>
        <v>4.6399999999999997</v>
      </c>
      <c r="DG62" s="59">
        <f t="shared" ref="DG62:DI62" si="815">ROUND(DG59/DG61,2)</f>
        <v>4.55</v>
      </c>
      <c r="DH62" s="59">
        <f t="shared" ref="DH62:DS62" si="816">ROUND(DH59/DH61,2)</f>
        <v>5.34</v>
      </c>
      <c r="DI62" s="59">
        <f t="shared" si="815"/>
        <v>5.44</v>
      </c>
      <c r="DJ62" s="59">
        <f t="shared" si="816"/>
        <v>5.41</v>
      </c>
      <c r="DK62" s="59">
        <f t="shared" si="816"/>
        <v>5.4</v>
      </c>
      <c r="DL62" s="59">
        <f t="shared" si="816"/>
        <v>5.0999999999999996</v>
      </c>
      <c r="DM62" s="59">
        <f t="shared" si="816"/>
        <v>6.09</v>
      </c>
      <c r="DN62" s="59">
        <f t="shared" si="816"/>
        <v>6.22</v>
      </c>
      <c r="DO62" s="59">
        <f t="shared" si="816"/>
        <v>5.32</v>
      </c>
      <c r="DP62" s="59">
        <f t="shared" si="816"/>
        <v>5.45</v>
      </c>
      <c r="DQ62" s="59">
        <f t="shared" si="816"/>
        <v>5.03</v>
      </c>
      <c r="DR62" s="59">
        <f t="shared" si="816"/>
        <v>3.93</v>
      </c>
      <c r="DS62" s="59">
        <f t="shared" si="816"/>
        <v>3.94</v>
      </c>
      <c r="DT62" s="88" t="s">
        <v>109</v>
      </c>
      <c r="DV62" s="2" t="s">
        <v>28</v>
      </c>
      <c r="DW62" s="2"/>
      <c r="DX62" s="59">
        <f t="shared" ref="DX62" si="817">ROUND(DX59/DX61,2)</f>
        <v>3.82</v>
      </c>
      <c r="DY62" s="59">
        <f t="shared" ref="DY62:ED62" si="818">ROUND(DY59/DY61,2)</f>
        <v>3.02</v>
      </c>
      <c r="DZ62" s="59">
        <f t="shared" si="818"/>
        <v>3.75</v>
      </c>
      <c r="EA62" s="59">
        <f t="shared" si="818"/>
        <v>4.1399999999999997</v>
      </c>
      <c r="EB62" s="59">
        <f t="shared" si="818"/>
        <v>9.67</v>
      </c>
      <c r="EC62" s="59">
        <f t="shared" si="818"/>
        <v>7.84</v>
      </c>
      <c r="ED62" s="59">
        <f t="shared" si="818"/>
        <v>6.97</v>
      </c>
      <c r="EE62" s="59">
        <f t="shared" ref="EE62:EL62" si="819">ROUND(EE59/EE61,2)</f>
        <v>7.15</v>
      </c>
      <c r="EF62" s="59">
        <f t="shared" si="819"/>
        <v>8.69</v>
      </c>
      <c r="EG62" s="59">
        <f t="shared" si="819"/>
        <v>7.03</v>
      </c>
      <c r="EH62" s="59">
        <f t="shared" si="819"/>
        <v>7.36</v>
      </c>
      <c r="EI62" s="59">
        <f t="shared" si="819"/>
        <v>7.93</v>
      </c>
      <c r="EJ62" s="59">
        <f t="shared" si="819"/>
        <v>7.37</v>
      </c>
      <c r="EK62" s="59">
        <f t="shared" si="819"/>
        <v>5.97</v>
      </c>
      <c r="EL62" s="59">
        <f t="shared" si="819"/>
        <v>6.38</v>
      </c>
      <c r="EM62" s="89"/>
      <c r="EO62" s="11" t="s">
        <v>24</v>
      </c>
      <c r="EP62" s="10">
        <v>7457.33</v>
      </c>
      <c r="EQ62" s="10">
        <v>6783.4970000000003</v>
      </c>
      <c r="ER62" s="10">
        <v>6228.5569999999998</v>
      </c>
      <c r="ES62" s="10">
        <v>6123.5309999999999</v>
      </c>
      <c r="ET62" s="10">
        <v>5490.3339999999998</v>
      </c>
      <c r="EU62" s="10">
        <v>5614.8810000000003</v>
      </c>
      <c r="EX62" s="9"/>
      <c r="EY62" s="9"/>
      <c r="EZ62" s="9"/>
      <c r="FA62" s="9"/>
      <c r="FB62" s="9"/>
      <c r="FC62" s="9"/>
      <c r="FD62" s="9"/>
      <c r="FE62" s="9"/>
      <c r="FF62" s="36"/>
      <c r="FG62" s="1"/>
      <c r="FH62" s="1"/>
      <c r="FJ62" s="11">
        <v>2</v>
      </c>
    </row>
    <row r="63" spans="1:166" x14ac:dyDescent="0.25">
      <c r="F63" s="134"/>
      <c r="G63" s="134"/>
      <c r="H63" s="134"/>
      <c r="I63" s="134"/>
      <c r="J63" s="134"/>
      <c r="K63" s="134"/>
      <c r="L63" s="134"/>
      <c r="U63" s="10"/>
      <c r="W63" s="10"/>
      <c r="X63" s="10"/>
      <c r="Z63" s="10"/>
      <c r="AA63" s="10"/>
      <c r="AB63" s="10"/>
      <c r="AC63" s="10"/>
      <c r="AD63" s="10"/>
      <c r="AM63" s="10"/>
      <c r="AN63" s="10"/>
      <c r="AO63" s="10"/>
      <c r="AP63" s="10"/>
      <c r="AQ63" s="10"/>
      <c r="AS63" s="10"/>
      <c r="AT63" s="10"/>
      <c r="AU63" s="10"/>
      <c r="AV63" s="10"/>
      <c r="AW63" s="10"/>
      <c r="BF63" s="10"/>
      <c r="BG63" s="10"/>
      <c r="BH63" s="10"/>
      <c r="BI63" s="10"/>
      <c r="BJ63" s="10"/>
      <c r="BL63" s="10"/>
      <c r="BM63" s="10"/>
      <c r="BN63" s="10"/>
      <c r="BO63" s="10"/>
      <c r="BP63" s="10"/>
      <c r="BY63" s="10"/>
      <c r="BZ63" s="10"/>
      <c r="CA63" s="10"/>
      <c r="CC63" s="10"/>
      <c r="CD63" s="10"/>
      <c r="CE63" s="10"/>
      <c r="CF63" s="10"/>
      <c r="CG63" s="10"/>
      <c r="CP63" s="10"/>
      <c r="CQ63" s="10"/>
      <c r="CR63" s="10"/>
      <c r="CS63" s="10"/>
      <c r="CT63" s="10"/>
      <c r="CV63" s="10"/>
      <c r="CW63" s="10"/>
      <c r="CX63" s="10"/>
      <c r="CY63" s="10"/>
      <c r="CZ63" s="10"/>
      <c r="DI63" s="10"/>
      <c r="DJ63" s="10"/>
      <c r="DK63" s="10"/>
      <c r="DL63" s="10"/>
      <c r="DO63" s="10"/>
      <c r="DP63" s="10"/>
      <c r="DQ63" s="10"/>
      <c r="DR63" s="10"/>
      <c r="DS63" s="10"/>
      <c r="EB63" s="10"/>
      <c r="EC63" s="10"/>
      <c r="ED63" s="10"/>
      <c r="EE63" s="10"/>
      <c r="EF63" s="10"/>
      <c r="EH63" s="10"/>
      <c r="EI63" s="10"/>
      <c r="EJ63" s="10"/>
      <c r="EK63" s="10"/>
      <c r="EL63" s="10"/>
      <c r="EM63" s="89"/>
      <c r="EO63" s="2" t="s">
        <v>28</v>
      </c>
      <c r="EP63" s="34">
        <f>ROUND(EP60/EP62,2)</f>
        <v>4.97</v>
      </c>
      <c r="EQ63" s="34">
        <f t="shared" ref="EQ63:EU63" si="820">ROUND(EQ60/EQ62,2)</f>
        <v>5.36</v>
      </c>
      <c r="ER63" s="34">
        <f t="shared" si="820"/>
        <v>6.18</v>
      </c>
      <c r="ES63" s="34">
        <f t="shared" si="820"/>
        <v>5.47</v>
      </c>
      <c r="ET63" s="34">
        <f t="shared" si="820"/>
        <v>4.87</v>
      </c>
      <c r="EU63" s="34">
        <f t="shared" si="820"/>
        <v>5.29</v>
      </c>
      <c r="EX63" s="128"/>
      <c r="EY63" s="128"/>
      <c r="EZ63" s="128"/>
      <c r="FA63" s="128"/>
      <c r="FB63" s="128"/>
      <c r="FC63" s="128"/>
      <c r="FD63" s="128"/>
      <c r="FE63" s="125"/>
      <c r="FF63" s="36"/>
      <c r="FG63" s="1"/>
      <c r="FH63" s="1"/>
    </row>
    <row r="64" spans="1:166" x14ac:dyDescent="0.25">
      <c r="F64" s="44" t="s">
        <v>26</v>
      </c>
      <c r="G64" s="44"/>
      <c r="U64" s="10"/>
      <c r="W64" s="10"/>
      <c r="X64" s="10"/>
      <c r="Z64" s="44" t="s">
        <v>26</v>
      </c>
      <c r="AA64" s="10"/>
      <c r="AB64" s="10"/>
      <c r="AC64" s="10"/>
      <c r="AD64" s="10"/>
      <c r="AM64" s="10"/>
      <c r="AN64" s="10"/>
      <c r="AO64" s="10"/>
      <c r="AP64" s="10"/>
      <c r="AQ64" s="10"/>
      <c r="AS64" s="44" t="s">
        <v>26</v>
      </c>
      <c r="AT64" s="10"/>
      <c r="AU64" s="10"/>
      <c r="AV64" s="10"/>
      <c r="AW64" s="10"/>
      <c r="BF64" s="10"/>
      <c r="BG64" s="10"/>
      <c r="BH64" s="10"/>
      <c r="BI64" s="10"/>
      <c r="BJ64" s="10"/>
      <c r="BL64" s="44" t="s">
        <v>26</v>
      </c>
      <c r="BM64" s="10"/>
      <c r="BN64" s="10"/>
      <c r="BO64" s="10"/>
      <c r="BP64" s="10"/>
      <c r="BY64" s="10"/>
      <c r="BZ64" s="10"/>
      <c r="CA64" s="10"/>
      <c r="CC64" s="44" t="s">
        <v>26</v>
      </c>
      <c r="CD64" s="10"/>
      <c r="CE64" s="10"/>
      <c r="CF64" s="10"/>
      <c r="CG64" s="10"/>
      <c r="CP64" s="10"/>
      <c r="CQ64" s="10"/>
      <c r="CR64" s="10"/>
      <c r="CS64" s="10"/>
      <c r="CT64" s="10"/>
      <c r="CV64" s="44" t="s">
        <v>26</v>
      </c>
      <c r="CW64" s="10"/>
      <c r="CX64" s="10"/>
      <c r="CY64" s="10"/>
      <c r="CZ64" s="10"/>
      <c r="DI64" s="10"/>
      <c r="DJ64" s="10"/>
      <c r="DK64" s="10"/>
      <c r="DL64" s="10"/>
      <c r="DM64" s="10"/>
      <c r="DO64" s="44" t="s">
        <v>26</v>
      </c>
      <c r="DP64" s="10"/>
      <c r="DQ64" s="10"/>
      <c r="DR64" s="10"/>
      <c r="DS64" s="10"/>
      <c r="EB64" s="10"/>
      <c r="EC64" s="10"/>
      <c r="ED64" s="10"/>
      <c r="EE64" s="10"/>
      <c r="EF64" s="10"/>
      <c r="EH64" s="44" t="s">
        <v>26</v>
      </c>
      <c r="EI64" s="10"/>
      <c r="EJ64" s="10"/>
      <c r="EK64" s="10"/>
      <c r="EL64" s="10"/>
      <c r="EM64" s="89"/>
      <c r="EX64" s="1"/>
      <c r="EY64" s="1"/>
      <c r="EZ64" s="29"/>
      <c r="FA64" s="9"/>
      <c r="FB64" s="9"/>
      <c r="FC64" s="9"/>
      <c r="FD64" s="9"/>
      <c r="FE64" s="1"/>
      <c r="FF64" s="1"/>
      <c r="FG64" s="1"/>
      <c r="FH64" s="1"/>
    </row>
    <row r="65" spans="1:164" x14ac:dyDescent="0.25">
      <c r="F65" s="44" t="s">
        <v>31</v>
      </c>
      <c r="G65" s="44"/>
      <c r="U65" s="10"/>
      <c r="W65" s="10"/>
      <c r="X65" s="10"/>
      <c r="Z65" s="44" t="s">
        <v>31</v>
      </c>
      <c r="AM65" s="10"/>
      <c r="AN65" s="10"/>
      <c r="AO65" s="10"/>
      <c r="AP65" s="10"/>
      <c r="AQ65" s="10"/>
      <c r="AS65" s="44" t="s">
        <v>31</v>
      </c>
      <c r="BF65" s="10"/>
      <c r="BG65" s="10"/>
      <c r="BH65" s="10"/>
      <c r="BI65" s="10"/>
      <c r="BJ65" s="10"/>
      <c r="BL65" s="44" t="s">
        <v>31</v>
      </c>
      <c r="BY65" s="10"/>
      <c r="BZ65" s="10"/>
      <c r="CA65" s="10"/>
      <c r="CC65" s="44" t="s">
        <v>31</v>
      </c>
      <c r="CP65" s="10"/>
      <c r="CQ65" s="10"/>
      <c r="CR65" s="10"/>
      <c r="CS65" s="10"/>
      <c r="CT65" s="10"/>
      <c r="CV65" s="44" t="s">
        <v>31</v>
      </c>
      <c r="DI65" s="10"/>
      <c r="DJ65" s="10"/>
      <c r="DK65" s="10"/>
      <c r="DL65" s="10"/>
      <c r="DM65" s="10"/>
      <c r="DO65" s="44" t="s">
        <v>31</v>
      </c>
      <c r="EB65" s="10"/>
      <c r="EC65" s="10"/>
      <c r="ED65" s="10"/>
      <c r="EE65" s="10"/>
      <c r="EF65" s="10"/>
      <c r="EH65" s="44" t="s">
        <v>31</v>
      </c>
      <c r="EM65" s="89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</row>
    <row r="66" spans="1:164" x14ac:dyDescent="0.25">
      <c r="A66" s="47" t="s">
        <v>29</v>
      </c>
      <c r="B66" s="47"/>
      <c r="C66" s="47"/>
      <c r="D66" s="47"/>
      <c r="E66" s="47"/>
      <c r="F66" s="47"/>
      <c r="G66" s="47"/>
      <c r="L66" s="44"/>
      <c r="N66" s="47" t="s">
        <v>29</v>
      </c>
      <c r="U66" s="10"/>
      <c r="W66" s="10"/>
      <c r="X66" s="10"/>
      <c r="Z66" s="44"/>
      <c r="AG66" s="47" t="s">
        <v>29</v>
      </c>
      <c r="AM66" s="10"/>
      <c r="AN66" s="10"/>
      <c r="AO66" s="10"/>
      <c r="AP66" s="10"/>
      <c r="AQ66" s="10"/>
      <c r="AS66" s="44"/>
      <c r="AZ66" s="47" t="s">
        <v>29</v>
      </c>
      <c r="BF66" s="10"/>
      <c r="BG66" s="10"/>
      <c r="BH66" s="10"/>
      <c r="BI66" s="10"/>
      <c r="BJ66" s="10"/>
      <c r="BL66" s="44"/>
      <c r="BS66" s="47" t="s">
        <v>29</v>
      </c>
      <c r="BY66" s="10"/>
      <c r="BZ66" s="10"/>
      <c r="CA66" s="10"/>
      <c r="CC66" s="44"/>
      <c r="CJ66" s="47" t="s">
        <v>29</v>
      </c>
      <c r="CP66" s="10"/>
      <c r="CQ66" s="10"/>
      <c r="CR66" s="10"/>
      <c r="CS66" s="10"/>
      <c r="CT66" s="10"/>
      <c r="CV66" s="44"/>
      <c r="DC66" s="47" t="s">
        <v>29</v>
      </c>
      <c r="DI66" s="10"/>
      <c r="DJ66" s="10"/>
      <c r="DK66" s="10"/>
      <c r="DL66" s="10"/>
      <c r="DM66" s="10"/>
      <c r="DO66" s="44"/>
      <c r="DV66" s="47" t="s">
        <v>29</v>
      </c>
      <c r="EB66" s="10"/>
      <c r="EC66" s="10"/>
      <c r="ED66" s="10"/>
      <c r="EE66" s="10"/>
      <c r="EF66" s="10"/>
      <c r="EH66" s="44"/>
      <c r="EM66" s="89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</row>
    <row r="67" spans="1:164" x14ac:dyDescent="0.25">
      <c r="A67" s="11" t="s">
        <v>30</v>
      </c>
      <c r="B67" s="10">
        <f t="shared" ref="B67:L67" si="821">(P67+AI67+BB67+BU67+CL67+DE67+DX67)/7</f>
        <v>240503.42857142858</v>
      </c>
      <c r="C67" s="10">
        <f t="shared" si="821"/>
        <v>204811.71428571429</v>
      </c>
      <c r="D67" s="10">
        <f t="shared" si="821"/>
        <v>192981.57142857142</v>
      </c>
      <c r="E67" s="10">
        <f t="shared" si="821"/>
        <v>155637.85714285713</v>
      </c>
      <c r="F67" s="10">
        <f t="shared" si="821"/>
        <v>156690.14285714287</v>
      </c>
      <c r="G67" s="10">
        <f t="shared" si="821"/>
        <v>150029.28571428571</v>
      </c>
      <c r="H67" s="10">
        <f t="shared" si="821"/>
        <v>116178.71428571429</v>
      </c>
      <c r="I67" s="10">
        <f t="shared" si="821"/>
        <v>99744.571428571435</v>
      </c>
      <c r="J67" s="10">
        <f t="shared" si="821"/>
        <v>93861.428571428565</v>
      </c>
      <c r="K67" s="10">
        <f t="shared" si="821"/>
        <v>91171.571428571435</v>
      </c>
      <c r="L67" s="10">
        <f t="shared" si="821"/>
        <v>88647.428571428565</v>
      </c>
      <c r="N67" s="11" t="s">
        <v>143</v>
      </c>
      <c r="P67" s="10">
        <v>193919</v>
      </c>
      <c r="Q67" s="10">
        <v>169505</v>
      </c>
      <c r="R67" s="10">
        <f>233436-75736</f>
        <v>157700</v>
      </c>
      <c r="S67" s="10">
        <v>132065</v>
      </c>
      <c r="T67" s="10">
        <v>131672</v>
      </c>
      <c r="U67" s="10">
        <v>180960</v>
      </c>
      <c r="V67" s="10">
        <v>141970</v>
      </c>
      <c r="W67" s="10">
        <v>114809</v>
      </c>
      <c r="X67" s="10">
        <v>92879</v>
      </c>
      <c r="Y67" s="10">
        <v>101299</v>
      </c>
      <c r="Z67" s="10">
        <v>117457</v>
      </c>
      <c r="AA67" s="10">
        <v>27242</v>
      </c>
      <c r="AB67" s="10">
        <v>109168</v>
      </c>
      <c r="AC67" s="10">
        <v>65281</v>
      </c>
      <c r="AD67" s="10">
        <f>221908-143389</f>
        <v>78519</v>
      </c>
      <c r="AE67" s="86" t="s">
        <v>92</v>
      </c>
      <c r="AG67" s="11" t="s">
        <v>30</v>
      </c>
      <c r="AI67" s="10">
        <v>76781</v>
      </c>
      <c r="AJ67" s="10">
        <v>61735</v>
      </c>
      <c r="AK67" s="10">
        <v>64569</v>
      </c>
      <c r="AL67" s="10">
        <v>-55623</v>
      </c>
      <c r="AM67" s="10">
        <v>58895</v>
      </c>
      <c r="AN67" s="10">
        <v>53703</v>
      </c>
      <c r="AO67" s="10">
        <v>58692</v>
      </c>
      <c r="AP67" s="10">
        <v>60538</v>
      </c>
      <c r="AQ67" s="10">
        <v>59855</v>
      </c>
      <c r="AR67" s="10">
        <v>63898</v>
      </c>
      <c r="AS67" s="10">
        <v>72667</v>
      </c>
      <c r="AT67" s="10">
        <v>75122</v>
      </c>
      <c r="AU67" s="10">
        <v>69525</v>
      </c>
      <c r="AV67" s="10">
        <v>74497</v>
      </c>
      <c r="AW67" s="10">
        <v>63415</v>
      </c>
      <c r="AX67" s="10"/>
      <c r="AZ67" s="11" t="s">
        <v>135</v>
      </c>
      <c r="BB67" s="10">
        <v>601443</v>
      </c>
      <c r="BC67" s="10">
        <v>511406</v>
      </c>
      <c r="BD67" s="10">
        <f>603064-158782</f>
        <v>444282</v>
      </c>
      <c r="BE67" s="10">
        <v>396421</v>
      </c>
      <c r="BF67" s="10">
        <v>350104</v>
      </c>
      <c r="BG67" s="10">
        <v>315075</v>
      </c>
      <c r="BH67" s="10">
        <v>289817</v>
      </c>
      <c r="BI67" s="10">
        <v>243194</v>
      </c>
      <c r="BJ67" s="10">
        <v>216717</v>
      </c>
      <c r="BK67" s="10">
        <v>207601</v>
      </c>
      <c r="BL67" s="10">
        <v>205839</v>
      </c>
      <c r="BM67" s="10">
        <v>190978</v>
      </c>
      <c r="BN67" s="10">
        <v>180331</v>
      </c>
      <c r="BO67" s="10">
        <v>168492</v>
      </c>
      <c r="BP67" s="10">
        <v>147737</v>
      </c>
      <c r="BQ67" s="10"/>
      <c r="BS67" s="11" t="s">
        <v>30</v>
      </c>
      <c r="BU67" s="10">
        <v>196412</v>
      </c>
      <c r="BV67" s="10">
        <v>186749</v>
      </c>
      <c r="BW67" s="10">
        <v>172234</v>
      </c>
      <c r="BX67" s="10">
        <v>162995</v>
      </c>
      <c r="BY67" s="10">
        <v>140095</v>
      </c>
      <c r="BZ67" s="10">
        <v>119030</v>
      </c>
      <c r="CA67" s="10">
        <v>0</v>
      </c>
      <c r="CB67" s="10">
        <v>0</v>
      </c>
      <c r="CC67" s="10">
        <v>0</v>
      </c>
      <c r="CD67" s="10">
        <v>0</v>
      </c>
      <c r="CE67" s="10">
        <v>0</v>
      </c>
      <c r="CF67" s="10">
        <v>0</v>
      </c>
      <c r="CG67" s="10">
        <v>0</v>
      </c>
      <c r="CJ67" s="11" t="s">
        <v>30</v>
      </c>
      <c r="CL67" s="10">
        <v>238985</v>
      </c>
      <c r="CM67" s="10">
        <v>216647</v>
      </c>
      <c r="CN67" s="10">
        <v>181652</v>
      </c>
      <c r="CO67" s="10">
        <v>193942</v>
      </c>
      <c r="CP67" s="10">
        <v>153055</v>
      </c>
      <c r="CQ67" s="10">
        <v>139430</v>
      </c>
      <c r="CR67" s="10">
        <v>141126</v>
      </c>
      <c r="CS67" s="10">
        <v>145320</v>
      </c>
      <c r="CT67" s="10">
        <v>133331</v>
      </c>
      <c r="CU67" s="10">
        <v>112287</v>
      </c>
      <c r="CV67" s="10">
        <v>103877</v>
      </c>
      <c r="CW67" s="10">
        <v>87482</v>
      </c>
      <c r="CX67" s="10">
        <v>60973</v>
      </c>
      <c r="CY67" s="10">
        <v>83246</v>
      </c>
      <c r="CZ67" s="10">
        <v>83860</v>
      </c>
      <c r="DA67" s="10"/>
      <c r="DC67" s="11" t="s">
        <v>147</v>
      </c>
      <c r="DE67" s="10">
        <v>218900</v>
      </c>
      <c r="DF67" s="10">
        <v>184600</v>
      </c>
      <c r="DG67" s="10">
        <v>214200</v>
      </c>
      <c r="DH67" s="10">
        <v>161600</v>
      </c>
      <c r="DI67" s="10">
        <v>144200</v>
      </c>
      <c r="DJ67" s="10">
        <v>136900</v>
      </c>
      <c r="DK67" s="10">
        <v>84600</v>
      </c>
      <c r="DL67" s="10">
        <v>52758</v>
      </c>
      <c r="DM67" s="10">
        <v>62640</v>
      </c>
      <c r="DN67" s="10">
        <v>63825</v>
      </c>
      <c r="DO67" s="10">
        <v>54040</v>
      </c>
      <c r="DP67" s="10">
        <v>64247</v>
      </c>
      <c r="DQ67" s="10">
        <v>77922</v>
      </c>
      <c r="DR67" s="10">
        <v>49771</v>
      </c>
      <c r="DS67" s="10">
        <v>48989</v>
      </c>
      <c r="DT67" s="10"/>
      <c r="DV67" s="11" t="s">
        <v>133</v>
      </c>
      <c r="DX67" s="10">
        <v>157084</v>
      </c>
      <c r="DY67" s="10">
        <v>103040</v>
      </c>
      <c r="DZ67" s="10">
        <v>116234</v>
      </c>
      <c r="EA67" s="10">
        <v>98065</v>
      </c>
      <c r="EB67" s="10">
        <v>118810</v>
      </c>
      <c r="EC67" s="10">
        <v>105107</v>
      </c>
      <c r="ED67" s="10">
        <v>97046</v>
      </c>
      <c r="EE67" s="10">
        <v>81593</v>
      </c>
      <c r="EF67" s="10">
        <v>91608</v>
      </c>
      <c r="EG67" s="10">
        <v>89291</v>
      </c>
      <c r="EH67" s="10">
        <v>66652</v>
      </c>
      <c r="EI67" s="10">
        <v>58105</v>
      </c>
      <c r="EJ67" s="10">
        <v>76931</v>
      </c>
      <c r="EK67" s="10">
        <v>62268</v>
      </c>
      <c r="EL67" s="10">
        <v>71432</v>
      </c>
      <c r="EM67" s="90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</row>
    <row r="68" spans="1:164" x14ac:dyDescent="0.25">
      <c r="A68" s="49" t="s">
        <v>42</v>
      </c>
      <c r="B68" s="10">
        <f t="shared" ref="B68:C69" si="822">(P68+AI68+BB68+BU68+CL68+DE68+DX68)/7</f>
        <v>221180</v>
      </c>
      <c r="C68" s="10">
        <f t="shared" si="822"/>
        <v>196199.85714285713</v>
      </c>
      <c r="D68" s="10">
        <f t="shared" ref="D68:L69" si="823">(R68+AK68+BD68+BW68+CN68+DG68+DZ68)/7</f>
        <v>177507.42857142858</v>
      </c>
      <c r="E68" s="10">
        <f t="shared" si="823"/>
        <v>166109.71428571429</v>
      </c>
      <c r="F68" s="10">
        <f t="shared" si="823"/>
        <v>160532.42857142858</v>
      </c>
      <c r="G68" s="10">
        <f t="shared" si="823"/>
        <v>148870.57142857142</v>
      </c>
      <c r="H68" s="10">
        <f t="shared" si="823"/>
        <v>114394.28571428571</v>
      </c>
      <c r="I68" s="10">
        <f t="shared" si="823"/>
        <v>101590.42857142857</v>
      </c>
      <c r="J68" s="10">
        <f t="shared" si="823"/>
        <v>97229</v>
      </c>
      <c r="K68" s="10">
        <f t="shared" si="823"/>
        <v>89478.71428571429</v>
      </c>
      <c r="L68" s="10">
        <f t="shared" si="823"/>
        <v>84048.71428571429</v>
      </c>
      <c r="N68" s="49" t="s">
        <v>42</v>
      </c>
      <c r="P68" s="10">
        <f t="shared" ref="P68:U68" si="824">P57</f>
        <v>119894</v>
      </c>
      <c r="Q68" s="10">
        <f t="shared" si="824"/>
        <v>91730</v>
      </c>
      <c r="R68" s="10">
        <f t="shared" si="824"/>
        <v>85701</v>
      </c>
      <c r="S68" s="10">
        <f t="shared" si="824"/>
        <v>81841</v>
      </c>
      <c r="T68" s="10">
        <f t="shared" si="824"/>
        <v>72748</v>
      </c>
      <c r="U68" s="10">
        <f t="shared" si="824"/>
        <v>61399</v>
      </c>
      <c r="V68" s="10">
        <f t="shared" ref="V68:AD68" si="825">V57</f>
        <v>52742</v>
      </c>
      <c r="W68" s="10">
        <f t="shared" si="825"/>
        <v>47310</v>
      </c>
      <c r="X68" s="10">
        <f t="shared" si="825"/>
        <v>41643</v>
      </c>
      <c r="Y68" s="10">
        <f t="shared" si="825"/>
        <v>35200</v>
      </c>
      <c r="Z68" s="10">
        <f t="shared" si="825"/>
        <v>33192</v>
      </c>
      <c r="AA68" s="10">
        <f t="shared" si="825"/>
        <v>31142</v>
      </c>
      <c r="AB68" s="10">
        <f t="shared" si="825"/>
        <v>39367</v>
      </c>
      <c r="AC68" s="10">
        <f t="shared" si="825"/>
        <v>36536</v>
      </c>
      <c r="AD68" s="10">
        <f t="shared" si="825"/>
        <v>35054</v>
      </c>
      <c r="AE68" s="86" t="s">
        <v>53</v>
      </c>
      <c r="AG68" s="49" t="s">
        <v>42</v>
      </c>
      <c r="AI68" s="10">
        <f>AI57</f>
        <v>103683</v>
      </c>
      <c r="AJ68" s="10">
        <f>AJ57</f>
        <v>91496</v>
      </c>
      <c r="AK68" s="10">
        <f>AK57</f>
        <v>85156</v>
      </c>
      <c r="AL68" s="10">
        <f>AL57</f>
        <v>81053</v>
      </c>
      <c r="AM68" s="10">
        <v>77604</v>
      </c>
      <c r="AN68" s="10">
        <f>AN57</f>
        <v>80923</v>
      </c>
      <c r="AO68" s="10">
        <f t="shared" ref="AO68:AW68" si="826">AO57</f>
        <v>79193</v>
      </c>
      <c r="AP68" s="10">
        <f t="shared" si="826"/>
        <v>75905</v>
      </c>
      <c r="AQ68" s="10">
        <f t="shared" si="826"/>
        <v>73017</v>
      </c>
      <c r="AR68" s="10">
        <f t="shared" si="826"/>
        <v>70004</v>
      </c>
      <c r="AS68" s="10">
        <f t="shared" si="826"/>
        <v>65124</v>
      </c>
      <c r="AT68" s="10">
        <f t="shared" si="826"/>
        <v>62814</v>
      </c>
      <c r="AU68" s="10">
        <f t="shared" si="826"/>
        <v>72159</v>
      </c>
      <c r="AV68" s="10">
        <f t="shared" si="826"/>
        <v>68343</v>
      </c>
      <c r="AW68" s="10">
        <f t="shared" si="826"/>
        <v>64435</v>
      </c>
      <c r="AZ68" s="49" t="s">
        <v>42</v>
      </c>
      <c r="BB68" s="10">
        <f t="shared" ref="BB68:BG68" si="827">BB57</f>
        <v>429828</v>
      </c>
      <c r="BC68" s="10">
        <f t="shared" si="827"/>
        <v>391456</v>
      </c>
      <c r="BD68" s="10">
        <f t="shared" si="827"/>
        <v>361083</v>
      </c>
      <c r="BE68" s="10">
        <f t="shared" si="827"/>
        <v>319448</v>
      </c>
      <c r="BF68" s="10">
        <f t="shared" si="827"/>
        <v>293096</v>
      </c>
      <c r="BG68" s="10">
        <f t="shared" si="827"/>
        <v>274796</v>
      </c>
      <c r="BH68" s="10">
        <f t="shared" ref="BH68:BP68" si="828">BH57</f>
        <v>253987</v>
      </c>
      <c r="BI68" s="10">
        <f t="shared" si="828"/>
        <v>236928</v>
      </c>
      <c r="BJ68" s="10">
        <f t="shared" si="828"/>
        <v>246093</v>
      </c>
      <c r="BK68" s="10">
        <f t="shared" si="828"/>
        <v>233155</v>
      </c>
      <c r="BL68" s="10">
        <f t="shared" si="828"/>
        <v>216960</v>
      </c>
      <c r="BM68" s="10">
        <f t="shared" si="828"/>
        <v>217208</v>
      </c>
      <c r="BN68" s="10">
        <f t="shared" si="828"/>
        <v>200442</v>
      </c>
      <c r="BO68" s="10">
        <f t="shared" si="828"/>
        <v>198863</v>
      </c>
      <c r="BP68" s="10">
        <f t="shared" si="828"/>
        <v>185596</v>
      </c>
      <c r="BS68" s="49" t="s">
        <v>42</v>
      </c>
      <c r="BU68" s="10">
        <f t="shared" ref="BU68" si="829">BU57</f>
        <v>194881</v>
      </c>
      <c r="BV68" s="10">
        <f t="shared" ref="BV68:CG68" si="830">BV57</f>
        <v>180395</v>
      </c>
      <c r="BW68" s="10">
        <f t="shared" si="830"/>
        <v>160086</v>
      </c>
      <c r="BX68" s="10">
        <f t="shared" si="830"/>
        <v>151889</v>
      </c>
      <c r="BY68" s="10">
        <f t="shared" si="830"/>
        <v>143829</v>
      </c>
      <c r="BZ68" s="10">
        <f t="shared" si="830"/>
        <v>133023</v>
      </c>
      <c r="CA68" s="10">
        <f t="shared" si="830"/>
        <v>0</v>
      </c>
      <c r="CB68" s="10">
        <f t="shared" si="830"/>
        <v>0</v>
      </c>
      <c r="CC68" s="10">
        <f t="shared" si="830"/>
        <v>0</v>
      </c>
      <c r="CD68" s="10">
        <f t="shared" si="830"/>
        <v>0</v>
      </c>
      <c r="CE68" s="10">
        <f t="shared" si="830"/>
        <v>0</v>
      </c>
      <c r="CF68" s="10">
        <f t="shared" si="830"/>
        <v>0</v>
      </c>
      <c r="CG68" s="10">
        <f t="shared" si="830"/>
        <v>0</v>
      </c>
      <c r="CJ68" s="49" t="s">
        <v>42</v>
      </c>
      <c r="CL68" s="10">
        <f t="shared" ref="CL68:CQ68" si="831">CL57</f>
        <v>332027</v>
      </c>
      <c r="CM68" s="10">
        <f t="shared" si="831"/>
        <v>303237</v>
      </c>
      <c r="CN68" s="10">
        <f t="shared" si="831"/>
        <v>249212</v>
      </c>
      <c r="CO68" s="10">
        <f t="shared" si="831"/>
        <v>250951</v>
      </c>
      <c r="CP68" s="10">
        <f t="shared" si="831"/>
        <v>289132</v>
      </c>
      <c r="CQ68" s="10">
        <f t="shared" si="831"/>
        <v>270111</v>
      </c>
      <c r="CR68" s="10">
        <f t="shared" ref="CR68:CZ68" si="832">CR57</f>
        <v>253027</v>
      </c>
      <c r="CS68" s="10">
        <f t="shared" si="832"/>
        <v>236817</v>
      </c>
      <c r="CT68" s="10">
        <f t="shared" si="832"/>
        <v>223422</v>
      </c>
      <c r="CU68" s="10">
        <f t="shared" si="832"/>
        <v>200469</v>
      </c>
      <c r="CV68" s="10">
        <f t="shared" si="832"/>
        <v>190463</v>
      </c>
      <c r="CW68" s="10">
        <f t="shared" si="832"/>
        <v>190082</v>
      </c>
      <c r="CX68" s="10">
        <f t="shared" si="832"/>
        <v>193719</v>
      </c>
      <c r="CY68" s="10">
        <f t="shared" si="832"/>
        <v>182514</v>
      </c>
      <c r="CZ68" s="10">
        <f t="shared" si="832"/>
        <v>168964</v>
      </c>
      <c r="DC68" s="49" t="s">
        <v>42</v>
      </c>
      <c r="DE68" s="10">
        <f t="shared" ref="DE68:DJ68" si="833">DE57</f>
        <v>197300</v>
      </c>
      <c r="DF68" s="10">
        <f t="shared" si="833"/>
        <v>181700</v>
      </c>
      <c r="DG68" s="10">
        <f t="shared" si="833"/>
        <v>168400</v>
      </c>
      <c r="DH68" s="10">
        <f t="shared" si="833"/>
        <v>154100</v>
      </c>
      <c r="DI68" s="10">
        <f t="shared" si="833"/>
        <v>137500</v>
      </c>
      <c r="DJ68" s="10">
        <f t="shared" si="833"/>
        <v>130800</v>
      </c>
      <c r="DK68" s="10">
        <f t="shared" ref="DK68:DS68" si="834">DK57</f>
        <v>83300</v>
      </c>
      <c r="DL68" s="10">
        <f t="shared" si="834"/>
        <v>49283</v>
      </c>
      <c r="DM68" s="10">
        <f t="shared" si="834"/>
        <v>41339</v>
      </c>
      <c r="DN68" s="10">
        <f t="shared" si="834"/>
        <v>39764</v>
      </c>
      <c r="DO68" s="10">
        <f t="shared" si="834"/>
        <v>37908</v>
      </c>
      <c r="DP68" s="10">
        <f t="shared" si="834"/>
        <v>37041</v>
      </c>
      <c r="DQ68" s="10">
        <f t="shared" si="834"/>
        <v>36913</v>
      </c>
      <c r="DR68" s="10">
        <f t="shared" si="834"/>
        <v>38308</v>
      </c>
      <c r="DS68" s="10">
        <f t="shared" si="834"/>
        <v>34943</v>
      </c>
      <c r="DV68" s="49" t="s">
        <v>42</v>
      </c>
      <c r="DX68" s="10">
        <f t="shared" ref="DX68:EC68" si="835">DX57</f>
        <v>170647</v>
      </c>
      <c r="DY68" s="10">
        <f t="shared" si="835"/>
        <v>133385</v>
      </c>
      <c r="DZ68" s="10">
        <f t="shared" si="835"/>
        <v>132914</v>
      </c>
      <c r="EA68" s="10">
        <f t="shared" si="835"/>
        <v>123486</v>
      </c>
      <c r="EB68" s="10">
        <f t="shared" si="835"/>
        <v>109818</v>
      </c>
      <c r="EC68" s="10">
        <f t="shared" si="835"/>
        <v>91042</v>
      </c>
      <c r="ED68" s="10">
        <f t="shared" ref="ED68" si="836">ED57</f>
        <v>78511</v>
      </c>
      <c r="EE68" s="10">
        <f t="shared" ref="EE68:EL68" si="837">EE57</f>
        <v>64890</v>
      </c>
      <c r="EF68" s="10">
        <f t="shared" si="837"/>
        <v>55089</v>
      </c>
      <c r="EG68" s="10">
        <f t="shared" si="837"/>
        <v>47759</v>
      </c>
      <c r="EH68" s="10">
        <f t="shared" si="837"/>
        <v>44694</v>
      </c>
      <c r="EI68" s="10">
        <f t="shared" si="837"/>
        <v>39447</v>
      </c>
      <c r="EJ68" s="10">
        <f t="shared" si="837"/>
        <v>35665</v>
      </c>
      <c r="EK68" s="10">
        <f t="shared" si="837"/>
        <v>32865</v>
      </c>
      <c r="EL68" s="10">
        <f t="shared" si="837"/>
        <v>30834</v>
      </c>
      <c r="EO68" s="47" t="s">
        <v>29</v>
      </c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</row>
    <row r="69" spans="1:164" x14ac:dyDescent="0.25">
      <c r="A69" s="49" t="s">
        <v>43</v>
      </c>
      <c r="B69" s="10">
        <f t="shared" si="822"/>
        <v>37848.571428571428</v>
      </c>
      <c r="C69" s="10">
        <f t="shared" si="822"/>
        <v>28588.571428571428</v>
      </c>
      <c r="D69" s="10">
        <f t="shared" si="823"/>
        <v>39170.285714285717</v>
      </c>
      <c r="E69" s="10">
        <f t="shared" si="823"/>
        <v>93750.71428571429</v>
      </c>
      <c r="F69" s="10">
        <f t="shared" si="823"/>
        <v>76206</v>
      </c>
      <c r="G69" s="10">
        <f t="shared" si="823"/>
        <v>63961</v>
      </c>
      <c r="H69" s="10">
        <f t="shared" si="823"/>
        <v>47217.714285714283</v>
      </c>
      <c r="I69" s="10">
        <f t="shared" si="823"/>
        <v>42576.714285714283</v>
      </c>
      <c r="J69" s="10">
        <f t="shared" si="823"/>
        <v>36988</v>
      </c>
      <c r="K69" s="10">
        <f t="shared" si="823"/>
        <v>43274.142857142855</v>
      </c>
      <c r="L69" s="10">
        <f t="shared" si="823"/>
        <v>64766</v>
      </c>
      <c r="N69" s="49" t="s">
        <v>43</v>
      </c>
      <c r="P69" s="10">
        <v>-9092</v>
      </c>
      <c r="Q69" s="10">
        <v>-59013</v>
      </c>
      <c r="R69" s="10">
        <v>15590</v>
      </c>
      <c r="S69" s="10">
        <v>41442</v>
      </c>
      <c r="T69" s="10">
        <v>27721</v>
      </c>
      <c r="U69" s="10">
        <v>45934</v>
      </c>
      <c r="V69" s="10">
        <v>18421</v>
      </c>
      <c r="W69" s="10">
        <v>41075</v>
      </c>
      <c r="X69" s="10">
        <v>-5323</v>
      </c>
      <c r="Y69" s="10">
        <v>35034</v>
      </c>
      <c r="Z69" s="10">
        <v>68458</v>
      </c>
      <c r="AA69" s="10">
        <v>-31435</v>
      </c>
      <c r="AB69" s="10">
        <v>13715</v>
      </c>
      <c r="AC69" s="10">
        <v>17762</v>
      </c>
      <c r="AD69" s="10">
        <v>-11896</v>
      </c>
      <c r="AE69" s="86" t="s">
        <v>54</v>
      </c>
      <c r="AG69" s="49" t="s">
        <v>131</v>
      </c>
      <c r="AI69" s="10">
        <v>18667</v>
      </c>
      <c r="AJ69" s="10">
        <v>6317</v>
      </c>
      <c r="AK69" s="10">
        <v>14356</v>
      </c>
      <c r="AL69" s="10">
        <f>-52414+197180</f>
        <v>144766</v>
      </c>
      <c r="AM69" s="10">
        <v>32056</v>
      </c>
      <c r="AN69" s="10">
        <v>26972</v>
      </c>
      <c r="AO69" s="10">
        <v>24772</v>
      </c>
      <c r="AP69" s="10">
        <v>46483</v>
      </c>
      <c r="AQ69" s="10">
        <v>42780</v>
      </c>
      <c r="AR69" s="10">
        <v>46877</v>
      </c>
      <c r="AS69" s="10">
        <v>76410</v>
      </c>
      <c r="AT69" s="10">
        <v>36775</v>
      </c>
      <c r="AU69" s="10">
        <v>50192</v>
      </c>
      <c r="AV69" s="10">
        <v>-5252</v>
      </c>
      <c r="AW69" s="10">
        <v>-16440</v>
      </c>
      <c r="AX69" s="10"/>
      <c r="AZ69" s="49" t="s">
        <v>43</v>
      </c>
      <c r="BB69" s="10">
        <v>155322</v>
      </c>
      <c r="BC69" s="10">
        <v>132004</v>
      </c>
      <c r="BD69" s="10">
        <v>158271</v>
      </c>
      <c r="BE69" s="10">
        <v>227183</v>
      </c>
      <c r="BF69" s="10">
        <v>193556</v>
      </c>
      <c r="BG69" s="10">
        <v>192886</v>
      </c>
      <c r="BH69" s="10">
        <v>189952</v>
      </c>
      <c r="BI69" s="10">
        <v>141336</v>
      </c>
      <c r="BJ69" s="10">
        <v>104319</v>
      </c>
      <c r="BK69" s="10">
        <v>117353</v>
      </c>
      <c r="BL69" s="10">
        <v>196731</v>
      </c>
      <c r="BM69" s="10">
        <v>129759</v>
      </c>
      <c r="BN69" s="10">
        <v>97940</v>
      </c>
      <c r="BO69" s="10">
        <v>62121</v>
      </c>
      <c r="BP69" s="10">
        <v>86178</v>
      </c>
      <c r="BQ69" s="10"/>
      <c r="BS69" s="49" t="s">
        <v>43</v>
      </c>
      <c r="BU69" s="10">
        <v>18485</v>
      </c>
      <c r="BV69" s="10">
        <v>13307</v>
      </c>
      <c r="BW69" s="10">
        <v>53242</v>
      </c>
      <c r="BX69" s="10">
        <v>92393</v>
      </c>
      <c r="BY69" s="10">
        <v>86788</v>
      </c>
      <c r="BZ69" s="10">
        <v>63789</v>
      </c>
      <c r="CA69" s="10">
        <v>0</v>
      </c>
      <c r="CB69" s="10">
        <v>0</v>
      </c>
      <c r="CC69" s="10">
        <v>0</v>
      </c>
      <c r="CD69" s="10">
        <v>0</v>
      </c>
      <c r="CE69" s="10">
        <v>0</v>
      </c>
      <c r="CF69" s="10">
        <v>0</v>
      </c>
      <c r="CG69" s="10">
        <v>0</v>
      </c>
      <c r="CJ69" s="49" t="s">
        <v>43</v>
      </c>
      <c r="CL69" s="10">
        <v>50717</v>
      </c>
      <c r="CM69" s="10">
        <v>54162</v>
      </c>
      <c r="CN69" s="10">
        <v>51041</v>
      </c>
      <c r="CO69" s="10">
        <v>63389</v>
      </c>
      <c r="CP69" s="10">
        <v>68732</v>
      </c>
      <c r="CQ69" s="10">
        <v>48785</v>
      </c>
      <c r="CR69" s="10">
        <v>64309</v>
      </c>
      <c r="CS69" s="10">
        <v>68639</v>
      </c>
      <c r="CT69" s="10">
        <v>66280</v>
      </c>
      <c r="CU69" s="10">
        <v>56467</v>
      </c>
      <c r="CV69" s="10">
        <v>50111</v>
      </c>
      <c r="CW69" s="10">
        <v>42798</v>
      </c>
      <c r="CX69" s="10">
        <v>36135</v>
      </c>
      <c r="CY69" s="10">
        <v>16068</v>
      </c>
      <c r="CZ69" s="10">
        <v>3909</v>
      </c>
      <c r="DA69" s="10"/>
      <c r="DC69" s="49" t="s">
        <v>43</v>
      </c>
      <c r="DE69" s="10">
        <v>9000</v>
      </c>
      <c r="DF69" s="10">
        <v>31800</v>
      </c>
      <c r="DG69" s="10">
        <v>-28700</v>
      </c>
      <c r="DH69" s="10">
        <v>77000</v>
      </c>
      <c r="DI69" s="10">
        <v>68800</v>
      </c>
      <c r="DJ69" s="10">
        <v>65500</v>
      </c>
      <c r="DK69" s="10">
        <v>31400</v>
      </c>
      <c r="DL69" s="10">
        <v>22053</v>
      </c>
      <c r="DM69" s="10">
        <v>30554</v>
      </c>
      <c r="DN69" s="10">
        <v>23885</v>
      </c>
      <c r="DO69" s="10">
        <v>32757</v>
      </c>
      <c r="DP69" s="10">
        <v>17937</v>
      </c>
      <c r="DQ69" s="10">
        <v>5786</v>
      </c>
      <c r="DR69" s="10">
        <v>-16144</v>
      </c>
      <c r="DS69" s="10">
        <v>30822</v>
      </c>
      <c r="DT69" s="10"/>
      <c r="DV69" s="49" t="s">
        <v>43</v>
      </c>
      <c r="DX69" s="10">
        <v>21841</v>
      </c>
      <c r="DY69" s="10">
        <v>21543</v>
      </c>
      <c r="DZ69" s="10">
        <v>10392</v>
      </c>
      <c r="EA69" s="10">
        <v>10082</v>
      </c>
      <c r="EB69" s="10">
        <v>55789</v>
      </c>
      <c r="EC69" s="10">
        <v>3861</v>
      </c>
      <c r="ED69" s="10">
        <v>1670</v>
      </c>
      <c r="EE69" s="10">
        <v>-21549</v>
      </c>
      <c r="EF69" s="10">
        <v>20306</v>
      </c>
      <c r="EG69" s="10">
        <v>23303</v>
      </c>
      <c r="EH69" s="10">
        <v>28895</v>
      </c>
      <c r="EI69" s="10">
        <v>21917</v>
      </c>
      <c r="EJ69" s="10">
        <v>23014</v>
      </c>
      <c r="EK69" s="10">
        <v>12030</v>
      </c>
      <c r="EL69" s="10">
        <v>21829</v>
      </c>
      <c r="EM69" s="10"/>
      <c r="EO69" s="2" t="s">
        <v>168</v>
      </c>
      <c r="EP69" s="53">
        <v>11578</v>
      </c>
      <c r="EQ69" s="53">
        <v>15352</v>
      </c>
      <c r="ER69" s="53">
        <v>17847.108</v>
      </c>
      <c r="ES69" s="53">
        <v>12681.243</v>
      </c>
      <c r="ET69" s="53">
        <v>9881.2579999999998</v>
      </c>
      <c r="EU69" s="53">
        <v>11121.651</v>
      </c>
      <c r="EX69" s="9"/>
      <c r="EY69" s="9"/>
      <c r="EZ69" s="9"/>
      <c r="FA69" s="9"/>
      <c r="FB69" s="9"/>
      <c r="FC69" s="9"/>
      <c r="FD69" s="9"/>
      <c r="FE69" s="1"/>
      <c r="FF69" s="36"/>
      <c r="FG69" s="1"/>
      <c r="FH69" s="1"/>
    </row>
    <row r="70" spans="1:164" x14ac:dyDescent="0.25">
      <c r="A70" s="2" t="s">
        <v>32</v>
      </c>
      <c r="B70" s="53">
        <f>B67+B68+B69</f>
        <v>499532</v>
      </c>
      <c r="C70" s="53">
        <f>C67+C68+C69</f>
        <v>429600.14285714284</v>
      </c>
      <c r="D70" s="53">
        <f t="shared" ref="D70:L70" si="838">D67+D68+D69</f>
        <v>409659.28571428574</v>
      </c>
      <c r="E70" s="53">
        <f t="shared" si="838"/>
        <v>415498.28571428568</v>
      </c>
      <c r="F70" s="53">
        <f t="shared" si="838"/>
        <v>393428.57142857148</v>
      </c>
      <c r="G70" s="53">
        <f t="shared" si="838"/>
        <v>362860.85714285716</v>
      </c>
      <c r="H70" s="53">
        <f t="shared" si="838"/>
        <v>277790.71428571426</v>
      </c>
      <c r="I70" s="53">
        <f t="shared" si="838"/>
        <v>243911.71428571429</v>
      </c>
      <c r="J70" s="53">
        <f t="shared" si="838"/>
        <v>228078.42857142858</v>
      </c>
      <c r="K70" s="53">
        <f t="shared" si="838"/>
        <v>223924.42857142858</v>
      </c>
      <c r="L70" s="53">
        <f t="shared" si="838"/>
        <v>237462.14285714284</v>
      </c>
      <c r="N70" s="2" t="s">
        <v>32</v>
      </c>
      <c r="O70" s="2"/>
      <c r="P70" s="53">
        <f t="shared" ref="P70:Q70" si="839">P67+P68+P69</f>
        <v>304721</v>
      </c>
      <c r="Q70" s="53">
        <f t="shared" si="839"/>
        <v>202222</v>
      </c>
      <c r="R70" s="53">
        <f t="shared" ref="R70:S70" si="840">R67+R68+R69</f>
        <v>258991</v>
      </c>
      <c r="S70" s="53">
        <f t="shared" si="840"/>
        <v>255348</v>
      </c>
      <c r="T70" s="53">
        <f t="shared" ref="T70" si="841">T67+T68+T69</f>
        <v>232141</v>
      </c>
      <c r="U70" s="53">
        <f t="shared" ref="U70" si="842">U67+U68+U69</f>
        <v>288293</v>
      </c>
      <c r="V70" s="53">
        <f t="shared" ref="V70:AD70" si="843">V67+V68+V69</f>
        <v>213133</v>
      </c>
      <c r="W70" s="53">
        <f t="shared" si="843"/>
        <v>203194</v>
      </c>
      <c r="X70" s="53">
        <f t="shared" si="843"/>
        <v>129199</v>
      </c>
      <c r="Y70" s="53">
        <f t="shared" si="843"/>
        <v>171533</v>
      </c>
      <c r="Z70" s="53">
        <f t="shared" si="843"/>
        <v>219107</v>
      </c>
      <c r="AA70" s="53">
        <f t="shared" si="843"/>
        <v>26949</v>
      </c>
      <c r="AB70" s="53">
        <f t="shared" si="843"/>
        <v>162250</v>
      </c>
      <c r="AC70" s="53">
        <f t="shared" si="843"/>
        <v>119579</v>
      </c>
      <c r="AD70" s="53">
        <f t="shared" si="843"/>
        <v>101677</v>
      </c>
      <c r="AE70" s="87"/>
      <c r="AG70" s="2" t="s">
        <v>32</v>
      </c>
      <c r="AH70" s="2"/>
      <c r="AI70" s="53">
        <f t="shared" ref="AI70:AJ70" si="844">AI67+AI68+AI69</f>
        <v>199131</v>
      </c>
      <c r="AJ70" s="53">
        <f t="shared" si="844"/>
        <v>159548</v>
      </c>
      <c r="AK70" s="53">
        <f t="shared" ref="AK70:AL70" si="845">AK67+AK68+AK69</f>
        <v>164081</v>
      </c>
      <c r="AL70" s="53">
        <f t="shared" si="845"/>
        <v>170196</v>
      </c>
      <c r="AM70" s="53">
        <f t="shared" ref="AM70:AN70" si="846">AM67+AM68+AM69</f>
        <v>168555</v>
      </c>
      <c r="AN70" s="53">
        <f t="shared" si="846"/>
        <v>161598</v>
      </c>
      <c r="AO70" s="53">
        <f t="shared" ref="AO70:AW70" si="847">AO67+AO68+AO69</f>
        <v>162657</v>
      </c>
      <c r="AP70" s="53">
        <f t="shared" si="847"/>
        <v>182926</v>
      </c>
      <c r="AQ70" s="53">
        <f t="shared" si="847"/>
        <v>175652</v>
      </c>
      <c r="AR70" s="53">
        <f t="shared" si="847"/>
        <v>180779</v>
      </c>
      <c r="AS70" s="53">
        <f t="shared" si="847"/>
        <v>214201</v>
      </c>
      <c r="AT70" s="53">
        <f t="shared" si="847"/>
        <v>174711</v>
      </c>
      <c r="AU70" s="53">
        <f t="shared" si="847"/>
        <v>191876</v>
      </c>
      <c r="AV70" s="53">
        <f t="shared" si="847"/>
        <v>137588</v>
      </c>
      <c r="AW70" s="53">
        <f t="shared" si="847"/>
        <v>111410</v>
      </c>
      <c r="AZ70" s="2" t="s">
        <v>32</v>
      </c>
      <c r="BA70" s="2"/>
      <c r="BB70" s="53">
        <f>BB67+BB68+BB69</f>
        <v>1186593</v>
      </c>
      <c r="BC70" s="53">
        <f>BC67+BC68+BC69</f>
        <v>1034866</v>
      </c>
      <c r="BD70" s="53">
        <f>BD67+BD68+BD69</f>
        <v>963636</v>
      </c>
      <c r="BE70" s="53">
        <f>BE67+BE68+BE69</f>
        <v>943052</v>
      </c>
      <c r="BF70" s="53">
        <f>BF67+BF68+BF69</f>
        <v>836756</v>
      </c>
      <c r="BG70" s="53">
        <f t="shared" ref="BG70" si="848">BG67+BG68+BG69</f>
        <v>782757</v>
      </c>
      <c r="BH70" s="53">
        <f t="shared" ref="BH70:BP70" si="849">BH67+BH68+BH69</f>
        <v>733756</v>
      </c>
      <c r="BI70" s="53">
        <f t="shared" si="849"/>
        <v>621458</v>
      </c>
      <c r="BJ70" s="53">
        <f t="shared" si="849"/>
        <v>567129</v>
      </c>
      <c r="BK70" s="53">
        <f t="shared" si="849"/>
        <v>558109</v>
      </c>
      <c r="BL70" s="53">
        <f t="shared" si="849"/>
        <v>619530</v>
      </c>
      <c r="BM70" s="53">
        <f t="shared" si="849"/>
        <v>537945</v>
      </c>
      <c r="BN70" s="53">
        <f>BN67+BN68+BN69</f>
        <v>478713</v>
      </c>
      <c r="BO70" s="53">
        <f t="shared" si="849"/>
        <v>429476</v>
      </c>
      <c r="BP70" s="53">
        <f t="shared" si="849"/>
        <v>419511</v>
      </c>
      <c r="BS70" s="2" t="s">
        <v>32</v>
      </c>
      <c r="BT70" s="2"/>
      <c r="BU70" s="53">
        <f t="shared" ref="BU70:BZ70" si="850">BU67+BU68+BU69</f>
        <v>409778</v>
      </c>
      <c r="BV70" s="53">
        <f t="shared" si="850"/>
        <v>380451</v>
      </c>
      <c r="BW70" s="53">
        <f t="shared" si="850"/>
        <v>385562</v>
      </c>
      <c r="BX70" s="53">
        <f t="shared" si="850"/>
        <v>407277</v>
      </c>
      <c r="BY70" s="53">
        <f t="shared" si="850"/>
        <v>370712</v>
      </c>
      <c r="BZ70" s="53">
        <f t="shared" si="850"/>
        <v>315842</v>
      </c>
      <c r="CA70" s="53">
        <f t="shared" ref="CA70:CG70" si="851">CA67+CA68+CA69</f>
        <v>0</v>
      </c>
      <c r="CB70" s="53">
        <f t="shared" si="851"/>
        <v>0</v>
      </c>
      <c r="CC70" s="53">
        <f t="shared" si="851"/>
        <v>0</v>
      </c>
      <c r="CD70" s="53">
        <f t="shared" si="851"/>
        <v>0</v>
      </c>
      <c r="CE70" s="53">
        <f t="shared" si="851"/>
        <v>0</v>
      </c>
      <c r="CF70" s="53">
        <f t="shared" si="851"/>
        <v>0</v>
      </c>
      <c r="CG70" s="53">
        <f t="shared" si="851"/>
        <v>0</v>
      </c>
      <c r="CJ70" s="2" t="s">
        <v>32</v>
      </c>
      <c r="CK70" s="2"/>
      <c r="CL70" s="53">
        <f t="shared" ref="CL70" si="852">CL67+CL68+CL69</f>
        <v>621729</v>
      </c>
      <c r="CM70" s="53">
        <f t="shared" ref="CM70" si="853">CM67+CM68+CM69</f>
        <v>574046</v>
      </c>
      <c r="CN70" s="53">
        <f t="shared" ref="CN70:CO70" si="854">CN67+CN68+CN69</f>
        <v>481905</v>
      </c>
      <c r="CO70" s="53">
        <f t="shared" si="854"/>
        <v>508282</v>
      </c>
      <c r="CP70" s="53">
        <f t="shared" ref="CP70:CQ70" si="855">CP67+CP68+CP69</f>
        <v>510919</v>
      </c>
      <c r="CQ70" s="53">
        <f t="shared" si="855"/>
        <v>458326</v>
      </c>
      <c r="CR70" s="53">
        <f t="shared" ref="CR70:CZ70" si="856">CR67+CR68+CR69</f>
        <v>458462</v>
      </c>
      <c r="CS70" s="53">
        <f t="shared" si="856"/>
        <v>450776</v>
      </c>
      <c r="CT70" s="53">
        <f t="shared" si="856"/>
        <v>423033</v>
      </c>
      <c r="CU70" s="53">
        <f t="shared" si="856"/>
        <v>369223</v>
      </c>
      <c r="CV70" s="53">
        <f t="shared" si="856"/>
        <v>344451</v>
      </c>
      <c r="CW70" s="53">
        <f t="shared" si="856"/>
        <v>320362</v>
      </c>
      <c r="CX70" s="53">
        <f t="shared" si="856"/>
        <v>290827</v>
      </c>
      <c r="CY70" s="53">
        <f t="shared" si="856"/>
        <v>281828</v>
      </c>
      <c r="CZ70" s="53">
        <f t="shared" si="856"/>
        <v>256733</v>
      </c>
      <c r="DC70" s="2" t="s">
        <v>32</v>
      </c>
      <c r="DD70" s="2"/>
      <c r="DE70" s="53">
        <f t="shared" ref="DE70:DF70" si="857">DE67+DE68+DE69</f>
        <v>425200</v>
      </c>
      <c r="DF70" s="53">
        <f t="shared" si="857"/>
        <v>398100</v>
      </c>
      <c r="DG70" s="53">
        <f t="shared" ref="DG70:DH70" si="858">DG67+DG68+DG69</f>
        <v>353900</v>
      </c>
      <c r="DH70" s="53">
        <f t="shared" si="858"/>
        <v>392700</v>
      </c>
      <c r="DI70" s="53">
        <f t="shared" ref="DI70:DJ70" si="859">DI67+DI68+DI69</f>
        <v>350500</v>
      </c>
      <c r="DJ70" s="53">
        <f t="shared" si="859"/>
        <v>333200</v>
      </c>
      <c r="DK70" s="53">
        <f t="shared" ref="DK70:DS70" si="860">DK67+DK68+DK69</f>
        <v>199300</v>
      </c>
      <c r="DL70" s="53">
        <f t="shared" si="860"/>
        <v>124094</v>
      </c>
      <c r="DM70" s="53">
        <f t="shared" si="860"/>
        <v>134533</v>
      </c>
      <c r="DN70" s="53">
        <f t="shared" si="860"/>
        <v>127474</v>
      </c>
      <c r="DO70" s="53">
        <f t="shared" si="860"/>
        <v>124705</v>
      </c>
      <c r="DP70" s="53">
        <f t="shared" si="860"/>
        <v>119225</v>
      </c>
      <c r="DQ70" s="53">
        <f t="shared" si="860"/>
        <v>120621</v>
      </c>
      <c r="DR70" s="53">
        <f t="shared" si="860"/>
        <v>71935</v>
      </c>
      <c r="DS70" s="53">
        <f t="shared" si="860"/>
        <v>114754</v>
      </c>
      <c r="DV70" s="2" t="s">
        <v>32</v>
      </c>
      <c r="DW70" s="2"/>
      <c r="DX70" s="53">
        <f>DX67+DX68+DX69</f>
        <v>349572</v>
      </c>
      <c r="DY70" s="53">
        <f>DY67+DY68+DY69</f>
        <v>257968</v>
      </c>
      <c r="DZ70" s="53">
        <f>DZ67+DZ68+DZ69</f>
        <v>259540</v>
      </c>
      <c r="EA70" s="53">
        <f>EA67+EA68+EA69</f>
        <v>231633</v>
      </c>
      <c r="EB70" s="53">
        <f>EB67+EB68+EB69</f>
        <v>284417</v>
      </c>
      <c r="EC70" s="53">
        <f t="shared" ref="EC70" si="861">EC67+EC68+EC69</f>
        <v>200010</v>
      </c>
      <c r="ED70" s="53">
        <f t="shared" ref="ED70:EL70" si="862">ED67+ED68+ED69</f>
        <v>177227</v>
      </c>
      <c r="EE70" s="53">
        <f t="shared" si="862"/>
        <v>124934</v>
      </c>
      <c r="EF70" s="53">
        <f t="shared" si="862"/>
        <v>167003</v>
      </c>
      <c r="EG70" s="53">
        <f t="shared" si="862"/>
        <v>160353</v>
      </c>
      <c r="EH70" s="53">
        <f t="shared" si="862"/>
        <v>140241</v>
      </c>
      <c r="EI70" s="53">
        <f t="shared" si="862"/>
        <v>119469</v>
      </c>
      <c r="EJ70" s="53">
        <f t="shared" si="862"/>
        <v>135610</v>
      </c>
      <c r="EK70" s="53">
        <f t="shared" si="862"/>
        <v>107163</v>
      </c>
      <c r="EL70" s="53">
        <f t="shared" si="862"/>
        <v>124095</v>
      </c>
      <c r="EP70" s="10"/>
      <c r="EQ70" s="58"/>
      <c r="ER70" s="58"/>
      <c r="ES70" s="58"/>
      <c r="ET70" s="58"/>
      <c r="EU70" s="58"/>
      <c r="EX70" s="9"/>
      <c r="EY70" s="9"/>
      <c r="EZ70" s="9"/>
      <c r="FA70" s="9"/>
      <c r="FB70" s="9"/>
      <c r="FC70" s="9"/>
      <c r="FD70" s="9"/>
      <c r="FE70" s="1"/>
      <c r="FF70" s="36"/>
      <c r="FG70" s="1"/>
      <c r="FH70" s="1"/>
    </row>
    <row r="71" spans="1:164" x14ac:dyDescent="0.25">
      <c r="A71" s="2" t="s">
        <v>33</v>
      </c>
      <c r="B71" s="121">
        <f t="shared" ref="B71:L71" si="863">(P71+AI71+BB71+BU71+CL71+DE71+DX71)/7</f>
        <v>7.0442857142857145</v>
      </c>
      <c r="C71" s="121">
        <f t="shared" si="863"/>
        <v>6.0657142857142858</v>
      </c>
      <c r="D71" s="121">
        <f t="shared" si="863"/>
        <v>6.4357142857142851</v>
      </c>
      <c r="E71" s="121">
        <f t="shared" si="863"/>
        <v>7.0185714285714287</v>
      </c>
      <c r="F71" s="121">
        <f t="shared" si="863"/>
        <v>7.8585714285714285</v>
      </c>
      <c r="G71" s="121">
        <f t="shared" si="863"/>
        <v>7.4571428571428564</v>
      </c>
      <c r="H71" s="121" t="e">
        <f t="shared" si="863"/>
        <v>#DIV/0!</v>
      </c>
      <c r="I71" s="121" t="e">
        <f t="shared" si="863"/>
        <v>#DIV/0!</v>
      </c>
      <c r="J71" s="121" t="e">
        <f t="shared" si="863"/>
        <v>#DIV/0!</v>
      </c>
      <c r="K71" s="121" t="e">
        <f t="shared" si="863"/>
        <v>#DIV/0!</v>
      </c>
      <c r="L71" s="121" t="e">
        <f t="shared" si="863"/>
        <v>#DIV/0!</v>
      </c>
      <c r="N71" s="2" t="s">
        <v>33</v>
      </c>
      <c r="O71" s="2"/>
      <c r="P71" s="59">
        <f t="shared" ref="P71:Q71" si="864">ROUND((P70+P61)/P61,2)</f>
        <v>5.51</v>
      </c>
      <c r="Q71" s="59">
        <f t="shared" si="864"/>
        <v>5.3</v>
      </c>
      <c r="R71" s="59">
        <f t="shared" ref="R71:S71" si="865">ROUND((R70+R61)/R61,2)</f>
        <v>6.6</v>
      </c>
      <c r="S71" s="59">
        <f t="shared" si="865"/>
        <v>6.69</v>
      </c>
      <c r="T71" s="59">
        <f t="shared" ref="T71" si="866">ROUND((T70+T61)/T61,2)</f>
        <v>8.48</v>
      </c>
      <c r="U71" s="59">
        <f t="shared" ref="U71" si="867">ROUND((U70+U61)/U61,2)</f>
        <v>11.4</v>
      </c>
      <c r="V71" s="59">
        <f t="shared" ref="V71:AD71" si="868">ROUND((V70+V61)/V61,2)</f>
        <v>9.3699999999999992</v>
      </c>
      <c r="W71" s="59">
        <f t="shared" si="868"/>
        <v>9.4700000000000006</v>
      </c>
      <c r="X71" s="59">
        <f t="shared" si="868"/>
        <v>7.2</v>
      </c>
      <c r="Y71" s="59">
        <f t="shared" si="868"/>
        <v>9.74</v>
      </c>
      <c r="Z71" s="59">
        <f t="shared" si="868"/>
        <v>11.31</v>
      </c>
      <c r="AA71" s="59">
        <f t="shared" si="868"/>
        <v>2.2799999999999998</v>
      </c>
      <c r="AB71" s="59">
        <f t="shared" si="868"/>
        <v>7.29</v>
      </c>
      <c r="AC71" s="59">
        <f t="shared" si="868"/>
        <v>5.33</v>
      </c>
      <c r="AD71" s="59">
        <f t="shared" si="868"/>
        <v>4.96</v>
      </c>
      <c r="AG71" s="2" t="s">
        <v>33</v>
      </c>
      <c r="AH71" s="2"/>
      <c r="AI71" s="59">
        <f t="shared" ref="AI71" si="869">ROUND((AI70+AI61)/AI61,2)</f>
        <v>5.63</v>
      </c>
      <c r="AJ71" s="59">
        <f t="shared" ref="AJ71:AP71" si="870">ROUND((AJ70+AJ61)/AJ61,2)</f>
        <v>4.74</v>
      </c>
      <c r="AK71" s="59">
        <f t="shared" si="870"/>
        <v>5.43</v>
      </c>
      <c r="AL71" s="59">
        <f t="shared" si="870"/>
        <v>5.54</v>
      </c>
      <c r="AM71" s="59">
        <f t="shared" si="870"/>
        <v>5.31</v>
      </c>
      <c r="AN71" s="59">
        <f t="shared" si="870"/>
        <v>4.8</v>
      </c>
      <c r="AO71" s="59">
        <f t="shared" si="870"/>
        <v>4.6500000000000004</v>
      </c>
      <c r="AP71" s="59">
        <f t="shared" si="870"/>
        <v>5.05</v>
      </c>
      <c r="AQ71" s="59">
        <f t="shared" ref="AQ71:AW71" si="871">ROUND((AQ70+AQ61)/AQ61,2)</f>
        <v>5.07</v>
      </c>
      <c r="AR71" s="59">
        <f t="shared" si="871"/>
        <v>5.3</v>
      </c>
      <c r="AS71" s="59">
        <f t="shared" si="871"/>
        <v>6.03</v>
      </c>
      <c r="AT71" s="59">
        <f t="shared" si="871"/>
        <v>5.3</v>
      </c>
      <c r="AU71" s="59">
        <f t="shared" si="871"/>
        <v>6.11</v>
      </c>
      <c r="AV71" s="59">
        <f t="shared" si="871"/>
        <v>4.6399999999999997</v>
      </c>
      <c r="AW71" s="59">
        <f t="shared" si="871"/>
        <v>3.84</v>
      </c>
      <c r="AZ71" s="2" t="s">
        <v>33</v>
      </c>
      <c r="BA71" s="2"/>
      <c r="BB71" s="59">
        <f>ROUND((BB70+BB61)/BB61,2)</f>
        <v>15.05</v>
      </c>
      <c r="BC71" s="59">
        <f>ROUND((BC70+BC61)/BC61,2)</f>
        <v>11.03</v>
      </c>
      <c r="BD71" s="59">
        <f t="shared" ref="BD71:BH71" si="872">ROUND((BD70+BD61)/BD61,2)</f>
        <v>10.039999999999999</v>
      </c>
      <c r="BE71" s="59">
        <f t="shared" si="872"/>
        <v>8.85</v>
      </c>
      <c r="BF71" s="59">
        <f t="shared" si="872"/>
        <v>8.2200000000000006</v>
      </c>
      <c r="BG71" s="59">
        <f t="shared" si="872"/>
        <v>7.73</v>
      </c>
      <c r="BH71" s="59">
        <f t="shared" si="872"/>
        <v>6.68</v>
      </c>
      <c r="BI71" s="59">
        <f t="shared" ref="BI71:BP71" si="873">ROUND((BI70+BI61)/BI61,2)</f>
        <v>5.84</v>
      </c>
      <c r="BJ71" s="59">
        <f t="shared" si="873"/>
        <v>5.0199999999999996</v>
      </c>
      <c r="BK71" s="59">
        <f t="shared" si="873"/>
        <v>4.7</v>
      </c>
      <c r="BL71" s="59">
        <f t="shared" si="873"/>
        <v>5.01</v>
      </c>
      <c r="BM71" s="59">
        <f t="shared" si="873"/>
        <v>4.5199999999999996</v>
      </c>
      <c r="BN71" s="59">
        <f t="shared" si="873"/>
        <v>4.47</v>
      </c>
      <c r="BO71" s="59">
        <f t="shared" si="873"/>
        <v>3.96</v>
      </c>
      <c r="BP71" s="59">
        <f t="shared" si="873"/>
        <v>3.86</v>
      </c>
      <c r="BS71" s="2" t="s">
        <v>33</v>
      </c>
      <c r="BT71" s="2"/>
      <c r="BU71" s="59">
        <f>ROUND((BU70+BU61)/BU61,2)</f>
        <v>7.56</v>
      </c>
      <c r="BV71" s="59">
        <f>ROUND((BV70+BV61)/BV61,2)</f>
        <v>7.07</v>
      </c>
      <c r="BW71" s="59">
        <f>ROUND((BW70+BW61)/BW61,2)</f>
        <v>8.52</v>
      </c>
      <c r="BX71" s="59">
        <f t="shared" ref="BX71:BZ71" si="874">ROUND((BX70+BX61)/BX61,2)</f>
        <v>9.84</v>
      </c>
      <c r="BY71" s="59">
        <f t="shared" si="874"/>
        <v>9.48</v>
      </c>
      <c r="BZ71" s="59">
        <f t="shared" si="874"/>
        <v>8.09</v>
      </c>
      <c r="CA71" s="59" t="e">
        <f t="shared" ref="CA71:CG71" si="875">ROUND((CA70+CA61)/CA61,2)</f>
        <v>#DIV/0!</v>
      </c>
      <c r="CB71" s="59" t="e">
        <f t="shared" si="875"/>
        <v>#DIV/0!</v>
      </c>
      <c r="CC71" s="59" t="e">
        <f t="shared" si="875"/>
        <v>#DIV/0!</v>
      </c>
      <c r="CD71" s="59" t="e">
        <f t="shared" si="875"/>
        <v>#DIV/0!</v>
      </c>
      <c r="CE71" s="59" t="e">
        <f t="shared" si="875"/>
        <v>#DIV/0!</v>
      </c>
      <c r="CF71" s="59" t="e">
        <f t="shared" si="875"/>
        <v>#DIV/0!</v>
      </c>
      <c r="CG71" s="59" t="e">
        <f t="shared" si="875"/>
        <v>#DIV/0!</v>
      </c>
      <c r="CJ71" s="2" t="s">
        <v>33</v>
      </c>
      <c r="CK71" s="2"/>
      <c r="CL71" s="59">
        <f t="shared" ref="CL71" si="876">ROUND((CL70+CL61)/CL61,2)</f>
        <v>6.58</v>
      </c>
      <c r="CM71" s="59">
        <f t="shared" ref="CM71" si="877">ROUND((CM70+CM61)/CM61,2)</f>
        <v>6.26</v>
      </c>
      <c r="CN71" s="59">
        <f t="shared" ref="CN71:CO71" si="878">ROUND((CN70+CN61)/CN61,2)</f>
        <v>5.99</v>
      </c>
      <c r="CO71" s="59">
        <f t="shared" si="878"/>
        <v>7.51</v>
      </c>
      <c r="CP71" s="59">
        <f t="shared" ref="CP71:CQ71" si="879">ROUND((CP70+CP61)/CP61,2)</f>
        <v>7.94</v>
      </c>
      <c r="CQ71" s="59">
        <f t="shared" si="879"/>
        <v>7.38</v>
      </c>
      <c r="CR71" s="59">
        <f t="shared" ref="CR71:CZ71" si="880">ROUND((CR70+CR61)/CR61,2)</f>
        <v>7.36</v>
      </c>
      <c r="CS71" s="59">
        <f t="shared" si="880"/>
        <v>8.08</v>
      </c>
      <c r="CT71" s="59">
        <f t="shared" si="880"/>
        <v>7.22</v>
      </c>
      <c r="CU71" s="59">
        <f t="shared" si="880"/>
        <v>6.3</v>
      </c>
      <c r="CV71" s="59">
        <f t="shared" si="880"/>
        <v>5.44</v>
      </c>
      <c r="CW71" s="59">
        <f t="shared" si="880"/>
        <v>4.8600000000000003</v>
      </c>
      <c r="CX71" s="59">
        <f t="shared" si="880"/>
        <v>4.1399999999999997</v>
      </c>
      <c r="CY71" s="59">
        <f t="shared" si="880"/>
        <v>3.93</v>
      </c>
      <c r="CZ71" s="59">
        <f t="shared" si="880"/>
        <v>3.7</v>
      </c>
      <c r="DC71" s="2" t="s">
        <v>33</v>
      </c>
      <c r="DD71" s="2"/>
      <c r="DE71" s="59">
        <f t="shared" ref="DE71:DF71" si="881">ROUND((DE70+DE61)/DE61,2)</f>
        <v>5.03</v>
      </c>
      <c r="DF71" s="59">
        <f t="shared" si="881"/>
        <v>4.8099999999999996</v>
      </c>
      <c r="DG71" s="59">
        <f t="shared" ref="DG71:DH71" si="882">ROUND((DG70+DG61)/DG61,2)</f>
        <v>4.5999999999999996</v>
      </c>
      <c r="DH71" s="59">
        <f t="shared" si="882"/>
        <v>5.41</v>
      </c>
      <c r="DI71" s="59">
        <f t="shared" ref="DI71:DJ71" si="883">ROUND((DI70+DI61)/DI61,2)</f>
        <v>5.54</v>
      </c>
      <c r="DJ71" s="59">
        <f t="shared" si="883"/>
        <v>5.47</v>
      </c>
      <c r="DK71" s="59">
        <f t="shared" ref="DK71:DS71" si="884">ROUND((DK70+DK61)/DK61,2)</f>
        <v>5.31</v>
      </c>
      <c r="DL71" s="59">
        <f t="shared" si="884"/>
        <v>5.34</v>
      </c>
      <c r="DM71" s="59">
        <f t="shared" si="884"/>
        <v>6.39</v>
      </c>
      <c r="DN71" s="59">
        <f t="shared" si="884"/>
        <v>6.02</v>
      </c>
      <c r="DO71" s="59">
        <f t="shared" si="884"/>
        <v>5.64</v>
      </c>
      <c r="DP71" s="59">
        <f t="shared" si="884"/>
        <v>5.01</v>
      </c>
      <c r="DQ71" s="59">
        <f t="shared" si="884"/>
        <v>5.09</v>
      </c>
      <c r="DR71" s="59">
        <f t="shared" si="884"/>
        <v>3.12</v>
      </c>
      <c r="DS71" s="59">
        <f t="shared" si="884"/>
        <v>4.49</v>
      </c>
      <c r="DV71" s="2" t="s">
        <v>33</v>
      </c>
      <c r="DW71" s="2"/>
      <c r="DX71" s="59">
        <f t="shared" ref="DX71" si="885">ROUND((DX70+DX61)/DX61,2)</f>
        <v>3.95</v>
      </c>
      <c r="DY71" s="59">
        <f t="shared" ref="DY71:EL71" si="886">ROUND((DY70+DY61)/DY61,2)</f>
        <v>3.25</v>
      </c>
      <c r="DZ71" s="59">
        <f t="shared" si="886"/>
        <v>3.87</v>
      </c>
      <c r="EA71" s="59">
        <f t="shared" si="886"/>
        <v>5.29</v>
      </c>
      <c r="EB71" s="59">
        <f t="shared" si="886"/>
        <v>10.039999999999999</v>
      </c>
      <c r="EC71" s="59">
        <f t="shared" si="886"/>
        <v>7.33</v>
      </c>
      <c r="ED71" s="59">
        <f t="shared" si="886"/>
        <v>7</v>
      </c>
      <c r="EE71" s="59">
        <f t="shared" si="886"/>
        <v>7.64</v>
      </c>
      <c r="EF71" s="59">
        <f t="shared" si="886"/>
        <v>9.8000000000000007</v>
      </c>
      <c r="EG71" s="59">
        <f t="shared" si="886"/>
        <v>7.66</v>
      </c>
      <c r="EH71" s="59">
        <f t="shared" si="886"/>
        <v>7.4</v>
      </c>
      <c r="EI71" s="59">
        <f t="shared" si="886"/>
        <v>7.29</v>
      </c>
      <c r="EJ71" s="59">
        <f t="shared" si="886"/>
        <v>6.28</v>
      </c>
      <c r="EK71" s="59">
        <f t="shared" si="886"/>
        <v>4.9400000000000004</v>
      </c>
      <c r="EL71" s="59">
        <f t="shared" si="886"/>
        <v>5.48</v>
      </c>
      <c r="EO71" s="2" t="s">
        <v>169</v>
      </c>
      <c r="EP71" s="53">
        <f>EP69</f>
        <v>11578</v>
      </c>
      <c r="EQ71" s="53">
        <f t="shared" ref="EQ71:EU71" si="887">EQ69</f>
        <v>15352</v>
      </c>
      <c r="ER71" s="53">
        <f t="shared" si="887"/>
        <v>17847.108</v>
      </c>
      <c r="ES71" s="53">
        <f t="shared" si="887"/>
        <v>12681.243</v>
      </c>
      <c r="ET71" s="53">
        <f t="shared" si="887"/>
        <v>9881.2579999999998</v>
      </c>
      <c r="EU71" s="53">
        <f t="shared" si="887"/>
        <v>11121.651</v>
      </c>
      <c r="EX71" s="9"/>
      <c r="EY71" s="9"/>
      <c r="EZ71" s="9"/>
      <c r="FA71" s="9"/>
      <c r="FB71" s="9"/>
      <c r="FC71" s="9"/>
      <c r="FD71" s="9"/>
      <c r="FE71" s="9"/>
      <c r="FF71" s="36"/>
      <c r="FG71" s="1"/>
      <c r="FH71" s="1"/>
    </row>
    <row r="72" spans="1:164" x14ac:dyDescent="0.25">
      <c r="F72" s="134"/>
      <c r="G72" s="134"/>
      <c r="H72" s="134"/>
      <c r="I72" s="134"/>
      <c r="J72" s="134"/>
      <c r="K72" s="134"/>
      <c r="L72" s="134"/>
      <c r="W72" s="10"/>
      <c r="X72" s="10"/>
      <c r="Z72" s="10"/>
      <c r="AA72" s="10"/>
      <c r="AB72" s="10"/>
      <c r="AC72" s="10"/>
      <c r="AD72" s="10"/>
      <c r="AM72" s="10"/>
      <c r="AN72" s="10"/>
      <c r="AO72" s="10"/>
      <c r="AP72" s="10"/>
      <c r="AQ72" s="10"/>
      <c r="AS72" s="10"/>
      <c r="AT72" s="10"/>
      <c r="AU72" s="10"/>
      <c r="AV72" s="10"/>
      <c r="AW72" s="10"/>
      <c r="BF72" s="10"/>
      <c r="BG72" s="10"/>
      <c r="BH72" s="10"/>
      <c r="BI72" s="10"/>
      <c r="BJ72" s="10"/>
      <c r="BL72" s="10"/>
      <c r="BM72" s="10"/>
      <c r="BN72" s="10"/>
      <c r="BO72" s="10"/>
      <c r="BP72" s="10"/>
      <c r="CC72" s="10"/>
      <c r="CD72" s="10"/>
      <c r="CE72" s="10"/>
      <c r="CF72" s="10"/>
      <c r="CG72" s="10"/>
      <c r="CP72" s="10"/>
      <c r="CQ72" s="10"/>
      <c r="CR72" s="10"/>
      <c r="CS72" s="10"/>
      <c r="CT72" s="10"/>
      <c r="CV72" s="10"/>
      <c r="CW72" s="10"/>
      <c r="CX72" s="10"/>
      <c r="CY72" s="10"/>
      <c r="CZ72" s="10"/>
      <c r="DI72" s="10"/>
      <c r="DJ72" s="10"/>
      <c r="DK72" s="10"/>
      <c r="DL72" s="10"/>
      <c r="DM72" s="10"/>
      <c r="DO72" s="10"/>
      <c r="DP72" s="10"/>
      <c r="DQ72" s="10"/>
      <c r="DR72" s="10"/>
      <c r="DS72" s="10"/>
      <c r="EB72" s="10"/>
      <c r="EC72" s="10"/>
      <c r="ED72" s="10"/>
      <c r="EE72" s="10"/>
      <c r="EF72" s="10"/>
      <c r="EH72" s="10"/>
      <c r="EI72" s="10"/>
      <c r="EJ72" s="10"/>
      <c r="EK72" s="10"/>
      <c r="EL72" s="10"/>
      <c r="EO72" s="49" t="s">
        <v>42</v>
      </c>
      <c r="EP72" s="10">
        <f t="shared" ref="EP72:EU72" si="888">EP57</f>
        <v>15169.708000000001</v>
      </c>
      <c r="EQ72" s="10">
        <f t="shared" si="888"/>
        <v>13883.939</v>
      </c>
      <c r="ER72" s="10">
        <f t="shared" si="888"/>
        <v>12807.796</v>
      </c>
      <c r="ES72" s="10">
        <f t="shared" si="888"/>
        <v>11977.458999999999</v>
      </c>
      <c r="ET72" s="10">
        <f t="shared" si="888"/>
        <v>9130.5439999999999</v>
      </c>
      <c r="EU72" s="10">
        <f t="shared" si="888"/>
        <v>8361.0419999999995</v>
      </c>
      <c r="EX72" s="9"/>
      <c r="EY72" s="9"/>
      <c r="EZ72" s="9"/>
      <c r="FA72" s="9"/>
      <c r="FB72" s="9"/>
      <c r="FC72" s="9"/>
      <c r="FD72" s="9"/>
      <c r="FE72" s="1"/>
      <c r="FF72" s="36"/>
      <c r="FG72" s="1"/>
      <c r="FH72" s="1"/>
    </row>
    <row r="73" spans="1:164" x14ac:dyDescent="0.25">
      <c r="L73" s="133">
        <f>L51</f>
        <v>0</v>
      </c>
      <c r="T73" s="192" t="str">
        <f>T51</f>
        <v>New Jersey Resources, Corp.</v>
      </c>
      <c r="U73" s="192"/>
      <c r="V73" s="192"/>
      <c r="W73" s="192"/>
      <c r="X73" s="192"/>
      <c r="AM73" s="192" t="str">
        <f>AM51</f>
        <v>Northwest Natural Gas Co.</v>
      </c>
      <c r="AN73" s="192"/>
      <c r="AO73" s="192"/>
      <c r="AP73" s="192"/>
      <c r="AQ73" s="192"/>
      <c r="BF73" s="193" t="s">
        <v>49</v>
      </c>
      <c r="BG73" s="193"/>
      <c r="BH73" s="193"/>
      <c r="BI73" s="193"/>
      <c r="BJ73" s="193"/>
      <c r="BL73" s="192">
        <f>BL51</f>
        <v>0</v>
      </c>
      <c r="BM73" s="192"/>
      <c r="BN73" s="192"/>
      <c r="BO73" s="192"/>
      <c r="BP73" s="192"/>
      <c r="BY73" s="192" t="str">
        <f>BY51</f>
        <v>ONE Gas Inc.</v>
      </c>
      <c r="BZ73" s="192"/>
      <c r="CA73" s="192"/>
      <c r="CB73" s="133"/>
      <c r="CC73" s="133"/>
      <c r="CP73" s="192" t="str">
        <f>CP51</f>
        <v>Southwest Gas Corp.</v>
      </c>
      <c r="CQ73" s="192"/>
      <c r="CR73" s="192"/>
      <c r="CS73" s="192"/>
      <c r="CT73" s="192"/>
      <c r="DI73" s="192" t="str">
        <f>DI51</f>
        <v>Spire, Inc.</v>
      </c>
      <c r="DJ73" s="192"/>
      <c r="DK73" s="192"/>
      <c r="DL73" s="192"/>
      <c r="DM73" s="192"/>
      <c r="EC73" s="133"/>
      <c r="ED73" s="133"/>
      <c r="EE73" s="133"/>
      <c r="EF73" s="133"/>
      <c r="EO73" s="49" t="s">
        <v>43</v>
      </c>
      <c r="EP73" s="10">
        <v>3153.2020000000002</v>
      </c>
      <c r="EQ73" s="10">
        <v>2350.0929999999998</v>
      </c>
      <c r="ER73" s="10">
        <v>9904.5059999999994</v>
      </c>
      <c r="ES73" s="10">
        <f>-33017.757+36147.7+2350.7</f>
        <v>5480.6429999999991</v>
      </c>
      <c r="ET73" s="10">
        <v>8523.2099999999991</v>
      </c>
      <c r="EU73" s="10">
        <v>8677.3369999999995</v>
      </c>
      <c r="EX73" s="9"/>
      <c r="EY73" s="9"/>
      <c r="EZ73" s="9"/>
      <c r="FA73" s="9"/>
      <c r="FB73" s="9"/>
      <c r="FC73" s="9"/>
      <c r="FD73" s="9"/>
      <c r="FE73" s="1"/>
      <c r="FF73" s="36"/>
      <c r="FG73" s="1"/>
      <c r="FH73" s="1"/>
    </row>
    <row r="74" spans="1:164" x14ac:dyDescent="0.25">
      <c r="A74" s="83" t="s">
        <v>37</v>
      </c>
      <c r="B74" s="54">
        <v>2020</v>
      </c>
      <c r="C74" s="54">
        <v>2019</v>
      </c>
      <c r="D74" s="54">
        <f>D52</f>
        <v>2018</v>
      </c>
      <c r="E74" s="54">
        <f>E52</f>
        <v>2017</v>
      </c>
      <c r="F74" s="54">
        <f>F52</f>
        <v>2016</v>
      </c>
      <c r="G74" s="54">
        <f>G52</f>
        <v>2015</v>
      </c>
      <c r="H74" s="54">
        <f>H52</f>
        <v>2014</v>
      </c>
      <c r="I74" s="54">
        <v>2013</v>
      </c>
      <c r="J74" s="54">
        <v>2012</v>
      </c>
      <c r="K74" s="39">
        <v>2011</v>
      </c>
      <c r="L74" s="45">
        <f>L52</f>
        <v>2010</v>
      </c>
      <c r="N74" s="83" t="s">
        <v>37</v>
      </c>
      <c r="P74" s="54">
        <v>2020</v>
      </c>
      <c r="Q74" s="39">
        <v>2019</v>
      </c>
      <c r="R74" s="39">
        <v>2018</v>
      </c>
      <c r="S74" s="39">
        <v>2017</v>
      </c>
      <c r="T74" s="39">
        <v>2016</v>
      </c>
      <c r="U74" s="39">
        <v>2015</v>
      </c>
      <c r="V74" s="39">
        <v>2014</v>
      </c>
      <c r="W74" s="39">
        <v>2013</v>
      </c>
      <c r="X74" s="39">
        <v>2012</v>
      </c>
      <c r="Y74" s="39">
        <v>2011</v>
      </c>
      <c r="Z74" s="91">
        <f>Z52</f>
        <v>2010</v>
      </c>
      <c r="AA74" s="91">
        <f>AA52</f>
        <v>2009</v>
      </c>
      <c r="AB74" s="91">
        <f>AB52</f>
        <v>2008</v>
      </c>
      <c r="AC74" s="91">
        <f>AC52</f>
        <v>2007</v>
      </c>
      <c r="AD74" s="91">
        <f>AD52</f>
        <v>2006</v>
      </c>
      <c r="AG74" s="83" t="s">
        <v>37</v>
      </c>
      <c r="AI74" s="55">
        <v>2020</v>
      </c>
      <c r="AJ74" s="55">
        <v>2019</v>
      </c>
      <c r="AK74" s="55">
        <v>2018</v>
      </c>
      <c r="AL74" s="55">
        <v>2017</v>
      </c>
      <c r="AM74" s="55">
        <v>2016</v>
      </c>
      <c r="AN74" s="55">
        <v>2015</v>
      </c>
      <c r="AO74" s="55">
        <v>2014</v>
      </c>
      <c r="AP74" s="55">
        <v>2013</v>
      </c>
      <c r="AQ74" s="55">
        <v>2012</v>
      </c>
      <c r="AR74" s="41">
        <v>2011</v>
      </c>
      <c r="AS74" s="45">
        <f>AS52</f>
        <v>2010</v>
      </c>
      <c r="AT74" s="45">
        <f>AT52</f>
        <v>2009</v>
      </c>
      <c r="AU74" s="45">
        <f>AU52</f>
        <v>2008</v>
      </c>
      <c r="AV74" s="45">
        <f>AV52</f>
        <v>2007</v>
      </c>
      <c r="AW74" s="45">
        <f>AW52</f>
        <v>2006</v>
      </c>
      <c r="AZ74" s="83" t="s">
        <v>37</v>
      </c>
      <c r="BB74" s="54">
        <f>BB9</f>
        <v>2020</v>
      </c>
      <c r="BC74" s="54">
        <f>BC9</f>
        <v>2019</v>
      </c>
      <c r="BD74" s="54">
        <f>BD9</f>
        <v>2018</v>
      </c>
      <c r="BE74" s="54">
        <f>BE9</f>
        <v>2017</v>
      </c>
      <c r="BF74" s="81">
        <v>2016</v>
      </c>
      <c r="BG74" s="81">
        <v>2015</v>
      </c>
      <c r="BH74" s="81">
        <v>2014</v>
      </c>
      <c r="BI74" s="81">
        <v>2013</v>
      </c>
      <c r="BJ74" s="81">
        <v>2012</v>
      </c>
      <c r="BK74" s="39">
        <v>2011</v>
      </c>
      <c r="BL74" s="91">
        <f>BL52</f>
        <v>2010</v>
      </c>
      <c r="BM74" s="91">
        <f>BM52</f>
        <v>2009</v>
      </c>
      <c r="BN74" s="91">
        <f>BN52</f>
        <v>2008</v>
      </c>
      <c r="BO74" s="91">
        <f>BO52</f>
        <v>2007</v>
      </c>
      <c r="BP74" s="91">
        <f>BP52</f>
        <v>2006</v>
      </c>
      <c r="BS74" s="83" t="s">
        <v>37</v>
      </c>
      <c r="BU74" s="54">
        <v>2020</v>
      </c>
      <c r="BV74" s="54">
        <v>2019</v>
      </c>
      <c r="BW74" s="54">
        <v>2018</v>
      </c>
      <c r="BX74" s="54">
        <v>2017</v>
      </c>
      <c r="BY74" s="54">
        <v>2016</v>
      </c>
      <c r="BZ74" s="54">
        <v>2015</v>
      </c>
      <c r="CA74" s="54">
        <v>2014</v>
      </c>
      <c r="CB74" s="39">
        <v>2013</v>
      </c>
      <c r="CC74" s="39">
        <v>2012</v>
      </c>
      <c r="CD74" s="39">
        <v>2011</v>
      </c>
      <c r="CE74" s="39">
        <v>2008</v>
      </c>
      <c r="CF74" s="39">
        <v>2007</v>
      </c>
      <c r="CG74" s="39">
        <v>2006</v>
      </c>
      <c r="CJ74" s="83" t="s">
        <v>37</v>
      </c>
      <c r="CL74" s="54">
        <f>CL9</f>
        <v>2020</v>
      </c>
      <c r="CM74" s="54">
        <f>CM9</f>
        <v>2019</v>
      </c>
      <c r="CN74" s="54">
        <f>CN9</f>
        <v>2018</v>
      </c>
      <c r="CO74" s="54">
        <v>2017</v>
      </c>
      <c r="CP74" s="54">
        <f>CP9</f>
        <v>2016</v>
      </c>
      <c r="CQ74" s="54">
        <v>2015</v>
      </c>
      <c r="CR74" s="54">
        <v>2014</v>
      </c>
      <c r="CS74" s="54">
        <v>2013</v>
      </c>
      <c r="CT74" s="54">
        <v>2012</v>
      </c>
      <c r="CU74" s="39">
        <v>2011</v>
      </c>
      <c r="CV74" s="91">
        <f>CV52</f>
        <v>2010</v>
      </c>
      <c r="CW74" s="91">
        <f>CW52</f>
        <v>2009</v>
      </c>
      <c r="CX74" s="91">
        <f>CX52</f>
        <v>2008</v>
      </c>
      <c r="CY74" s="91">
        <f>CY52</f>
        <v>2007</v>
      </c>
      <c r="CZ74" s="91">
        <f>CZ52</f>
        <v>2006</v>
      </c>
      <c r="DC74" s="83" t="s">
        <v>37</v>
      </c>
      <c r="DE74" s="54">
        <f>DE9</f>
        <v>2020</v>
      </c>
      <c r="DF74" s="54">
        <f>DF9</f>
        <v>2019</v>
      </c>
      <c r="DG74" s="54">
        <f>DG9</f>
        <v>2018</v>
      </c>
      <c r="DH74" s="54">
        <v>2017</v>
      </c>
      <c r="DI74" s="54">
        <f>DI9</f>
        <v>2016</v>
      </c>
      <c r="DJ74" s="54">
        <v>2015</v>
      </c>
      <c r="DK74" s="54">
        <v>2014</v>
      </c>
      <c r="DL74" s="54">
        <v>2013</v>
      </c>
      <c r="DM74" s="54">
        <v>2012</v>
      </c>
      <c r="DN74" s="39">
        <v>2011</v>
      </c>
      <c r="DO74" s="91">
        <f>DO52</f>
        <v>2010</v>
      </c>
      <c r="DP74" s="91">
        <f>DP52</f>
        <v>2009</v>
      </c>
      <c r="DQ74" s="91">
        <f>DQ52</f>
        <v>2008</v>
      </c>
      <c r="DR74" s="91">
        <f>DR52</f>
        <v>2007</v>
      </c>
      <c r="DS74" s="91">
        <f>DS52</f>
        <v>2006</v>
      </c>
      <c r="DV74" s="83" t="s">
        <v>37</v>
      </c>
      <c r="DX74" s="54">
        <v>2020</v>
      </c>
      <c r="DY74" s="54">
        <v>2019</v>
      </c>
      <c r="DZ74" s="54">
        <v>2018</v>
      </c>
      <c r="EA74" s="54">
        <v>2017</v>
      </c>
      <c r="EB74" s="54">
        <v>2016</v>
      </c>
      <c r="EC74" s="54">
        <v>2015</v>
      </c>
      <c r="ED74" s="54">
        <v>2014</v>
      </c>
      <c r="EE74" s="54">
        <v>2013</v>
      </c>
      <c r="EF74" s="54">
        <v>2012</v>
      </c>
      <c r="EG74" s="39">
        <v>2011</v>
      </c>
      <c r="EH74" s="91">
        <f>EH52</f>
        <v>2010</v>
      </c>
      <c r="EI74" s="91">
        <f>EI52</f>
        <v>2009</v>
      </c>
      <c r="EJ74" s="91">
        <f>EJ52</f>
        <v>2008</v>
      </c>
      <c r="EK74" s="91">
        <f>EK52</f>
        <v>2007</v>
      </c>
      <c r="EL74" s="91">
        <f>EL52</f>
        <v>2006</v>
      </c>
      <c r="EO74" s="49" t="s">
        <v>170</v>
      </c>
      <c r="EP74" s="10">
        <v>0</v>
      </c>
      <c r="EQ74" s="10">
        <v>0</v>
      </c>
      <c r="ER74" s="58">
        <v>0</v>
      </c>
      <c r="ES74" s="58">
        <v>0</v>
      </c>
      <c r="ET74" s="58">
        <v>0</v>
      </c>
      <c r="EU74" s="58">
        <v>0</v>
      </c>
      <c r="EX74" s="9"/>
      <c r="EY74" s="9"/>
      <c r="EZ74" s="9"/>
      <c r="FA74" s="9"/>
      <c r="FB74" s="9"/>
      <c r="FC74" s="9"/>
      <c r="FD74" s="9"/>
      <c r="FE74" s="1"/>
      <c r="FF74" s="36"/>
      <c r="FG74" s="1"/>
      <c r="FH74" s="1"/>
    </row>
    <row r="75" spans="1:164" x14ac:dyDescent="0.25">
      <c r="F75" s="44" t="s">
        <v>26</v>
      </c>
      <c r="G75" s="44"/>
      <c r="W75" s="10"/>
      <c r="X75" s="10"/>
      <c r="Z75" s="44" t="s">
        <v>26</v>
      </c>
      <c r="AA75" s="10"/>
      <c r="AB75" s="10"/>
      <c r="AC75" s="10"/>
      <c r="AD75" s="10"/>
      <c r="AM75" s="10"/>
      <c r="AN75" s="10"/>
      <c r="AO75" s="10"/>
      <c r="AP75" s="10"/>
      <c r="AQ75" s="10"/>
      <c r="AS75" s="44" t="s">
        <v>26</v>
      </c>
      <c r="AT75" s="10"/>
      <c r="AU75" s="10"/>
      <c r="AV75" s="10"/>
      <c r="AW75" s="10"/>
      <c r="BF75" s="10"/>
      <c r="BG75" s="10"/>
      <c r="BH75" s="10"/>
      <c r="BI75" s="10"/>
      <c r="BJ75" s="10"/>
      <c r="BL75" s="44" t="s">
        <v>26</v>
      </c>
      <c r="BM75" s="10"/>
      <c r="BN75" s="10"/>
      <c r="BO75" s="10"/>
      <c r="BP75" s="10"/>
      <c r="BY75" s="10"/>
      <c r="BZ75" s="10"/>
      <c r="CC75" s="44" t="s">
        <v>26</v>
      </c>
      <c r="CD75" s="10"/>
      <c r="CE75" s="10"/>
      <c r="CF75" s="10"/>
      <c r="CG75" s="10"/>
      <c r="CP75" s="10"/>
      <c r="CQ75" s="10"/>
      <c r="CR75" s="10"/>
      <c r="CS75" s="10"/>
      <c r="CT75" s="10"/>
      <c r="CV75" s="44" t="s">
        <v>26</v>
      </c>
      <c r="CW75" s="10"/>
      <c r="CX75" s="10"/>
      <c r="CY75" s="10"/>
      <c r="CZ75" s="10"/>
      <c r="DI75" s="10"/>
      <c r="DJ75" s="10"/>
      <c r="DK75" s="10"/>
      <c r="DL75" s="10"/>
      <c r="DM75" s="10"/>
      <c r="DO75" s="44" t="s">
        <v>26</v>
      </c>
      <c r="DP75" s="10"/>
      <c r="DQ75" s="10"/>
      <c r="DR75" s="10"/>
      <c r="DS75" s="10"/>
      <c r="DZ75" s="10"/>
      <c r="EA75" s="10"/>
      <c r="EB75" s="10"/>
      <c r="EC75" s="10"/>
      <c r="ED75" s="10"/>
      <c r="EE75" s="10"/>
      <c r="EF75" s="10"/>
      <c r="EH75" s="44" t="s">
        <v>26</v>
      </c>
      <c r="EI75" s="10"/>
      <c r="EJ75" s="10"/>
      <c r="EK75" s="10"/>
      <c r="EL75" s="10"/>
      <c r="EO75" s="2" t="s">
        <v>32</v>
      </c>
      <c r="EP75" s="53">
        <f>EP71+EP72+EP73+EP74</f>
        <v>29900.91</v>
      </c>
      <c r="EQ75" s="53">
        <f t="shared" ref="EQ75:EU75" si="889">EQ71+EQ72+EQ73+EQ74</f>
        <v>31586.031999999999</v>
      </c>
      <c r="ER75" s="53">
        <f t="shared" si="889"/>
        <v>40559.410000000003</v>
      </c>
      <c r="ES75" s="53">
        <f t="shared" si="889"/>
        <v>30139.344999999998</v>
      </c>
      <c r="ET75" s="53">
        <f t="shared" si="889"/>
        <v>27535.011999999999</v>
      </c>
      <c r="EU75" s="53">
        <f t="shared" si="889"/>
        <v>28160.03</v>
      </c>
      <c r="EX75" s="9"/>
      <c r="EY75" s="9"/>
      <c r="EZ75" s="9"/>
      <c r="FA75" s="9"/>
      <c r="FB75" s="9"/>
      <c r="FC75" s="9"/>
      <c r="FD75" s="9"/>
      <c r="FE75" s="1"/>
      <c r="FF75" s="36"/>
      <c r="FG75" s="1"/>
      <c r="FH75" s="1"/>
    </row>
    <row r="76" spans="1:164" x14ac:dyDescent="0.25">
      <c r="A76" s="47" t="s">
        <v>34</v>
      </c>
      <c r="B76" s="47"/>
      <c r="C76" s="47"/>
      <c r="D76" s="47"/>
      <c r="E76" s="47"/>
      <c r="F76" s="44" t="s">
        <v>31</v>
      </c>
      <c r="G76" s="44"/>
      <c r="N76" s="47" t="s">
        <v>136</v>
      </c>
      <c r="W76" s="10"/>
      <c r="X76" s="10"/>
      <c r="Z76" s="44" t="s">
        <v>31</v>
      </c>
      <c r="AA76" s="10"/>
      <c r="AB76" s="10"/>
      <c r="AC76" s="10"/>
      <c r="AD76" s="10"/>
      <c r="AG76" s="47" t="s">
        <v>34</v>
      </c>
      <c r="AM76" s="10"/>
      <c r="AN76" s="10"/>
      <c r="AO76" s="10"/>
      <c r="AP76" s="10"/>
      <c r="AQ76" s="10"/>
      <c r="AS76" s="44" t="s">
        <v>31</v>
      </c>
      <c r="AT76" s="10"/>
      <c r="AU76" s="10"/>
      <c r="AV76" s="10"/>
      <c r="AW76" s="10"/>
      <c r="AZ76" s="47" t="s">
        <v>136</v>
      </c>
      <c r="BF76" s="10"/>
      <c r="BG76" s="10"/>
      <c r="BH76" s="10"/>
      <c r="BI76" s="10"/>
      <c r="BJ76" s="10"/>
      <c r="BL76" s="44" t="s">
        <v>31</v>
      </c>
      <c r="BM76" s="10"/>
      <c r="BN76" s="10"/>
      <c r="BO76" s="10"/>
      <c r="BP76" s="10"/>
      <c r="BS76" s="47" t="s">
        <v>34</v>
      </c>
      <c r="BY76" s="10"/>
      <c r="BZ76" s="10"/>
      <c r="CC76" s="44" t="s">
        <v>31</v>
      </c>
      <c r="CD76" s="10"/>
      <c r="CE76" s="10"/>
      <c r="CF76" s="10"/>
      <c r="CG76" s="10"/>
      <c r="CJ76" s="47" t="s">
        <v>34</v>
      </c>
      <c r="CP76" s="10"/>
      <c r="CQ76" s="10"/>
      <c r="CR76" s="10"/>
      <c r="CS76" s="10"/>
      <c r="CT76" s="10"/>
      <c r="CV76" s="44" t="s">
        <v>31</v>
      </c>
      <c r="CW76" s="10"/>
      <c r="CX76" s="10"/>
      <c r="CY76" s="10"/>
      <c r="CZ76" s="10"/>
      <c r="DC76" s="47" t="s">
        <v>144</v>
      </c>
      <c r="DI76" s="10"/>
      <c r="DJ76" s="10"/>
      <c r="DK76" s="10"/>
      <c r="DL76" s="10"/>
      <c r="DM76" s="10"/>
      <c r="DO76" s="44" t="s">
        <v>31</v>
      </c>
      <c r="DP76" s="10"/>
      <c r="DQ76" s="10"/>
      <c r="DR76" s="10"/>
      <c r="DS76" s="10"/>
      <c r="DV76" s="47" t="s">
        <v>34</v>
      </c>
      <c r="DZ76" s="10"/>
      <c r="EA76" s="10"/>
      <c r="EB76" s="10"/>
      <c r="EC76" s="10"/>
      <c r="ED76" s="10"/>
      <c r="EE76" s="10"/>
      <c r="EF76" s="10"/>
      <c r="EH76" s="44" t="s">
        <v>31</v>
      </c>
      <c r="EI76" s="10"/>
      <c r="EJ76" s="10"/>
      <c r="EK76" s="10"/>
      <c r="EL76" s="10"/>
      <c r="EO76" s="2"/>
      <c r="EP76" s="53"/>
      <c r="EQ76" s="53"/>
      <c r="ER76" s="53"/>
      <c r="ES76" s="53"/>
      <c r="ET76" s="53"/>
      <c r="EU76" s="53"/>
      <c r="EX76" s="9"/>
      <c r="EY76" s="9"/>
      <c r="EZ76" s="9"/>
      <c r="FA76" s="9"/>
      <c r="FB76" s="9"/>
      <c r="FC76" s="9"/>
      <c r="FD76" s="9"/>
      <c r="FE76" s="1"/>
      <c r="FF76" s="36"/>
      <c r="FG76" s="1"/>
      <c r="FH76" s="1"/>
    </row>
    <row r="77" spans="1:164" x14ac:dyDescent="0.25">
      <c r="A77" s="2" t="s">
        <v>32</v>
      </c>
      <c r="B77" s="40">
        <f>B70</f>
        <v>499532</v>
      </c>
      <c r="C77" s="40">
        <f>C70</f>
        <v>429600.14285714284</v>
      </c>
      <c r="D77" s="40">
        <f t="shared" ref="D77:L77" si="890">D70</f>
        <v>409659.28571428574</v>
      </c>
      <c r="E77" s="40">
        <f t="shared" si="890"/>
        <v>415498.28571428568</v>
      </c>
      <c r="F77" s="40">
        <f t="shared" si="890"/>
        <v>393428.57142857148</v>
      </c>
      <c r="G77" s="40">
        <f t="shared" si="890"/>
        <v>362860.85714285716</v>
      </c>
      <c r="H77" s="40">
        <f t="shared" si="890"/>
        <v>277790.71428571426</v>
      </c>
      <c r="I77" s="40">
        <f t="shared" si="890"/>
        <v>243911.71428571429</v>
      </c>
      <c r="J77" s="40">
        <f t="shared" si="890"/>
        <v>228078.42857142858</v>
      </c>
      <c r="K77" s="40">
        <f t="shared" si="890"/>
        <v>223924.42857142858</v>
      </c>
      <c r="L77" s="40">
        <f t="shared" si="890"/>
        <v>237462.14285714284</v>
      </c>
      <c r="N77" s="2" t="s">
        <v>32</v>
      </c>
      <c r="O77" s="2"/>
      <c r="P77" s="53">
        <f t="shared" ref="P77" si="891">P70</f>
        <v>304721</v>
      </c>
      <c r="Q77" s="53">
        <f t="shared" ref="Q77" si="892">Q70</f>
        <v>202222</v>
      </c>
      <c r="R77" s="53">
        <f t="shared" ref="R77:S77" si="893">R70</f>
        <v>258991</v>
      </c>
      <c r="S77" s="53">
        <f t="shared" si="893"/>
        <v>255348</v>
      </c>
      <c r="T77" s="53">
        <f t="shared" ref="T77:U77" si="894">T70</f>
        <v>232141</v>
      </c>
      <c r="U77" s="53">
        <f t="shared" si="894"/>
        <v>288293</v>
      </c>
      <c r="V77" s="53">
        <f t="shared" ref="V77:AD77" si="895">V70</f>
        <v>213133</v>
      </c>
      <c r="W77" s="53">
        <f t="shared" si="895"/>
        <v>203194</v>
      </c>
      <c r="X77" s="53">
        <f t="shared" si="895"/>
        <v>129199</v>
      </c>
      <c r="Y77" s="53">
        <f t="shared" si="895"/>
        <v>171533</v>
      </c>
      <c r="Z77" s="53">
        <f t="shared" si="895"/>
        <v>219107</v>
      </c>
      <c r="AA77" s="53">
        <f t="shared" si="895"/>
        <v>26949</v>
      </c>
      <c r="AB77" s="53">
        <f t="shared" si="895"/>
        <v>162250</v>
      </c>
      <c r="AC77" s="53">
        <f t="shared" si="895"/>
        <v>119579</v>
      </c>
      <c r="AD77" s="53">
        <f t="shared" si="895"/>
        <v>101677</v>
      </c>
      <c r="AG77" s="2" t="s">
        <v>32</v>
      </c>
      <c r="AH77" s="2"/>
      <c r="AI77" s="53">
        <f t="shared" ref="AI77:AJ77" si="896">AI70</f>
        <v>199131</v>
      </c>
      <c r="AJ77" s="53">
        <f t="shared" si="896"/>
        <v>159548</v>
      </c>
      <c r="AK77" s="53">
        <f t="shared" ref="AK77:AL77" si="897">AK70</f>
        <v>164081</v>
      </c>
      <c r="AL77" s="53">
        <f t="shared" si="897"/>
        <v>170196</v>
      </c>
      <c r="AM77" s="53">
        <f t="shared" ref="AM77:AN77" si="898">AM70</f>
        <v>168555</v>
      </c>
      <c r="AN77" s="53">
        <f t="shared" si="898"/>
        <v>161598</v>
      </c>
      <c r="AO77" s="53">
        <f t="shared" ref="AO77:AW77" si="899">AO70</f>
        <v>162657</v>
      </c>
      <c r="AP77" s="53">
        <f t="shared" si="899"/>
        <v>182926</v>
      </c>
      <c r="AQ77" s="53">
        <f t="shared" si="899"/>
        <v>175652</v>
      </c>
      <c r="AR77" s="53">
        <f t="shared" si="899"/>
        <v>180779</v>
      </c>
      <c r="AS77" s="53">
        <f t="shared" si="899"/>
        <v>214201</v>
      </c>
      <c r="AT77" s="53">
        <f t="shared" si="899"/>
        <v>174711</v>
      </c>
      <c r="AU77" s="53">
        <f t="shared" si="899"/>
        <v>191876</v>
      </c>
      <c r="AV77" s="53">
        <f t="shared" si="899"/>
        <v>137588</v>
      </c>
      <c r="AW77" s="53">
        <f t="shared" si="899"/>
        <v>111410</v>
      </c>
      <c r="AZ77" s="2" t="s">
        <v>32</v>
      </c>
      <c r="BA77" s="2"/>
      <c r="BB77" s="53">
        <f>BB70</f>
        <v>1186593</v>
      </c>
      <c r="BC77" s="53">
        <f>BC70</f>
        <v>1034866</v>
      </c>
      <c r="BD77" s="53">
        <f t="shared" ref="BD77:BE77" si="900">BD70</f>
        <v>963636</v>
      </c>
      <c r="BE77" s="53">
        <f t="shared" si="900"/>
        <v>943052</v>
      </c>
      <c r="BF77" s="53">
        <f t="shared" ref="BF77:BG77" si="901">BF70</f>
        <v>836756</v>
      </c>
      <c r="BG77" s="53">
        <f t="shared" si="901"/>
        <v>782757</v>
      </c>
      <c r="BH77" s="53">
        <f t="shared" ref="BH77:BP77" si="902">BH70</f>
        <v>733756</v>
      </c>
      <c r="BI77" s="53">
        <f t="shared" si="902"/>
        <v>621458</v>
      </c>
      <c r="BJ77" s="53">
        <f t="shared" si="902"/>
        <v>567129</v>
      </c>
      <c r="BK77" s="53">
        <f t="shared" si="902"/>
        <v>558109</v>
      </c>
      <c r="BL77" s="53">
        <f t="shared" si="902"/>
        <v>619530</v>
      </c>
      <c r="BM77" s="53">
        <f t="shared" si="902"/>
        <v>537945</v>
      </c>
      <c r="BN77" s="53">
        <f t="shared" si="902"/>
        <v>478713</v>
      </c>
      <c r="BO77" s="53">
        <f t="shared" si="902"/>
        <v>429476</v>
      </c>
      <c r="BP77" s="53">
        <f t="shared" si="902"/>
        <v>419511</v>
      </c>
      <c r="BS77" s="2" t="s">
        <v>32</v>
      </c>
      <c r="BT77" s="2"/>
      <c r="BU77" s="53">
        <f>BU70</f>
        <v>409778</v>
      </c>
      <c r="BV77" s="53">
        <f>BV70</f>
        <v>380451</v>
      </c>
      <c r="BW77" s="53">
        <f>BW70</f>
        <v>385562</v>
      </c>
      <c r="BX77" s="53">
        <f t="shared" ref="BX77:BZ77" si="903">BX70</f>
        <v>407277</v>
      </c>
      <c r="BY77" s="53">
        <f t="shared" si="903"/>
        <v>370712</v>
      </c>
      <c r="BZ77" s="53">
        <f t="shared" si="903"/>
        <v>315842</v>
      </c>
      <c r="CA77" s="53">
        <f t="shared" ref="CA77:CG77" si="904">CA70</f>
        <v>0</v>
      </c>
      <c r="CB77" s="53">
        <f t="shared" si="904"/>
        <v>0</v>
      </c>
      <c r="CC77" s="53">
        <f t="shared" si="904"/>
        <v>0</v>
      </c>
      <c r="CD77" s="53">
        <f t="shared" si="904"/>
        <v>0</v>
      </c>
      <c r="CE77" s="53">
        <f t="shared" si="904"/>
        <v>0</v>
      </c>
      <c r="CF77" s="53">
        <f t="shared" si="904"/>
        <v>0</v>
      </c>
      <c r="CG77" s="53">
        <f t="shared" si="904"/>
        <v>0</v>
      </c>
      <c r="CJ77" s="2" t="s">
        <v>32</v>
      </c>
      <c r="CK77" s="2"/>
      <c r="CL77" s="53">
        <f t="shared" ref="CL77" si="905">CL70</f>
        <v>621729</v>
      </c>
      <c r="CM77" s="53">
        <f t="shared" ref="CM77" si="906">CM70</f>
        <v>574046</v>
      </c>
      <c r="CN77" s="53">
        <f t="shared" ref="CN77:CO77" si="907">CN70</f>
        <v>481905</v>
      </c>
      <c r="CO77" s="53">
        <f t="shared" si="907"/>
        <v>508282</v>
      </c>
      <c r="CP77" s="53">
        <f t="shared" ref="CP77:CQ77" si="908">CP70</f>
        <v>510919</v>
      </c>
      <c r="CQ77" s="53">
        <f t="shared" si="908"/>
        <v>458326</v>
      </c>
      <c r="CR77" s="53">
        <f t="shared" ref="CR77:CZ77" si="909">CR70</f>
        <v>458462</v>
      </c>
      <c r="CS77" s="53">
        <f t="shared" si="909"/>
        <v>450776</v>
      </c>
      <c r="CT77" s="53">
        <f t="shared" si="909"/>
        <v>423033</v>
      </c>
      <c r="CU77" s="53">
        <f t="shared" si="909"/>
        <v>369223</v>
      </c>
      <c r="CV77" s="53">
        <f t="shared" si="909"/>
        <v>344451</v>
      </c>
      <c r="CW77" s="53">
        <f t="shared" si="909"/>
        <v>320362</v>
      </c>
      <c r="CX77" s="53">
        <f t="shared" si="909"/>
        <v>290827</v>
      </c>
      <c r="CY77" s="53">
        <f t="shared" si="909"/>
        <v>281828</v>
      </c>
      <c r="CZ77" s="53">
        <f t="shared" si="909"/>
        <v>256733</v>
      </c>
      <c r="DC77" s="2" t="s">
        <v>32</v>
      </c>
      <c r="DD77" s="2"/>
      <c r="DE77" s="53">
        <f t="shared" ref="DE77:DF77" si="910">DE70</f>
        <v>425200</v>
      </c>
      <c r="DF77" s="53">
        <f t="shared" si="910"/>
        <v>398100</v>
      </c>
      <c r="DG77" s="53">
        <f t="shared" ref="DG77:DH77" si="911">DG70</f>
        <v>353900</v>
      </c>
      <c r="DH77" s="53">
        <f t="shared" si="911"/>
        <v>392700</v>
      </c>
      <c r="DI77" s="53">
        <f t="shared" ref="DI77:DJ77" si="912">DI70</f>
        <v>350500</v>
      </c>
      <c r="DJ77" s="53">
        <f t="shared" si="912"/>
        <v>333200</v>
      </c>
      <c r="DK77" s="53">
        <f t="shared" ref="DK77:DS77" si="913">DK70</f>
        <v>199300</v>
      </c>
      <c r="DL77" s="53">
        <f t="shared" si="913"/>
        <v>124094</v>
      </c>
      <c r="DM77" s="53">
        <f t="shared" si="913"/>
        <v>134533</v>
      </c>
      <c r="DN77" s="53">
        <f t="shared" si="913"/>
        <v>127474</v>
      </c>
      <c r="DO77" s="53">
        <f t="shared" si="913"/>
        <v>124705</v>
      </c>
      <c r="DP77" s="53">
        <f t="shared" si="913"/>
        <v>119225</v>
      </c>
      <c r="DQ77" s="53">
        <f t="shared" si="913"/>
        <v>120621</v>
      </c>
      <c r="DR77" s="53">
        <f t="shared" si="913"/>
        <v>71935</v>
      </c>
      <c r="DS77" s="53">
        <f t="shared" si="913"/>
        <v>114754</v>
      </c>
      <c r="DV77" s="2" t="s">
        <v>32</v>
      </c>
      <c r="DW77" s="2"/>
      <c r="DX77" s="53">
        <f t="shared" ref="DX77:DY77" si="914">DX70</f>
        <v>349572</v>
      </c>
      <c r="DY77" s="53">
        <f t="shared" si="914"/>
        <v>257968</v>
      </c>
      <c r="DZ77" s="53">
        <f t="shared" ref="DZ77:EA77" si="915">DZ70</f>
        <v>259540</v>
      </c>
      <c r="EA77" s="53">
        <f t="shared" si="915"/>
        <v>231633</v>
      </c>
      <c r="EB77" s="53">
        <f t="shared" ref="EB77:EC77" si="916">EB70</f>
        <v>284417</v>
      </c>
      <c r="EC77" s="53">
        <f t="shared" si="916"/>
        <v>200010</v>
      </c>
      <c r="ED77" s="53">
        <f t="shared" ref="ED77" si="917">ED70</f>
        <v>177227</v>
      </c>
      <c r="EE77" s="53">
        <f t="shared" ref="EE77:EL77" si="918">EE70</f>
        <v>124934</v>
      </c>
      <c r="EF77" s="53">
        <f t="shared" si="918"/>
        <v>167003</v>
      </c>
      <c r="EG77" s="53">
        <f t="shared" si="918"/>
        <v>160353</v>
      </c>
      <c r="EH77" s="53">
        <f t="shared" si="918"/>
        <v>140241</v>
      </c>
      <c r="EI77" s="53">
        <f t="shared" si="918"/>
        <v>119469</v>
      </c>
      <c r="EJ77" s="53">
        <f t="shared" si="918"/>
        <v>135610</v>
      </c>
      <c r="EK77" s="53">
        <f t="shared" si="918"/>
        <v>107163</v>
      </c>
      <c r="EL77" s="53">
        <f t="shared" si="918"/>
        <v>124095</v>
      </c>
      <c r="EO77" s="2" t="s">
        <v>33</v>
      </c>
      <c r="EP77" s="34">
        <f>ROUND((EP75+EP62)/EP62,2)</f>
        <v>5.01</v>
      </c>
      <c r="EQ77" s="34">
        <f t="shared" ref="EQ77:EU77" si="919">ROUND((EQ75+EQ62)/EQ62,2)</f>
        <v>5.66</v>
      </c>
      <c r="ER77" s="34">
        <f t="shared" si="919"/>
        <v>7.51</v>
      </c>
      <c r="ES77" s="34">
        <f t="shared" si="919"/>
        <v>5.92</v>
      </c>
      <c r="ET77" s="34">
        <f t="shared" si="919"/>
        <v>6.02</v>
      </c>
      <c r="EU77" s="34">
        <f t="shared" si="919"/>
        <v>6.02</v>
      </c>
      <c r="EX77" s="128"/>
      <c r="EY77" s="128"/>
      <c r="EZ77" s="128"/>
      <c r="FA77" s="128"/>
      <c r="FB77" s="128"/>
      <c r="FC77" s="128"/>
      <c r="FD77" s="128"/>
      <c r="FE77" s="125"/>
      <c r="FF77" s="36"/>
      <c r="FG77" s="1"/>
      <c r="FH77" s="1"/>
    </row>
    <row r="78" spans="1:164" x14ac:dyDescent="0.25">
      <c r="A78" s="1" t="s">
        <v>8</v>
      </c>
      <c r="B78" s="122">
        <f>B15</f>
        <v>2818847.5714285718</v>
      </c>
      <c r="C78" s="122">
        <f>C15</f>
        <v>2476947.1428571427</v>
      </c>
      <c r="D78" s="122">
        <f t="shared" ref="D78:L78" si="920">D15</f>
        <v>2238884</v>
      </c>
      <c r="E78" s="122">
        <f t="shared" si="920"/>
        <v>1924533.4285714286</v>
      </c>
      <c r="F78" s="122">
        <f t="shared" si="920"/>
        <v>1720552.2857142859</v>
      </c>
      <c r="G78" s="122">
        <f t="shared" si="920"/>
        <v>1588843.5714285716</v>
      </c>
      <c r="H78" s="122">
        <f t="shared" si="920"/>
        <v>1362539.857142857</v>
      </c>
      <c r="I78" s="122">
        <f t="shared" si="920"/>
        <v>1162161.1428571427</v>
      </c>
      <c r="J78" s="122">
        <f t="shared" si="920"/>
        <v>987195.71428571432</v>
      </c>
      <c r="K78" s="122">
        <f t="shared" si="920"/>
        <v>891943.14285714296</v>
      </c>
      <c r="L78" s="122">
        <f t="shared" si="920"/>
        <v>883356.42857142864</v>
      </c>
      <c r="N78" s="1" t="s">
        <v>8</v>
      </c>
      <c r="O78" s="1"/>
      <c r="P78" s="9">
        <f t="shared" ref="P78" si="921">P15</f>
        <v>2412052</v>
      </c>
      <c r="Q78" s="9">
        <f t="shared" ref="Q78" si="922">Q15</f>
        <v>1584046</v>
      </c>
      <c r="R78" s="9">
        <f t="shared" ref="R78:S78" si="923">R15</f>
        <v>1456114</v>
      </c>
      <c r="S78" s="9">
        <f t="shared" si="923"/>
        <v>1428455</v>
      </c>
      <c r="T78" s="9">
        <f t="shared" ref="T78:U78" si="924">T15</f>
        <v>1246702</v>
      </c>
      <c r="U78" s="9">
        <f t="shared" si="924"/>
        <v>921083</v>
      </c>
      <c r="V78" s="9">
        <f t="shared" ref="V78:AD78" si="925">V15</f>
        <v>933714</v>
      </c>
      <c r="W78" s="9">
        <f t="shared" si="925"/>
        <v>947129</v>
      </c>
      <c r="X78" s="9">
        <f t="shared" si="925"/>
        <v>812729</v>
      </c>
      <c r="Y78" s="9">
        <f t="shared" si="925"/>
        <v>593722</v>
      </c>
      <c r="Z78" s="9">
        <f t="shared" si="925"/>
        <v>607782</v>
      </c>
      <c r="AA78" s="9">
        <f t="shared" si="925"/>
        <v>605402</v>
      </c>
      <c r="AB78" s="9">
        <f t="shared" si="925"/>
        <v>693436</v>
      </c>
      <c r="AC78" s="9">
        <f t="shared" si="925"/>
        <v>644001</v>
      </c>
      <c r="AD78" s="9">
        <f t="shared" si="925"/>
        <v>616771</v>
      </c>
      <c r="AG78" s="1" t="s">
        <v>8</v>
      </c>
      <c r="AH78" s="1"/>
      <c r="AI78" s="9">
        <f t="shared" ref="AI78:AJ78" si="926">AI15</f>
        <v>1259950</v>
      </c>
      <c r="AJ78" s="9">
        <f t="shared" si="926"/>
        <v>1030164</v>
      </c>
      <c r="AK78" s="9">
        <f t="shared" ref="AK78:AL78" si="927">AK15</f>
        <v>953856</v>
      </c>
      <c r="AL78" s="9">
        <f t="shared" si="927"/>
        <v>834087</v>
      </c>
      <c r="AM78" s="9">
        <f t="shared" ref="AM78:AN78" si="928">AM15</f>
        <v>772623</v>
      </c>
      <c r="AN78" s="9">
        <f t="shared" si="928"/>
        <v>864453</v>
      </c>
      <c r="AO78" s="9">
        <f t="shared" ref="AO78:AW78" si="929">AO15</f>
        <v>896400</v>
      </c>
      <c r="AP78" s="9">
        <f t="shared" si="929"/>
        <v>929900</v>
      </c>
      <c r="AQ78" s="9">
        <f t="shared" si="929"/>
        <v>881950</v>
      </c>
      <c r="AR78" s="9">
        <f t="shared" si="929"/>
        <v>823300</v>
      </c>
      <c r="AS78" s="9">
        <f t="shared" si="929"/>
        <v>859135</v>
      </c>
      <c r="AT78" s="9">
        <f t="shared" si="929"/>
        <v>738700</v>
      </c>
      <c r="AU78" s="9">
        <f t="shared" si="929"/>
        <v>760000</v>
      </c>
      <c r="AV78" s="9">
        <f t="shared" si="929"/>
        <v>660100</v>
      </c>
      <c r="AW78" s="9">
        <f t="shared" si="929"/>
        <v>646600</v>
      </c>
      <c r="AZ78" s="1" t="s">
        <v>8</v>
      </c>
      <c r="BA78" s="1"/>
      <c r="BB78" s="9">
        <f>BB15</f>
        <v>4531944</v>
      </c>
      <c r="BC78" s="9">
        <f>BC15</f>
        <v>3994367</v>
      </c>
      <c r="BD78" s="9">
        <f t="shared" ref="BD78:BE78" si="930">BD15</f>
        <v>3644445</v>
      </c>
      <c r="BE78" s="9">
        <f t="shared" si="930"/>
        <v>3514790</v>
      </c>
      <c r="BF78" s="9">
        <f t="shared" ref="BF78:BG78" si="931">BF15</f>
        <v>3268590</v>
      </c>
      <c r="BG78" s="9">
        <f t="shared" si="931"/>
        <v>2895442</v>
      </c>
      <c r="BH78" s="9">
        <f t="shared" ref="BH78:BP78" si="932">BH15</f>
        <v>2652681</v>
      </c>
      <c r="BI78" s="9">
        <f t="shared" si="932"/>
        <v>2823655</v>
      </c>
      <c r="BJ78" s="9">
        <f t="shared" si="932"/>
        <v>2527365</v>
      </c>
      <c r="BK78" s="9">
        <f t="shared" si="932"/>
        <v>2414947</v>
      </c>
      <c r="BL78" s="9">
        <f t="shared" si="932"/>
        <v>2295782</v>
      </c>
      <c r="BM78" s="9">
        <f t="shared" si="932"/>
        <v>2242081</v>
      </c>
      <c r="BN78" s="9">
        <f t="shared" si="932"/>
        <v>2471119</v>
      </c>
      <c r="BO78" s="9">
        <f t="shared" si="932"/>
        <v>2280745</v>
      </c>
      <c r="BP78" s="9">
        <f t="shared" si="932"/>
        <v>2565964</v>
      </c>
      <c r="BS78" s="1" t="s">
        <v>8</v>
      </c>
      <c r="BT78" s="1"/>
      <c r="BU78" s="9">
        <f t="shared" ref="BU78" si="933">BU15</f>
        <v>2000653</v>
      </c>
      <c r="BV78" s="9">
        <f t="shared" ref="BV78" si="934">BV15</f>
        <v>1802564</v>
      </c>
      <c r="BW78" s="9">
        <f t="shared" ref="BW78:BY78" si="935">BW15</f>
        <v>1584983</v>
      </c>
      <c r="BX78" s="9">
        <f t="shared" si="935"/>
        <v>1550472</v>
      </c>
      <c r="BY78" s="9">
        <f t="shared" si="935"/>
        <v>1337453</v>
      </c>
      <c r="BZ78" s="9">
        <f t="shared" ref="BZ78:CG78" si="936">BZ15</f>
        <v>1204167</v>
      </c>
      <c r="CA78" s="9">
        <f t="shared" si="936"/>
        <v>0</v>
      </c>
      <c r="CB78" s="9">
        <f t="shared" si="936"/>
        <v>0</v>
      </c>
      <c r="CC78" s="9">
        <f t="shared" si="936"/>
        <v>0</v>
      </c>
      <c r="CD78" s="9">
        <f t="shared" si="936"/>
        <v>0</v>
      </c>
      <c r="CE78" s="9">
        <f t="shared" si="936"/>
        <v>0</v>
      </c>
      <c r="CF78" s="9">
        <f t="shared" si="936"/>
        <v>0</v>
      </c>
      <c r="CG78" s="9">
        <f t="shared" si="936"/>
        <v>0</v>
      </c>
      <c r="CJ78" s="1" t="s">
        <v>8</v>
      </c>
      <c r="CK78" s="1"/>
      <c r="CL78" s="9">
        <f t="shared" ref="CL78" si="937">CL15</f>
        <v>2879633</v>
      </c>
      <c r="CM78" s="9">
        <f t="shared" ref="CM78" si="938">CM15</f>
        <v>2674994</v>
      </c>
      <c r="CN78" s="9">
        <f t="shared" ref="CN78:CO78" si="939">CN15</f>
        <v>2292318</v>
      </c>
      <c r="CO78" s="9">
        <f t="shared" si="939"/>
        <v>2038422</v>
      </c>
      <c r="CP78" s="9">
        <f t="shared" ref="CP78:CQ78" si="940">CP15</f>
        <v>1600084</v>
      </c>
      <c r="CQ78" s="9">
        <f t="shared" si="940"/>
        <v>1588679</v>
      </c>
      <c r="CR78" s="9">
        <f t="shared" ref="CR78:CZ78" si="941">CR15</f>
        <v>1661784</v>
      </c>
      <c r="CS78" s="9">
        <f t="shared" si="941"/>
        <v>1392432</v>
      </c>
      <c r="CT78" s="9">
        <f t="shared" si="941"/>
        <v>1318510</v>
      </c>
      <c r="CU78" s="9">
        <f t="shared" si="941"/>
        <v>1253476</v>
      </c>
      <c r="CV78" s="9">
        <f t="shared" si="941"/>
        <v>1199761</v>
      </c>
      <c r="CW78" s="9">
        <f t="shared" si="941"/>
        <v>1270684</v>
      </c>
      <c r="CX78" s="9">
        <f t="shared" si="941"/>
        <v>1348307</v>
      </c>
      <c r="CY78" s="9">
        <f t="shared" si="941"/>
        <v>1413146</v>
      </c>
      <c r="CZ78" s="9">
        <f t="shared" si="941"/>
        <v>1413899</v>
      </c>
      <c r="DC78" s="1" t="s">
        <v>8</v>
      </c>
      <c r="DD78" s="1"/>
      <c r="DE78" s="9">
        <f t="shared" ref="DE78:DF78" si="942">DE15</f>
        <v>3132100</v>
      </c>
      <c r="DF78" s="9">
        <f t="shared" si="942"/>
        <v>2865800</v>
      </c>
      <c r="DG78" s="9">
        <f t="shared" ref="DG78:DH78" si="943">DG15</f>
        <v>2629200</v>
      </c>
      <c r="DH78" s="9">
        <f t="shared" si="943"/>
        <v>2572300</v>
      </c>
      <c r="DI78" s="9">
        <f t="shared" ref="DI78:DJ78" si="944">DI15</f>
        <v>2482400</v>
      </c>
      <c r="DJ78" s="9">
        <f t="shared" si="944"/>
        <v>2189500</v>
      </c>
      <c r="DK78" s="9">
        <f t="shared" ref="DK78:DS78" si="945">DK15</f>
        <v>2138100</v>
      </c>
      <c r="DL78" s="9">
        <f t="shared" si="945"/>
        <v>986712</v>
      </c>
      <c r="DM78" s="9">
        <f t="shared" si="945"/>
        <v>404516</v>
      </c>
      <c r="DN78" s="9">
        <f t="shared" si="945"/>
        <v>410357</v>
      </c>
      <c r="DO78" s="9">
        <f t="shared" si="945"/>
        <v>518948</v>
      </c>
      <c r="DP78" s="9">
        <f t="shared" si="945"/>
        <v>519040</v>
      </c>
      <c r="DQ78" s="9">
        <f t="shared" si="945"/>
        <v>605241</v>
      </c>
      <c r="DR78" s="9">
        <f t="shared" si="945"/>
        <v>607082</v>
      </c>
      <c r="DS78" s="9">
        <f t="shared" si="945"/>
        <v>602900</v>
      </c>
      <c r="DV78" s="1" t="s">
        <v>8</v>
      </c>
      <c r="DW78" s="1"/>
      <c r="DX78" s="9">
        <f t="shared" ref="DX78:DY78" si="946">DX15</f>
        <v>3515601</v>
      </c>
      <c r="DY78" s="9">
        <f t="shared" si="946"/>
        <v>3386695</v>
      </c>
      <c r="DZ78" s="9">
        <f t="shared" ref="DZ78:EA78" si="947">DZ15</f>
        <v>3111272</v>
      </c>
      <c r="EA78" s="9">
        <f t="shared" si="947"/>
        <v>1533208</v>
      </c>
      <c r="EB78" s="9">
        <f t="shared" ref="EB78:EC78" si="948">EB15</f>
        <v>1336014</v>
      </c>
      <c r="EC78" s="9">
        <f t="shared" si="948"/>
        <v>1458581</v>
      </c>
      <c r="ED78" s="9">
        <f t="shared" ref="ED78" si="949">ED15</f>
        <v>1255100</v>
      </c>
      <c r="EE78" s="9">
        <f t="shared" ref="EE78:EL78" si="950">EE15</f>
        <v>1055300</v>
      </c>
      <c r="EF78" s="9">
        <f t="shared" si="950"/>
        <v>965300</v>
      </c>
      <c r="EG78" s="9">
        <f t="shared" si="950"/>
        <v>747800</v>
      </c>
      <c r="EH78" s="9">
        <f t="shared" si="950"/>
        <v>702087</v>
      </c>
      <c r="EI78" s="9">
        <f t="shared" si="950"/>
        <v>544512</v>
      </c>
      <c r="EJ78" s="9">
        <f t="shared" si="950"/>
        <v>570446</v>
      </c>
      <c r="EK78" s="9">
        <f t="shared" si="950"/>
        <v>476292</v>
      </c>
      <c r="EL78" s="9">
        <f t="shared" si="950"/>
        <v>554991</v>
      </c>
      <c r="EO78" s="2"/>
      <c r="EP78" s="2"/>
      <c r="EQ78" s="2"/>
      <c r="ER78" s="2"/>
      <c r="ES78" s="2"/>
      <c r="ET78" s="34"/>
      <c r="EU78" s="34"/>
      <c r="EX78" s="128"/>
      <c r="EY78" s="128"/>
      <c r="EZ78" s="128"/>
      <c r="FA78" s="128"/>
      <c r="FB78" s="128"/>
      <c r="FC78" s="128"/>
      <c r="FD78" s="128"/>
      <c r="FE78" s="125"/>
      <c r="FF78" s="36"/>
      <c r="FG78" s="1"/>
      <c r="FH78" s="1"/>
    </row>
    <row r="79" spans="1:164" x14ac:dyDescent="0.25">
      <c r="A79" s="1" t="s">
        <v>113</v>
      </c>
      <c r="B79" s="10">
        <f t="shared" ref="B79:L79" si="951">(P79+AI79+BB79+BU79+CL79+DE79+DX79)/7</f>
        <v>247118.14285714287</v>
      </c>
      <c r="C79" s="10">
        <f t="shared" si="951"/>
        <v>239070.71428571429</v>
      </c>
      <c r="D79" s="10">
        <f t="shared" si="951"/>
        <v>199151.85714285713</v>
      </c>
      <c r="E79" s="10">
        <f t="shared" si="951"/>
        <v>213278.71428571429</v>
      </c>
      <c r="F79" s="10">
        <f t="shared" si="951"/>
        <v>249424</v>
      </c>
      <c r="G79" s="10">
        <f t="shared" si="951"/>
        <v>232767.71428571429</v>
      </c>
      <c r="H79" s="10">
        <f t="shared" si="951"/>
        <v>200017.85714285713</v>
      </c>
      <c r="I79" s="10">
        <f t="shared" si="951"/>
        <v>154565</v>
      </c>
      <c r="J79" s="10">
        <f t="shared" si="951"/>
        <v>207867.28571428571</v>
      </c>
      <c r="K79" s="10">
        <f t="shared" si="951"/>
        <v>199801.57142857142</v>
      </c>
      <c r="L79" s="10">
        <f t="shared" si="951"/>
        <v>163375.28571428571</v>
      </c>
      <c r="N79" s="1" t="s">
        <v>114</v>
      </c>
      <c r="P79" s="11">
        <v>237221</v>
      </c>
      <c r="Q79" s="10">
        <v>246517</v>
      </c>
      <c r="R79" s="10">
        <v>137007</v>
      </c>
      <c r="S79" s="10">
        <v>128888</v>
      </c>
      <c r="T79" s="10">
        <v>141604</v>
      </c>
      <c r="U79" s="10">
        <v>137414</v>
      </c>
      <c r="V79" s="10">
        <v>86674</v>
      </c>
      <c r="W79" s="10">
        <v>67897</v>
      </c>
      <c r="X79" s="10">
        <v>124196</v>
      </c>
      <c r="Y79" s="10">
        <v>114305</v>
      </c>
      <c r="Z79" s="10">
        <v>93742</v>
      </c>
      <c r="AA79" s="10">
        <v>89035</v>
      </c>
      <c r="AB79" s="10">
        <v>52272</v>
      </c>
      <c r="AC79" s="10">
        <v>25743</v>
      </c>
      <c r="AD79" s="10">
        <v>4497</v>
      </c>
      <c r="AE79" s="10"/>
      <c r="AG79" s="1" t="s">
        <v>114</v>
      </c>
      <c r="AI79" s="10">
        <v>217287</v>
      </c>
      <c r="AJ79" s="10">
        <v>228129</v>
      </c>
      <c r="AK79" s="10">
        <v>221886</v>
      </c>
      <c r="AL79" s="10">
        <v>223333</v>
      </c>
      <c r="AM79" s="10">
        <v>225725</v>
      </c>
      <c r="AN79" s="10">
        <v>223105</v>
      </c>
      <c r="AO79" s="10">
        <v>236735</v>
      </c>
      <c r="AP79" s="10">
        <v>149354</v>
      </c>
      <c r="AQ79" s="10">
        <v>215792</v>
      </c>
      <c r="AR79" s="10">
        <v>201530</v>
      </c>
      <c r="AS79" s="10">
        <v>144250</v>
      </c>
      <c r="AT79" s="10">
        <v>127687</v>
      </c>
      <c r="AU79" s="10">
        <v>138229</v>
      </c>
      <c r="AV79" s="10">
        <v>41619</v>
      </c>
      <c r="AW79" s="10">
        <v>52690</v>
      </c>
      <c r="AX79" s="10"/>
      <c r="AZ79" s="1" t="s">
        <v>114</v>
      </c>
      <c r="BB79" s="10">
        <v>337303</v>
      </c>
      <c r="BC79" s="10">
        <v>279083</v>
      </c>
      <c r="BD79" s="10">
        <v>177520</v>
      </c>
      <c r="BE79" s="10">
        <v>230588</v>
      </c>
      <c r="BF79" s="10">
        <v>297743</v>
      </c>
      <c r="BG79" s="10">
        <v>287373</v>
      </c>
      <c r="BH79" s="10">
        <v>340963</v>
      </c>
      <c r="BI79" s="10">
        <v>358787</v>
      </c>
      <c r="BJ79" s="10">
        <v>457196</v>
      </c>
      <c r="BK79" s="10">
        <f>149228+112115+210629</f>
        <v>471972</v>
      </c>
      <c r="BL79" s="10">
        <v>389948</v>
      </c>
      <c r="BM79" s="10">
        <v>343732</v>
      </c>
      <c r="BN79" s="10">
        <v>234171</v>
      </c>
      <c r="BO79" s="10">
        <v>159073</v>
      </c>
      <c r="BP79" s="10">
        <v>167350</v>
      </c>
      <c r="BQ79" s="10"/>
      <c r="BS79" s="1" t="s">
        <v>114</v>
      </c>
      <c r="BU79" s="10">
        <v>97637</v>
      </c>
      <c r="BV79" s="10">
        <v>115657</v>
      </c>
      <c r="BW79" s="10">
        <v>178720</v>
      </c>
      <c r="BX79" s="10">
        <v>172938</v>
      </c>
      <c r="BY79" s="10">
        <v>303507</v>
      </c>
      <c r="BZ79" s="10">
        <v>272309</v>
      </c>
      <c r="CA79" s="10">
        <v>0</v>
      </c>
      <c r="CB79" s="10">
        <v>0</v>
      </c>
      <c r="CC79" s="10">
        <v>0</v>
      </c>
      <c r="CD79" s="10">
        <v>0</v>
      </c>
      <c r="CE79" s="10">
        <v>0</v>
      </c>
      <c r="CF79" s="10">
        <v>0</v>
      </c>
      <c r="CG79" s="10">
        <v>0</v>
      </c>
      <c r="CJ79" s="1" t="s">
        <v>114</v>
      </c>
      <c r="CL79" s="10">
        <f>312806+53631+29919</f>
        <v>396356</v>
      </c>
      <c r="CM79" s="10">
        <f>354584+47397+23273</f>
        <v>425254</v>
      </c>
      <c r="CN79" s="10">
        <f>325400+40603+22615</f>
        <v>388618</v>
      </c>
      <c r="CO79" s="10">
        <f>331819+45727+20714</f>
        <v>398260</v>
      </c>
      <c r="CP79" s="10">
        <f>309391+43311+25752</f>
        <v>378454</v>
      </c>
      <c r="CQ79" s="10">
        <f>307937+42720+29048</f>
        <v>379705</v>
      </c>
      <c r="CR79" s="10">
        <f>305444+41176+27310</f>
        <v>373930</v>
      </c>
      <c r="CS79" s="10">
        <f>166770+36143+15706</f>
        <v>218619</v>
      </c>
      <c r="CT79" s="10">
        <f>293062+37373+24454</f>
        <v>354889</v>
      </c>
      <c r="CU79" s="10">
        <f>258742+33827+22238</f>
        <v>314807</v>
      </c>
      <c r="CV79" s="10">
        <f>186203+31860+17125</f>
        <v>235188</v>
      </c>
      <c r="CW79" s="10">
        <f>213301+35339+16811</f>
        <v>265451</v>
      </c>
      <c r="CX79" s="10">
        <f>199551+31786+16479</f>
        <v>247816</v>
      </c>
      <c r="CY79" s="10">
        <f>94599+32605+10031</f>
        <v>137235</v>
      </c>
      <c r="CZ79" s="10">
        <f>107097+33657+14279</f>
        <v>155033</v>
      </c>
      <c r="DA79" s="10"/>
      <c r="DC79" s="1" t="s">
        <v>114</v>
      </c>
      <c r="DE79" s="10">
        <v>309000</v>
      </c>
      <c r="DF79" s="10">
        <v>264800</v>
      </c>
      <c r="DG79" s="10">
        <v>180200</v>
      </c>
      <c r="DH79" s="10">
        <v>237400</v>
      </c>
      <c r="DI79" s="10">
        <v>303700</v>
      </c>
      <c r="DJ79" s="10">
        <v>253400</v>
      </c>
      <c r="DK79" s="10">
        <v>244900</v>
      </c>
      <c r="DL79" s="10">
        <v>228653</v>
      </c>
      <c r="DM79" s="10">
        <v>196558</v>
      </c>
      <c r="DN79" s="10">
        <v>185701</v>
      </c>
      <c r="DO79" s="10">
        <v>207607</v>
      </c>
      <c r="DP79" s="10">
        <v>202681</v>
      </c>
      <c r="DQ79" s="10">
        <v>98513</v>
      </c>
      <c r="DR79" s="10">
        <v>63678</v>
      </c>
      <c r="DS79" s="10">
        <v>20302</v>
      </c>
      <c r="DT79" s="10"/>
      <c r="DV79" s="1" t="s">
        <v>114</v>
      </c>
      <c r="DX79" s="10">
        <v>135023</v>
      </c>
      <c r="DY79" s="10">
        <v>114055</v>
      </c>
      <c r="DZ79" s="10">
        <v>110112</v>
      </c>
      <c r="EA79" s="10">
        <v>101544</v>
      </c>
      <c r="EB79" s="10">
        <v>95235</v>
      </c>
      <c r="EC79" s="10">
        <v>76068</v>
      </c>
      <c r="ED79" s="10">
        <f>1550+115373</f>
        <v>116923</v>
      </c>
      <c r="EE79" s="10">
        <f>1275+57370</f>
        <v>58645</v>
      </c>
      <c r="EF79" s="10">
        <v>106440</v>
      </c>
      <c r="EG79" s="10">
        <f>109021+1275</f>
        <v>110296</v>
      </c>
      <c r="EH79" s="10">
        <f>71675+1217</f>
        <v>72892</v>
      </c>
      <c r="EI79" s="10">
        <f>69141+1109</f>
        <v>70250</v>
      </c>
      <c r="EJ79" s="10">
        <f>80835+1031</f>
        <v>81866</v>
      </c>
      <c r="EK79" s="10">
        <f>29036+805</f>
        <v>29841</v>
      </c>
      <c r="EL79" s="10">
        <f>33162+788</f>
        <v>33950</v>
      </c>
      <c r="EM79" s="10"/>
      <c r="ET79" s="10"/>
      <c r="EU79" s="10"/>
      <c r="EX79" s="1"/>
      <c r="EY79" s="1"/>
      <c r="EZ79" s="9"/>
      <c r="FA79" s="9"/>
      <c r="FB79" s="9"/>
      <c r="FC79" s="9"/>
      <c r="FD79" s="9"/>
      <c r="FE79" s="1"/>
      <c r="FF79" s="1"/>
      <c r="FG79" s="1"/>
      <c r="FH79" s="1"/>
    </row>
    <row r="80" spans="1:164" x14ac:dyDescent="0.25">
      <c r="A80" s="2" t="s">
        <v>35</v>
      </c>
      <c r="B80" s="53">
        <f>B78+B79</f>
        <v>3065965.7142857146</v>
      </c>
      <c r="C80" s="53">
        <f>C78+C79</f>
        <v>2716017.8571428568</v>
      </c>
      <c r="D80" s="53">
        <f t="shared" ref="D80:L80" si="952">D78+D79</f>
        <v>2438035.8571428573</v>
      </c>
      <c r="E80" s="53">
        <f t="shared" si="952"/>
        <v>2137812.1428571427</v>
      </c>
      <c r="F80" s="53">
        <f t="shared" si="952"/>
        <v>1969976.2857142859</v>
      </c>
      <c r="G80" s="53">
        <f t="shared" si="952"/>
        <v>1821611.2857142859</v>
      </c>
      <c r="H80" s="53">
        <f t="shared" si="952"/>
        <v>1562557.7142857141</v>
      </c>
      <c r="I80" s="53">
        <f t="shared" si="952"/>
        <v>1316726.1428571427</v>
      </c>
      <c r="J80" s="53">
        <f t="shared" si="952"/>
        <v>1195063</v>
      </c>
      <c r="K80" s="53">
        <f t="shared" si="952"/>
        <v>1091744.7142857143</v>
      </c>
      <c r="L80" s="53">
        <f t="shared" si="952"/>
        <v>1046731.7142857143</v>
      </c>
      <c r="N80" s="2" t="s">
        <v>35</v>
      </c>
      <c r="O80" s="2"/>
      <c r="P80" s="53">
        <f t="shared" ref="P80" si="953">P78+P79</f>
        <v>2649273</v>
      </c>
      <c r="Q80" s="53">
        <f t="shared" ref="Q80" si="954">Q78+Q79</f>
        <v>1830563</v>
      </c>
      <c r="R80" s="53">
        <f t="shared" ref="R80:S80" si="955">R78+R79</f>
        <v>1593121</v>
      </c>
      <c r="S80" s="53">
        <f t="shared" si="955"/>
        <v>1557343</v>
      </c>
      <c r="T80" s="53">
        <f t="shared" ref="T80:U80" si="956">T78+T79</f>
        <v>1388306</v>
      </c>
      <c r="U80" s="53">
        <f t="shared" si="956"/>
        <v>1058497</v>
      </c>
      <c r="V80" s="53">
        <f t="shared" ref="V80:W80" si="957">V78+V79</f>
        <v>1020388</v>
      </c>
      <c r="W80" s="53">
        <f t="shared" si="957"/>
        <v>1015026</v>
      </c>
      <c r="X80" s="53">
        <f t="shared" ref="X80" si="958">X78+X79</f>
        <v>936925</v>
      </c>
      <c r="Y80" s="53">
        <f t="shared" ref="Y80:AD80" si="959">Y78+Y79</f>
        <v>708027</v>
      </c>
      <c r="Z80" s="53">
        <f t="shared" si="959"/>
        <v>701524</v>
      </c>
      <c r="AA80" s="53">
        <f t="shared" si="959"/>
        <v>694437</v>
      </c>
      <c r="AB80" s="53">
        <f t="shared" si="959"/>
        <v>745708</v>
      </c>
      <c r="AC80" s="53">
        <f t="shared" si="959"/>
        <v>669744</v>
      </c>
      <c r="AD80" s="53">
        <f t="shared" si="959"/>
        <v>621268</v>
      </c>
      <c r="AG80" s="2" t="s">
        <v>35</v>
      </c>
      <c r="AH80" s="2"/>
      <c r="AI80" s="53">
        <f t="shared" ref="AI80:AJ80" si="960">AI78+AI79</f>
        <v>1477237</v>
      </c>
      <c r="AJ80" s="53">
        <f t="shared" si="960"/>
        <v>1258293</v>
      </c>
      <c r="AK80" s="53">
        <f t="shared" ref="AK80:AM80" si="961">AK78+AK79</f>
        <v>1175742</v>
      </c>
      <c r="AL80" s="53">
        <f t="shared" si="961"/>
        <v>1057420</v>
      </c>
      <c r="AM80" s="53">
        <f t="shared" si="961"/>
        <v>998348</v>
      </c>
      <c r="AN80" s="53">
        <f t="shared" ref="AN80:AO80" si="962">AN78+AN79</f>
        <v>1087558</v>
      </c>
      <c r="AO80" s="53">
        <f t="shared" si="962"/>
        <v>1133135</v>
      </c>
      <c r="AP80" s="53">
        <f t="shared" ref="AP80" si="963">AP78+AP79</f>
        <v>1079254</v>
      </c>
      <c r="AQ80" s="53">
        <f t="shared" ref="AQ80" si="964">AQ78+AQ79</f>
        <v>1097742</v>
      </c>
      <c r="AR80" s="53">
        <f t="shared" ref="AR80:AW80" si="965">AR78+AR79</f>
        <v>1024830</v>
      </c>
      <c r="AS80" s="53">
        <f t="shared" si="965"/>
        <v>1003385</v>
      </c>
      <c r="AT80" s="53">
        <f t="shared" si="965"/>
        <v>866387</v>
      </c>
      <c r="AU80" s="53">
        <f t="shared" si="965"/>
        <v>898229</v>
      </c>
      <c r="AV80" s="53">
        <f t="shared" si="965"/>
        <v>701719</v>
      </c>
      <c r="AW80" s="53">
        <f t="shared" si="965"/>
        <v>699290</v>
      </c>
      <c r="AZ80" s="2" t="s">
        <v>35</v>
      </c>
      <c r="BA80" s="2"/>
      <c r="BB80" s="53">
        <f>BB78+BB79</f>
        <v>4869247</v>
      </c>
      <c r="BC80" s="53">
        <f>BC78+BC79</f>
        <v>4273450</v>
      </c>
      <c r="BD80" s="53">
        <f t="shared" ref="BD80:BE80" si="966">BD78+BD79</f>
        <v>3821965</v>
      </c>
      <c r="BE80" s="53">
        <f t="shared" si="966"/>
        <v>3745378</v>
      </c>
      <c r="BF80" s="53">
        <f t="shared" ref="BF80:BG80" si="967">BF78+BF79</f>
        <v>3566333</v>
      </c>
      <c r="BG80" s="53">
        <f t="shared" si="967"/>
        <v>3182815</v>
      </c>
      <c r="BH80" s="53">
        <f t="shared" ref="BH80" si="968">BH78+BH79</f>
        <v>2993644</v>
      </c>
      <c r="BI80" s="53">
        <f t="shared" ref="BI80:BJ80" si="969">BI78+BI79</f>
        <v>3182442</v>
      </c>
      <c r="BJ80" s="53">
        <f t="shared" si="969"/>
        <v>2984561</v>
      </c>
      <c r="BK80" s="53">
        <f t="shared" ref="BK80:BP80" si="970">BK78+BK79</f>
        <v>2886919</v>
      </c>
      <c r="BL80" s="53">
        <f t="shared" si="970"/>
        <v>2685730</v>
      </c>
      <c r="BM80" s="53">
        <f t="shared" si="970"/>
        <v>2585813</v>
      </c>
      <c r="BN80" s="53">
        <f t="shared" si="970"/>
        <v>2705290</v>
      </c>
      <c r="BO80" s="53">
        <f t="shared" si="970"/>
        <v>2439818</v>
      </c>
      <c r="BP80" s="53">
        <f t="shared" si="970"/>
        <v>2733314</v>
      </c>
      <c r="BS80" s="2" t="s">
        <v>35</v>
      </c>
      <c r="BT80" s="2"/>
      <c r="BU80" s="53">
        <f>BU78+BU79</f>
        <v>2098290</v>
      </c>
      <c r="BV80" s="53">
        <f>BV78+BV79</f>
        <v>1918221</v>
      </c>
      <c r="BW80" s="53">
        <f>BW78+BW79</f>
        <v>1763703</v>
      </c>
      <c r="BX80" s="53">
        <f t="shared" ref="BX80:BZ80" si="971">BX78+BX79</f>
        <v>1723410</v>
      </c>
      <c r="BY80" s="53">
        <f t="shared" si="971"/>
        <v>1640960</v>
      </c>
      <c r="BZ80" s="53">
        <f t="shared" si="971"/>
        <v>1476476</v>
      </c>
      <c r="CA80" s="53">
        <f t="shared" ref="CA80" si="972">CA78+CA79</f>
        <v>0</v>
      </c>
      <c r="CB80" s="53">
        <f t="shared" ref="CB80:CG80" si="973">CB78+CB79</f>
        <v>0</v>
      </c>
      <c r="CC80" s="53">
        <f t="shared" si="973"/>
        <v>0</v>
      </c>
      <c r="CD80" s="53">
        <f t="shared" si="973"/>
        <v>0</v>
      </c>
      <c r="CE80" s="53">
        <f t="shared" si="973"/>
        <v>0</v>
      </c>
      <c r="CF80" s="53">
        <f t="shared" si="973"/>
        <v>0</v>
      </c>
      <c r="CG80" s="53">
        <f t="shared" si="973"/>
        <v>0</v>
      </c>
      <c r="CJ80" s="2" t="s">
        <v>35</v>
      </c>
      <c r="CK80" s="2"/>
      <c r="CL80" s="53">
        <f t="shared" ref="CL80" si="974">CL78+CL79</f>
        <v>3275989</v>
      </c>
      <c r="CM80" s="53">
        <f t="shared" ref="CM80" si="975">CM78+CM79</f>
        <v>3100248</v>
      </c>
      <c r="CN80" s="53">
        <f t="shared" ref="CN80:CO80" si="976">CN78+CN79</f>
        <v>2680936</v>
      </c>
      <c r="CO80" s="53">
        <f t="shared" si="976"/>
        <v>2436682</v>
      </c>
      <c r="CP80" s="53">
        <f t="shared" ref="CP80:CQ80" si="977">CP78+CP79</f>
        <v>1978538</v>
      </c>
      <c r="CQ80" s="53">
        <f t="shared" si="977"/>
        <v>1968384</v>
      </c>
      <c r="CR80" s="53">
        <f t="shared" ref="CR80" si="978">CR78+CR79</f>
        <v>2035714</v>
      </c>
      <c r="CS80" s="53">
        <f t="shared" ref="CS80:CT80" si="979">CS78+CS79</f>
        <v>1611051</v>
      </c>
      <c r="CT80" s="53">
        <f t="shared" si="979"/>
        <v>1673399</v>
      </c>
      <c r="CU80" s="53">
        <f t="shared" ref="CU80:CZ80" si="980">CU78+CU79</f>
        <v>1568283</v>
      </c>
      <c r="CV80" s="53">
        <f t="shared" si="980"/>
        <v>1434949</v>
      </c>
      <c r="CW80" s="53">
        <f t="shared" si="980"/>
        <v>1536135</v>
      </c>
      <c r="CX80" s="53">
        <f t="shared" si="980"/>
        <v>1596123</v>
      </c>
      <c r="CY80" s="53">
        <f t="shared" si="980"/>
        <v>1550381</v>
      </c>
      <c r="CZ80" s="53">
        <f t="shared" si="980"/>
        <v>1568932</v>
      </c>
      <c r="DC80" s="2" t="s">
        <v>35</v>
      </c>
      <c r="DD80" s="2"/>
      <c r="DE80" s="53">
        <f t="shared" ref="DE80:DF80" si="981">DE78+DE79</f>
        <v>3441100</v>
      </c>
      <c r="DF80" s="53">
        <f t="shared" si="981"/>
        <v>3130600</v>
      </c>
      <c r="DG80" s="53">
        <f t="shared" ref="DG80:DH80" si="982">DG78+DG79</f>
        <v>2809400</v>
      </c>
      <c r="DH80" s="53">
        <f t="shared" si="982"/>
        <v>2809700</v>
      </c>
      <c r="DI80" s="53">
        <f t="shared" ref="DI80:DJ80" si="983">DI78+DI79</f>
        <v>2786100</v>
      </c>
      <c r="DJ80" s="53">
        <f t="shared" si="983"/>
        <v>2442900</v>
      </c>
      <c r="DK80" s="53">
        <f t="shared" ref="DK80" si="984">DK78+DK79</f>
        <v>2383000</v>
      </c>
      <c r="DL80" s="53">
        <f t="shared" ref="DL80" si="985">DL78+DL79</f>
        <v>1215365</v>
      </c>
      <c r="DM80" s="53">
        <f t="shared" ref="DM80" si="986">DM78+DM79</f>
        <v>601074</v>
      </c>
      <c r="DN80" s="53">
        <f t="shared" ref="DN80:DS80" si="987">DN78+DN79</f>
        <v>596058</v>
      </c>
      <c r="DO80" s="53">
        <f t="shared" si="987"/>
        <v>726555</v>
      </c>
      <c r="DP80" s="53">
        <f t="shared" si="987"/>
        <v>721721</v>
      </c>
      <c r="DQ80" s="53">
        <f t="shared" si="987"/>
        <v>703754</v>
      </c>
      <c r="DR80" s="53">
        <f t="shared" si="987"/>
        <v>670760</v>
      </c>
      <c r="DS80" s="53">
        <f t="shared" si="987"/>
        <v>623202</v>
      </c>
      <c r="DV80" s="2" t="s">
        <v>35</v>
      </c>
      <c r="DW80" s="2"/>
      <c r="DX80" s="53">
        <f t="shared" ref="DX80:DY80" si="988">DX78+DX79</f>
        <v>3650624</v>
      </c>
      <c r="DY80" s="53">
        <f t="shared" si="988"/>
        <v>3500750</v>
      </c>
      <c r="DZ80" s="53">
        <f t="shared" ref="DZ80:EA80" si="989">DZ78+DZ79</f>
        <v>3221384</v>
      </c>
      <c r="EA80" s="53">
        <f t="shared" si="989"/>
        <v>1634752</v>
      </c>
      <c r="EB80" s="53">
        <f t="shared" ref="EB80:EC80" si="990">EB78+EB79</f>
        <v>1431249</v>
      </c>
      <c r="EC80" s="53">
        <f t="shared" si="990"/>
        <v>1534649</v>
      </c>
      <c r="ED80" s="53">
        <f t="shared" ref="ED80" si="991">ED78+ED79</f>
        <v>1372023</v>
      </c>
      <c r="EE80" s="53">
        <f t="shared" ref="EE80:EF80" si="992">EE78+EE79</f>
        <v>1113945</v>
      </c>
      <c r="EF80" s="53">
        <f t="shared" si="992"/>
        <v>1071740</v>
      </c>
      <c r="EG80" s="53">
        <f t="shared" ref="EG80:EL80" si="993">EG78+EG79</f>
        <v>858096</v>
      </c>
      <c r="EH80" s="53">
        <f t="shared" si="993"/>
        <v>774979</v>
      </c>
      <c r="EI80" s="53">
        <f t="shared" si="993"/>
        <v>614762</v>
      </c>
      <c r="EJ80" s="53">
        <f t="shared" si="993"/>
        <v>652312</v>
      </c>
      <c r="EK80" s="53">
        <f t="shared" si="993"/>
        <v>506133</v>
      </c>
      <c r="EL80" s="53">
        <f t="shared" si="993"/>
        <v>588941</v>
      </c>
      <c r="EO80" s="83" t="s">
        <v>37</v>
      </c>
      <c r="EP80" s="55">
        <f t="shared" ref="EP80:EU80" si="994">EP9</f>
        <v>2020</v>
      </c>
      <c r="EQ80" s="55">
        <f t="shared" si="994"/>
        <v>2019</v>
      </c>
      <c r="ER80" s="55">
        <f t="shared" si="994"/>
        <v>2018</v>
      </c>
      <c r="ES80" s="55">
        <f t="shared" si="994"/>
        <v>2017</v>
      </c>
      <c r="ET80" s="55">
        <f t="shared" si="994"/>
        <v>2016</v>
      </c>
      <c r="EU80" s="55">
        <f t="shared" si="994"/>
        <v>2015</v>
      </c>
      <c r="EX80" s="61"/>
      <c r="EY80" s="16"/>
      <c r="EZ80" s="129"/>
      <c r="FA80" s="129"/>
      <c r="FB80" s="129"/>
      <c r="FC80" s="129"/>
      <c r="FD80" s="129"/>
      <c r="FE80" s="1"/>
      <c r="FF80" s="1"/>
      <c r="FG80" s="1"/>
      <c r="FH80" s="1"/>
    </row>
    <row r="81" spans="1:164" x14ac:dyDescent="0.25">
      <c r="A81" s="2" t="s">
        <v>36</v>
      </c>
      <c r="B81" s="12">
        <f t="shared" ref="B81:L81" si="995">(P81+AI81+BB81+BU81+CL81+DE81+DX81)/7</f>
        <v>0.15700000000000003</v>
      </c>
      <c r="C81" s="12">
        <f t="shared" si="995"/>
        <v>0.15185714285714288</v>
      </c>
      <c r="D81" s="12">
        <f t="shared" si="995"/>
        <v>0.16585714285714287</v>
      </c>
      <c r="E81" s="12">
        <f t="shared" si="995"/>
        <v>0.18628571428571425</v>
      </c>
      <c r="F81" s="12">
        <f t="shared" si="995"/>
        <v>0.19714285714285715</v>
      </c>
      <c r="G81" s="12">
        <f t="shared" si="995"/>
        <v>0.19714285714285712</v>
      </c>
      <c r="H81" s="12" t="e">
        <f t="shared" si="995"/>
        <v>#DIV/0!</v>
      </c>
      <c r="I81" s="12" t="e">
        <f t="shared" si="995"/>
        <v>#DIV/0!</v>
      </c>
      <c r="J81" s="12" t="e">
        <f t="shared" si="995"/>
        <v>#DIV/0!</v>
      </c>
      <c r="K81" s="12" t="e">
        <f t="shared" si="995"/>
        <v>#DIV/0!</v>
      </c>
      <c r="L81" s="12" t="e">
        <f t="shared" si="995"/>
        <v>#DIV/0!</v>
      </c>
      <c r="N81" s="2" t="s">
        <v>36</v>
      </c>
      <c r="O81" s="2"/>
      <c r="P81" s="12">
        <f t="shared" ref="P81" si="996">ROUND(P77/P80,3)</f>
        <v>0.115</v>
      </c>
      <c r="Q81" s="12">
        <f t="shared" ref="Q81" si="997">ROUND(Q77/Q80,3)</f>
        <v>0.11</v>
      </c>
      <c r="R81" s="12">
        <f t="shared" ref="R81:S81" si="998">ROUND(R77/R80,3)</f>
        <v>0.16300000000000001</v>
      </c>
      <c r="S81" s="12">
        <f t="shared" si="998"/>
        <v>0.16400000000000001</v>
      </c>
      <c r="T81" s="12">
        <f t="shared" ref="T81:U81" si="999">ROUND(T77/T80,3)</f>
        <v>0.16700000000000001</v>
      </c>
      <c r="U81" s="12">
        <f t="shared" si="999"/>
        <v>0.27200000000000002</v>
      </c>
      <c r="V81" s="12">
        <f t="shared" ref="V81:AD81" si="1000">ROUND(V77/V80,3)</f>
        <v>0.20899999999999999</v>
      </c>
      <c r="W81" s="12">
        <f t="shared" si="1000"/>
        <v>0.2</v>
      </c>
      <c r="X81" s="12">
        <f t="shared" si="1000"/>
        <v>0.13800000000000001</v>
      </c>
      <c r="Y81" s="12">
        <f t="shared" si="1000"/>
        <v>0.24199999999999999</v>
      </c>
      <c r="Z81" s="12">
        <f t="shared" si="1000"/>
        <v>0.312</v>
      </c>
      <c r="AA81" s="12">
        <f t="shared" si="1000"/>
        <v>3.9E-2</v>
      </c>
      <c r="AB81" s="12">
        <f t="shared" si="1000"/>
        <v>0.218</v>
      </c>
      <c r="AC81" s="12">
        <f t="shared" si="1000"/>
        <v>0.17899999999999999</v>
      </c>
      <c r="AD81" s="12">
        <f t="shared" si="1000"/>
        <v>0.16400000000000001</v>
      </c>
      <c r="AG81" s="2" t="s">
        <v>36</v>
      </c>
      <c r="AH81" s="2"/>
      <c r="AI81" s="12">
        <f t="shared" ref="AI81:AJ81" si="1001">ROUND(AI77/AI80,3)</f>
        <v>0.13500000000000001</v>
      </c>
      <c r="AJ81" s="12">
        <f t="shared" si="1001"/>
        <v>0.127</v>
      </c>
      <c r="AK81" s="12">
        <f t="shared" ref="AK81:AL81" si="1002">ROUND(AK77/AK80,3)</f>
        <v>0.14000000000000001</v>
      </c>
      <c r="AL81" s="12">
        <f t="shared" si="1002"/>
        <v>0.161</v>
      </c>
      <c r="AM81" s="12">
        <f t="shared" ref="AM81:AN81" si="1003">ROUND(AM77/AM80,3)</f>
        <v>0.16900000000000001</v>
      </c>
      <c r="AN81" s="12">
        <f t="shared" si="1003"/>
        <v>0.14899999999999999</v>
      </c>
      <c r="AO81" s="12">
        <f t="shared" ref="AO81:AW81" si="1004">ROUND(AO77/AO80,3)</f>
        <v>0.14399999999999999</v>
      </c>
      <c r="AP81" s="12">
        <f t="shared" si="1004"/>
        <v>0.16900000000000001</v>
      </c>
      <c r="AQ81" s="12">
        <f t="shared" si="1004"/>
        <v>0.16</v>
      </c>
      <c r="AR81" s="12">
        <f t="shared" si="1004"/>
        <v>0.17599999999999999</v>
      </c>
      <c r="AS81" s="12">
        <f t="shared" si="1004"/>
        <v>0.21299999999999999</v>
      </c>
      <c r="AT81" s="12">
        <f t="shared" si="1004"/>
        <v>0.20200000000000001</v>
      </c>
      <c r="AU81" s="12">
        <f t="shared" si="1004"/>
        <v>0.214</v>
      </c>
      <c r="AV81" s="12">
        <f t="shared" si="1004"/>
        <v>0.19600000000000001</v>
      </c>
      <c r="AW81" s="12">
        <f t="shared" si="1004"/>
        <v>0.159</v>
      </c>
      <c r="AZ81" s="2" t="s">
        <v>36</v>
      </c>
      <c r="BA81" s="2"/>
      <c r="BB81" s="12">
        <f>ROUND(BB77/BB80,3)</f>
        <v>0.24399999999999999</v>
      </c>
      <c r="BC81" s="12">
        <f>ROUND(BC77/BC80,3)</f>
        <v>0.24199999999999999</v>
      </c>
      <c r="BD81" s="12">
        <f t="shared" ref="BD81:BE81" si="1005">ROUND(BD77/BD80,3)</f>
        <v>0.252</v>
      </c>
      <c r="BE81" s="12">
        <f t="shared" si="1005"/>
        <v>0.252</v>
      </c>
      <c r="BF81" s="12">
        <f t="shared" ref="BF81:BG81" si="1006">ROUND(BF77/BF80,3)</f>
        <v>0.23499999999999999</v>
      </c>
      <c r="BG81" s="12">
        <f t="shared" si="1006"/>
        <v>0.246</v>
      </c>
      <c r="BH81" s="12">
        <f t="shared" ref="BH81:BP81" si="1007">ROUND(BH77/BH80,3)</f>
        <v>0.245</v>
      </c>
      <c r="BI81" s="12">
        <f t="shared" si="1007"/>
        <v>0.19500000000000001</v>
      </c>
      <c r="BJ81" s="12">
        <f t="shared" si="1007"/>
        <v>0.19</v>
      </c>
      <c r="BK81" s="12">
        <f t="shared" si="1007"/>
        <v>0.193</v>
      </c>
      <c r="BL81" s="12">
        <f t="shared" si="1007"/>
        <v>0.23100000000000001</v>
      </c>
      <c r="BM81" s="12">
        <f t="shared" si="1007"/>
        <v>0.20799999999999999</v>
      </c>
      <c r="BN81" s="12">
        <f t="shared" si="1007"/>
        <v>0.17699999999999999</v>
      </c>
      <c r="BO81" s="12">
        <f t="shared" si="1007"/>
        <v>0.17599999999999999</v>
      </c>
      <c r="BP81" s="12">
        <f t="shared" si="1007"/>
        <v>0.153</v>
      </c>
      <c r="BS81" s="2" t="s">
        <v>36</v>
      </c>
      <c r="BT81" s="2"/>
      <c r="BU81" s="12">
        <f>ROUND(BU77/BU80,3)</f>
        <v>0.19500000000000001</v>
      </c>
      <c r="BV81" s="12">
        <f>ROUND(BV77/BV80,3)</f>
        <v>0.19800000000000001</v>
      </c>
      <c r="BW81" s="12">
        <f>ROUND(BW77/BW80,3)</f>
        <v>0.219</v>
      </c>
      <c r="BX81" s="12">
        <f t="shared" ref="BX81:BZ81" si="1008">ROUND(BX77/BX80,3)</f>
        <v>0.23599999999999999</v>
      </c>
      <c r="BY81" s="12">
        <f t="shared" si="1008"/>
        <v>0.22600000000000001</v>
      </c>
      <c r="BZ81" s="12">
        <f t="shared" si="1008"/>
        <v>0.214</v>
      </c>
      <c r="CA81" s="12" t="e">
        <f t="shared" ref="CA81:CG81" si="1009">ROUND(CA77/CA80,3)</f>
        <v>#DIV/0!</v>
      </c>
      <c r="CB81" s="12" t="e">
        <f t="shared" si="1009"/>
        <v>#DIV/0!</v>
      </c>
      <c r="CC81" s="12" t="e">
        <f t="shared" si="1009"/>
        <v>#DIV/0!</v>
      </c>
      <c r="CD81" s="12" t="e">
        <f t="shared" si="1009"/>
        <v>#DIV/0!</v>
      </c>
      <c r="CE81" s="12" t="e">
        <f t="shared" si="1009"/>
        <v>#DIV/0!</v>
      </c>
      <c r="CF81" s="12" t="e">
        <f t="shared" si="1009"/>
        <v>#DIV/0!</v>
      </c>
      <c r="CG81" s="12" t="e">
        <f t="shared" si="1009"/>
        <v>#DIV/0!</v>
      </c>
      <c r="CJ81" s="2" t="s">
        <v>36</v>
      </c>
      <c r="CK81" s="2"/>
      <c r="CL81" s="12">
        <f t="shared" ref="CL81" si="1010">ROUND(CL77/CL80,3)</f>
        <v>0.19</v>
      </c>
      <c r="CM81" s="12">
        <f t="shared" ref="CM81" si="1011">ROUND(CM77/CM80,3)</f>
        <v>0.185</v>
      </c>
      <c r="CN81" s="12">
        <f t="shared" ref="CN81:CO81" si="1012">ROUND(CN77/CN80,3)</f>
        <v>0.18</v>
      </c>
      <c r="CO81" s="12">
        <f t="shared" si="1012"/>
        <v>0.20899999999999999</v>
      </c>
      <c r="CP81" s="12">
        <f t="shared" ref="CP81:CQ81" si="1013">ROUND(CP77/CP80,3)</f>
        <v>0.25800000000000001</v>
      </c>
      <c r="CQ81" s="12">
        <f t="shared" si="1013"/>
        <v>0.23300000000000001</v>
      </c>
      <c r="CR81" s="12">
        <f t="shared" ref="CR81:CZ81" si="1014">ROUND(CR77/CR80,3)</f>
        <v>0.22500000000000001</v>
      </c>
      <c r="CS81" s="12">
        <f t="shared" si="1014"/>
        <v>0.28000000000000003</v>
      </c>
      <c r="CT81" s="12">
        <f t="shared" si="1014"/>
        <v>0.253</v>
      </c>
      <c r="CU81" s="12">
        <f t="shared" si="1014"/>
        <v>0.23499999999999999</v>
      </c>
      <c r="CV81" s="12">
        <f t="shared" si="1014"/>
        <v>0.24</v>
      </c>
      <c r="CW81" s="12">
        <f t="shared" si="1014"/>
        <v>0.20899999999999999</v>
      </c>
      <c r="CX81" s="12">
        <f t="shared" si="1014"/>
        <v>0.182</v>
      </c>
      <c r="CY81" s="12">
        <f t="shared" si="1014"/>
        <v>0.182</v>
      </c>
      <c r="CZ81" s="12">
        <f t="shared" si="1014"/>
        <v>0.16400000000000001</v>
      </c>
      <c r="DC81" s="2" t="s">
        <v>36</v>
      </c>
      <c r="DD81" s="2"/>
      <c r="DE81" s="12">
        <f t="shared" ref="DE81:DF81" si="1015">ROUND(DE77/DE80,3)</f>
        <v>0.124</v>
      </c>
      <c r="DF81" s="12">
        <f t="shared" si="1015"/>
        <v>0.127</v>
      </c>
      <c r="DG81" s="12">
        <f t="shared" ref="DG81:DH81" si="1016">ROUND(DG77/DG80,3)</f>
        <v>0.126</v>
      </c>
      <c r="DH81" s="12">
        <f t="shared" si="1016"/>
        <v>0.14000000000000001</v>
      </c>
      <c r="DI81" s="12">
        <f t="shared" ref="DI81:DJ81" si="1017">ROUND(DI77/DI80,3)</f>
        <v>0.126</v>
      </c>
      <c r="DJ81" s="12">
        <f t="shared" si="1017"/>
        <v>0.13600000000000001</v>
      </c>
      <c r="DK81" s="12">
        <f t="shared" ref="DK81:DS81" si="1018">ROUND(DK77/DK80,3)</f>
        <v>8.4000000000000005E-2</v>
      </c>
      <c r="DL81" s="12">
        <f t="shared" si="1018"/>
        <v>0.10199999999999999</v>
      </c>
      <c r="DM81" s="12">
        <f t="shared" si="1018"/>
        <v>0.224</v>
      </c>
      <c r="DN81" s="12">
        <f t="shared" si="1018"/>
        <v>0.214</v>
      </c>
      <c r="DO81" s="12">
        <f t="shared" si="1018"/>
        <v>0.17199999999999999</v>
      </c>
      <c r="DP81" s="12">
        <f t="shared" si="1018"/>
        <v>0.16500000000000001</v>
      </c>
      <c r="DQ81" s="12">
        <f t="shared" si="1018"/>
        <v>0.17100000000000001</v>
      </c>
      <c r="DR81" s="12">
        <f t="shared" si="1018"/>
        <v>0.107</v>
      </c>
      <c r="DS81" s="12">
        <f t="shared" si="1018"/>
        <v>0.184</v>
      </c>
      <c r="DV81" s="2" t="s">
        <v>36</v>
      </c>
      <c r="DW81" s="2"/>
      <c r="DX81" s="12">
        <f t="shared" ref="DX81:DY81" si="1019">ROUND(DX77/DX80,3)</f>
        <v>9.6000000000000002E-2</v>
      </c>
      <c r="DY81" s="12">
        <f t="shared" si="1019"/>
        <v>7.3999999999999996E-2</v>
      </c>
      <c r="DZ81" s="12">
        <f t="shared" ref="DZ81:EA81" si="1020">ROUND(DZ77/DZ80,3)</f>
        <v>8.1000000000000003E-2</v>
      </c>
      <c r="EA81" s="12">
        <f t="shared" si="1020"/>
        <v>0.14199999999999999</v>
      </c>
      <c r="EB81" s="12">
        <f t="shared" ref="EB81:EC81" si="1021">ROUND(EB77/EB80,3)</f>
        <v>0.19900000000000001</v>
      </c>
      <c r="EC81" s="12">
        <f t="shared" si="1021"/>
        <v>0.13</v>
      </c>
      <c r="ED81" s="12">
        <f t="shared" ref="ED81:EL81" si="1022">ROUND(ED77/ED80,3)</f>
        <v>0.129</v>
      </c>
      <c r="EE81" s="12">
        <f t="shared" si="1022"/>
        <v>0.112</v>
      </c>
      <c r="EF81" s="12">
        <f t="shared" si="1022"/>
        <v>0.156</v>
      </c>
      <c r="EG81" s="12">
        <f t="shared" si="1022"/>
        <v>0.187</v>
      </c>
      <c r="EH81" s="12">
        <f t="shared" si="1022"/>
        <v>0.18099999999999999</v>
      </c>
      <c r="EI81" s="12">
        <f t="shared" si="1022"/>
        <v>0.19400000000000001</v>
      </c>
      <c r="EJ81" s="12">
        <f t="shared" si="1022"/>
        <v>0.20799999999999999</v>
      </c>
      <c r="EK81" s="12">
        <f t="shared" si="1022"/>
        <v>0.21199999999999999</v>
      </c>
      <c r="EL81" s="12">
        <f t="shared" si="1022"/>
        <v>0.21099999999999999</v>
      </c>
      <c r="EX81" s="1"/>
      <c r="EY81" s="1"/>
      <c r="EZ81" s="29"/>
      <c r="FA81" s="9"/>
      <c r="FB81" s="9"/>
      <c r="FC81" s="9"/>
      <c r="FD81" s="9"/>
      <c r="FE81" s="1"/>
      <c r="FF81" s="1"/>
      <c r="FG81" s="1"/>
      <c r="FH81" s="1"/>
    </row>
    <row r="82" spans="1:164" x14ac:dyDescent="0.25">
      <c r="F82" s="134"/>
      <c r="G82" s="134"/>
      <c r="H82" s="134"/>
      <c r="I82" s="134"/>
      <c r="J82" s="134"/>
      <c r="K82" s="134"/>
      <c r="L82" s="134"/>
      <c r="U82" s="10"/>
      <c r="W82" s="10"/>
      <c r="X82" s="10"/>
      <c r="Z82" s="10"/>
      <c r="AA82" s="10"/>
      <c r="AB82" s="10"/>
      <c r="AC82" s="10"/>
      <c r="AD82" s="10"/>
      <c r="AM82" s="10"/>
      <c r="AN82" s="10"/>
      <c r="AO82" s="10"/>
      <c r="AP82" s="10"/>
      <c r="AQ82" s="10"/>
      <c r="AS82" s="10"/>
      <c r="AT82" s="10"/>
      <c r="AU82" s="10"/>
      <c r="AV82" s="10"/>
      <c r="AW82" s="10"/>
      <c r="BF82" s="10"/>
      <c r="BG82" s="10"/>
      <c r="BH82" s="10"/>
      <c r="BI82" s="10"/>
      <c r="BJ82" s="10"/>
      <c r="BL82" s="10"/>
      <c r="BM82" s="10"/>
      <c r="BN82" s="10"/>
      <c r="BO82" s="10"/>
      <c r="BP82" s="10"/>
      <c r="CC82" s="10"/>
      <c r="CD82" s="10"/>
      <c r="CE82" s="10"/>
      <c r="CF82" s="10"/>
      <c r="CG82" s="10"/>
      <c r="CP82" s="10"/>
      <c r="CQ82" s="10"/>
      <c r="CR82" s="10"/>
      <c r="CS82" s="10"/>
      <c r="CT82" s="10"/>
      <c r="CV82" s="10"/>
      <c r="CW82" s="10"/>
      <c r="CX82" s="10"/>
      <c r="CY82" s="10"/>
      <c r="CZ82" s="10"/>
      <c r="DI82" s="10"/>
      <c r="DJ82" s="10"/>
      <c r="DK82" s="10"/>
      <c r="DL82" s="10"/>
      <c r="DM82" s="10"/>
      <c r="DO82" s="10"/>
      <c r="DP82" s="10"/>
      <c r="DQ82" s="10"/>
      <c r="DR82" s="10"/>
      <c r="DS82" s="10"/>
      <c r="EB82" s="10"/>
      <c r="EC82" s="10"/>
      <c r="ED82" s="10"/>
      <c r="EE82" s="10"/>
      <c r="EF82" s="10"/>
      <c r="EH82" s="10"/>
      <c r="EI82" s="10"/>
      <c r="EJ82" s="10"/>
      <c r="EK82" s="10"/>
      <c r="EL82" s="10"/>
      <c r="EO82" s="47" t="s">
        <v>144</v>
      </c>
      <c r="EX82" s="1"/>
      <c r="EY82" s="1"/>
      <c r="EZ82" s="29"/>
      <c r="FA82" s="9"/>
      <c r="FB82" s="9"/>
      <c r="FC82" s="9"/>
      <c r="FD82" s="9"/>
      <c r="FE82" s="1"/>
      <c r="FF82" s="1"/>
      <c r="FG82" s="1"/>
      <c r="FH82" s="1"/>
    </row>
    <row r="83" spans="1:164" x14ac:dyDescent="0.25">
      <c r="U83" s="10"/>
      <c r="W83" s="10"/>
      <c r="X83" s="10"/>
      <c r="AM83" s="10"/>
      <c r="AN83" s="10"/>
      <c r="AO83" s="10"/>
      <c r="AP83" s="10"/>
      <c r="AQ83" s="10"/>
      <c r="BF83" s="10"/>
      <c r="BG83" s="10"/>
      <c r="BH83" s="10"/>
      <c r="BI83" s="10"/>
      <c r="BJ83" s="10"/>
      <c r="CP83" s="10"/>
      <c r="CQ83" s="10"/>
      <c r="CR83" s="10"/>
      <c r="CS83" s="10"/>
      <c r="CT83" s="10"/>
      <c r="DI83" s="10"/>
      <c r="DJ83" s="10"/>
      <c r="DK83" s="10"/>
      <c r="DL83" s="10"/>
      <c r="DM83" s="10"/>
      <c r="EB83" s="10"/>
      <c r="EC83" s="10"/>
      <c r="ED83" s="10"/>
      <c r="EE83" s="10"/>
      <c r="EF83" s="10"/>
      <c r="EO83" s="2" t="s">
        <v>32</v>
      </c>
      <c r="EP83" s="53">
        <f t="shared" ref="EP83:EU83" si="1023">EP75</f>
        <v>29900.91</v>
      </c>
      <c r="EQ83" s="53">
        <f t="shared" si="1023"/>
        <v>31586.031999999999</v>
      </c>
      <c r="ER83" s="53">
        <f t="shared" si="1023"/>
        <v>40559.410000000003</v>
      </c>
      <c r="ES83" s="53">
        <f t="shared" si="1023"/>
        <v>30139.344999999998</v>
      </c>
      <c r="ET83" s="53">
        <f t="shared" si="1023"/>
        <v>27535.011999999999</v>
      </c>
      <c r="EU83" s="53">
        <f t="shared" si="1023"/>
        <v>28160.03</v>
      </c>
      <c r="EX83" s="9"/>
      <c r="EY83" s="9"/>
      <c r="EZ83" s="9"/>
      <c r="FA83" s="9"/>
      <c r="FB83" s="9"/>
      <c r="FC83" s="9"/>
      <c r="FD83" s="9"/>
      <c r="FE83" s="1"/>
      <c r="FF83" s="36"/>
      <c r="FG83" s="1"/>
      <c r="FH83" s="1"/>
    </row>
    <row r="84" spans="1:164" x14ac:dyDescent="0.25">
      <c r="A84" s="47" t="s">
        <v>91</v>
      </c>
      <c r="B84" s="47"/>
      <c r="C84" s="47"/>
      <c r="D84" s="47"/>
      <c r="E84" s="47"/>
      <c r="F84" s="47"/>
      <c r="G84" s="47"/>
      <c r="N84" s="47" t="s">
        <v>91</v>
      </c>
      <c r="U84" s="10"/>
      <c r="W84" s="10"/>
      <c r="X84" s="10"/>
      <c r="AG84" s="47" t="s">
        <v>91</v>
      </c>
      <c r="AM84" s="10"/>
      <c r="AN84" s="10"/>
      <c r="AO84" s="10"/>
      <c r="AP84" s="10"/>
      <c r="AQ84" s="10"/>
      <c r="AZ84" s="47" t="s">
        <v>91</v>
      </c>
      <c r="BF84" s="10"/>
      <c r="BG84" s="10"/>
      <c r="BH84" s="10"/>
      <c r="BI84" s="10"/>
      <c r="BJ84" s="10"/>
      <c r="BS84" s="47" t="s">
        <v>91</v>
      </c>
      <c r="CJ84" s="47" t="s">
        <v>93</v>
      </c>
      <c r="CP84" s="10"/>
      <c r="CQ84" s="10"/>
      <c r="CR84" s="10"/>
      <c r="CS84" s="10"/>
      <c r="CT84" s="10"/>
      <c r="DC84" s="47" t="s">
        <v>145</v>
      </c>
      <c r="DI84" s="10"/>
      <c r="DJ84" s="10"/>
      <c r="DK84" s="10"/>
      <c r="DL84" s="10"/>
      <c r="DM84" s="10"/>
      <c r="DV84" s="47" t="s">
        <v>93</v>
      </c>
      <c r="EB84" s="10"/>
      <c r="EC84" s="10"/>
      <c r="ED84" s="10"/>
      <c r="EE84" s="10"/>
      <c r="EF84" s="10"/>
      <c r="EO84" s="11" t="s">
        <v>8</v>
      </c>
      <c r="EP84" s="9">
        <f t="shared" ref="EP84:EU84" si="1024">EP15</f>
        <v>188642.8</v>
      </c>
      <c r="EQ84" s="9">
        <f t="shared" si="1024"/>
        <v>164234.5</v>
      </c>
      <c r="ER84" s="9">
        <f t="shared" si="1024"/>
        <v>134749.79999999999</v>
      </c>
      <c r="ES84" s="9">
        <f t="shared" si="1024"/>
        <v>142200.70000000001</v>
      </c>
      <c r="ET84" s="9">
        <f t="shared" si="1024"/>
        <v>121389.2</v>
      </c>
      <c r="EU84" s="9">
        <f t="shared" si="1024"/>
        <v>87585</v>
      </c>
      <c r="EX84" s="9"/>
      <c r="EY84" s="9"/>
      <c r="EZ84" s="9"/>
      <c r="FA84" s="9"/>
      <c r="FB84" s="9"/>
      <c r="FC84" s="9"/>
      <c r="FD84" s="9"/>
      <c r="FE84" s="1"/>
      <c r="FF84" s="36"/>
      <c r="FG84" s="1"/>
      <c r="FH84" s="1"/>
    </row>
    <row r="85" spans="1:164" x14ac:dyDescent="0.25">
      <c r="A85" s="11" t="s">
        <v>30</v>
      </c>
      <c r="B85" s="10">
        <f>B67</f>
        <v>240503.42857142858</v>
      </c>
      <c r="C85" s="10">
        <f>C67</f>
        <v>204811.71428571429</v>
      </c>
      <c r="D85" s="10">
        <f t="shared" ref="D85:L85" si="1025">D67</f>
        <v>192981.57142857142</v>
      </c>
      <c r="E85" s="10">
        <f t="shared" si="1025"/>
        <v>155637.85714285713</v>
      </c>
      <c r="F85" s="10">
        <f t="shared" si="1025"/>
        <v>156690.14285714287</v>
      </c>
      <c r="G85" s="10">
        <f t="shared" si="1025"/>
        <v>150029.28571428571</v>
      </c>
      <c r="H85" s="10">
        <f t="shared" si="1025"/>
        <v>116178.71428571429</v>
      </c>
      <c r="I85" s="10">
        <f t="shared" si="1025"/>
        <v>99744.571428571435</v>
      </c>
      <c r="J85" s="10">
        <f t="shared" si="1025"/>
        <v>93861.428571428565</v>
      </c>
      <c r="K85" s="10">
        <f t="shared" si="1025"/>
        <v>91171.571428571435</v>
      </c>
      <c r="L85" s="10">
        <f t="shared" si="1025"/>
        <v>88647.428571428565</v>
      </c>
      <c r="N85" s="11" t="s">
        <v>30</v>
      </c>
      <c r="P85" s="10">
        <f t="shared" ref="P85:Q85" si="1026">P67</f>
        <v>193919</v>
      </c>
      <c r="Q85" s="10">
        <f t="shared" si="1026"/>
        <v>169505</v>
      </c>
      <c r="R85" s="10">
        <f t="shared" ref="R85:T85" si="1027">R67</f>
        <v>157700</v>
      </c>
      <c r="S85" s="10">
        <f t="shared" ref="S85:U85" si="1028">S67</f>
        <v>132065</v>
      </c>
      <c r="T85" s="10">
        <f t="shared" si="1027"/>
        <v>131672</v>
      </c>
      <c r="U85" s="10">
        <f t="shared" si="1028"/>
        <v>180960</v>
      </c>
      <c r="V85" s="10">
        <f t="shared" ref="V85:AD85" si="1029">V67</f>
        <v>141970</v>
      </c>
      <c r="W85" s="10">
        <f t="shared" si="1029"/>
        <v>114809</v>
      </c>
      <c r="X85" s="10">
        <f t="shared" si="1029"/>
        <v>92879</v>
      </c>
      <c r="Y85" s="10">
        <f t="shared" si="1029"/>
        <v>101299</v>
      </c>
      <c r="Z85" s="10">
        <f t="shared" si="1029"/>
        <v>117457</v>
      </c>
      <c r="AA85" s="10">
        <f t="shared" si="1029"/>
        <v>27242</v>
      </c>
      <c r="AB85" s="10">
        <f t="shared" si="1029"/>
        <v>109168</v>
      </c>
      <c r="AC85" s="10">
        <f t="shared" si="1029"/>
        <v>65281</v>
      </c>
      <c r="AD85" s="10">
        <f t="shared" si="1029"/>
        <v>78519</v>
      </c>
      <c r="AG85" s="11" t="s">
        <v>132</v>
      </c>
      <c r="AI85" s="10">
        <f t="shared" ref="AI85" si="1030">AI67</f>
        <v>76781</v>
      </c>
      <c r="AJ85" s="10">
        <f t="shared" ref="AJ85:AK85" si="1031">AJ67</f>
        <v>61735</v>
      </c>
      <c r="AK85" s="10">
        <f t="shared" si="1031"/>
        <v>64569</v>
      </c>
      <c r="AL85" s="10">
        <f>AL67+127696</f>
        <v>72073</v>
      </c>
      <c r="AM85" s="10">
        <f t="shared" ref="AM85:AN85" si="1032">AM67</f>
        <v>58895</v>
      </c>
      <c r="AN85" s="10">
        <f t="shared" si="1032"/>
        <v>53703</v>
      </c>
      <c r="AO85" s="10">
        <f t="shared" ref="AO85:AW85" si="1033">AO67</f>
        <v>58692</v>
      </c>
      <c r="AP85" s="10">
        <f t="shared" si="1033"/>
        <v>60538</v>
      </c>
      <c r="AQ85" s="10">
        <f t="shared" si="1033"/>
        <v>59855</v>
      </c>
      <c r="AR85" s="10">
        <f t="shared" si="1033"/>
        <v>63898</v>
      </c>
      <c r="AS85" s="10">
        <f t="shared" si="1033"/>
        <v>72667</v>
      </c>
      <c r="AT85" s="10">
        <f t="shared" si="1033"/>
        <v>75122</v>
      </c>
      <c r="AU85" s="10">
        <f t="shared" si="1033"/>
        <v>69525</v>
      </c>
      <c r="AV85" s="10">
        <f t="shared" si="1033"/>
        <v>74497</v>
      </c>
      <c r="AW85" s="10">
        <f t="shared" si="1033"/>
        <v>63415</v>
      </c>
      <c r="AZ85" s="11" t="s">
        <v>30</v>
      </c>
      <c r="BB85" s="10">
        <f t="shared" ref="BB85:BC85" si="1034">BB67</f>
        <v>601443</v>
      </c>
      <c r="BC85" s="10">
        <f t="shared" si="1034"/>
        <v>511406</v>
      </c>
      <c r="BD85" s="10">
        <f t="shared" ref="BD85:BE85" si="1035">BD67</f>
        <v>444282</v>
      </c>
      <c r="BE85" s="10">
        <f t="shared" si="1035"/>
        <v>396421</v>
      </c>
      <c r="BF85" s="10">
        <f t="shared" ref="BF85:BG85" si="1036">BF67</f>
        <v>350104</v>
      </c>
      <c r="BG85" s="10">
        <f t="shared" si="1036"/>
        <v>315075</v>
      </c>
      <c r="BH85" s="10">
        <f t="shared" ref="BH85:BP85" si="1037">BH67</f>
        <v>289817</v>
      </c>
      <c r="BI85" s="10">
        <f t="shared" si="1037"/>
        <v>243194</v>
      </c>
      <c r="BJ85" s="10">
        <f t="shared" si="1037"/>
        <v>216717</v>
      </c>
      <c r="BK85" s="10">
        <f t="shared" si="1037"/>
        <v>207601</v>
      </c>
      <c r="BL85" s="10">
        <f t="shared" si="1037"/>
        <v>205839</v>
      </c>
      <c r="BM85" s="10">
        <f t="shared" si="1037"/>
        <v>190978</v>
      </c>
      <c r="BN85" s="10">
        <f t="shared" si="1037"/>
        <v>180331</v>
      </c>
      <c r="BO85" s="10">
        <f t="shared" si="1037"/>
        <v>168492</v>
      </c>
      <c r="BP85" s="10">
        <f t="shared" si="1037"/>
        <v>147737</v>
      </c>
      <c r="BS85" s="11" t="s">
        <v>30</v>
      </c>
      <c r="BU85" s="10">
        <f t="shared" ref="BU85" si="1038">BU67</f>
        <v>196412</v>
      </c>
      <c r="BV85" s="10">
        <f t="shared" ref="BV85" si="1039">BV67</f>
        <v>186749</v>
      </c>
      <c r="BW85" s="10">
        <f t="shared" ref="BW85:BZ85" si="1040">BW67</f>
        <v>172234</v>
      </c>
      <c r="BX85" s="10">
        <f t="shared" si="1040"/>
        <v>162995</v>
      </c>
      <c r="BY85" s="10">
        <f t="shared" si="1040"/>
        <v>140095</v>
      </c>
      <c r="BZ85" s="10">
        <f t="shared" si="1040"/>
        <v>119030</v>
      </c>
      <c r="CA85" s="10">
        <f t="shared" ref="CA85:CG85" si="1041">CA67</f>
        <v>0</v>
      </c>
      <c r="CB85" s="10">
        <f t="shared" si="1041"/>
        <v>0</v>
      </c>
      <c r="CC85" s="10">
        <f t="shared" si="1041"/>
        <v>0</v>
      </c>
      <c r="CD85" s="10">
        <f t="shared" si="1041"/>
        <v>0</v>
      </c>
      <c r="CE85" s="10">
        <f t="shared" si="1041"/>
        <v>0</v>
      </c>
      <c r="CF85" s="10">
        <f t="shared" si="1041"/>
        <v>0</v>
      </c>
      <c r="CG85" s="10">
        <f t="shared" si="1041"/>
        <v>0</v>
      </c>
      <c r="CJ85" s="11" t="s">
        <v>30</v>
      </c>
      <c r="CL85" s="10">
        <f t="shared" ref="CL85" si="1042">CL67</f>
        <v>238985</v>
      </c>
      <c r="CM85" s="10">
        <f t="shared" ref="CM85" si="1043">CM67</f>
        <v>216647</v>
      </c>
      <c r="CN85" s="10">
        <f t="shared" ref="CN85:CO85" si="1044">CN67</f>
        <v>181652</v>
      </c>
      <c r="CO85" s="10">
        <f t="shared" si="1044"/>
        <v>193942</v>
      </c>
      <c r="CP85" s="10">
        <f t="shared" ref="CP85:CQ85" si="1045">CP67</f>
        <v>153055</v>
      </c>
      <c r="CQ85" s="10">
        <f t="shared" si="1045"/>
        <v>139430</v>
      </c>
      <c r="CR85" s="10">
        <f t="shared" ref="CR85:CZ85" si="1046">CR67</f>
        <v>141126</v>
      </c>
      <c r="CS85" s="10">
        <f t="shared" si="1046"/>
        <v>145320</v>
      </c>
      <c r="CT85" s="10">
        <f t="shared" si="1046"/>
        <v>133331</v>
      </c>
      <c r="CU85" s="10">
        <f t="shared" si="1046"/>
        <v>112287</v>
      </c>
      <c r="CV85" s="10">
        <f t="shared" si="1046"/>
        <v>103877</v>
      </c>
      <c r="CW85" s="10">
        <f t="shared" si="1046"/>
        <v>87482</v>
      </c>
      <c r="CX85" s="10">
        <f t="shared" si="1046"/>
        <v>60973</v>
      </c>
      <c r="CY85" s="10">
        <f t="shared" si="1046"/>
        <v>83246</v>
      </c>
      <c r="CZ85" s="10">
        <f t="shared" si="1046"/>
        <v>83860</v>
      </c>
      <c r="DC85" s="11" t="s">
        <v>30</v>
      </c>
      <c r="DE85" s="10">
        <f t="shared" ref="DE85:DF85" si="1047">DE67</f>
        <v>218900</v>
      </c>
      <c r="DF85" s="10">
        <f t="shared" si="1047"/>
        <v>184600</v>
      </c>
      <c r="DG85" s="10">
        <f t="shared" ref="DG85:DH85" si="1048">DG67</f>
        <v>214200</v>
      </c>
      <c r="DH85" s="10">
        <f t="shared" si="1048"/>
        <v>161600</v>
      </c>
      <c r="DI85" s="10">
        <f t="shared" ref="DI85:DJ85" si="1049">DI67</f>
        <v>144200</v>
      </c>
      <c r="DJ85" s="10">
        <f t="shared" si="1049"/>
        <v>136900</v>
      </c>
      <c r="DK85" s="10">
        <f t="shared" ref="DK85:DS85" si="1050">DK67</f>
        <v>84600</v>
      </c>
      <c r="DL85" s="10">
        <f t="shared" si="1050"/>
        <v>52758</v>
      </c>
      <c r="DM85" s="10">
        <f t="shared" si="1050"/>
        <v>62640</v>
      </c>
      <c r="DN85" s="10">
        <f t="shared" si="1050"/>
        <v>63825</v>
      </c>
      <c r="DO85" s="10">
        <f t="shared" si="1050"/>
        <v>54040</v>
      </c>
      <c r="DP85" s="10">
        <f t="shared" si="1050"/>
        <v>64247</v>
      </c>
      <c r="DQ85" s="10">
        <f t="shared" si="1050"/>
        <v>77922</v>
      </c>
      <c r="DR85" s="10">
        <f t="shared" si="1050"/>
        <v>49771</v>
      </c>
      <c r="DS85" s="10">
        <f t="shared" si="1050"/>
        <v>48989</v>
      </c>
      <c r="DV85" s="11" t="s">
        <v>30</v>
      </c>
      <c r="DX85" s="10">
        <f t="shared" ref="DX85:DY85" si="1051">DX67</f>
        <v>157084</v>
      </c>
      <c r="DY85" s="10">
        <f t="shared" si="1051"/>
        <v>103040</v>
      </c>
      <c r="DZ85" s="10">
        <f t="shared" ref="DZ85:EL85" si="1052">DZ67</f>
        <v>116234</v>
      </c>
      <c r="EA85" s="10">
        <f t="shared" si="1052"/>
        <v>98065</v>
      </c>
      <c r="EB85" s="10">
        <f t="shared" si="1052"/>
        <v>118810</v>
      </c>
      <c r="EC85" s="10">
        <f t="shared" si="1052"/>
        <v>105107</v>
      </c>
      <c r="ED85" s="10">
        <f t="shared" si="1052"/>
        <v>97046</v>
      </c>
      <c r="EE85" s="10">
        <f t="shared" si="1052"/>
        <v>81593</v>
      </c>
      <c r="EF85" s="10">
        <f t="shared" si="1052"/>
        <v>91608</v>
      </c>
      <c r="EG85" s="10">
        <f t="shared" si="1052"/>
        <v>89291</v>
      </c>
      <c r="EH85" s="10">
        <f t="shared" si="1052"/>
        <v>66652</v>
      </c>
      <c r="EI85" s="10">
        <f t="shared" si="1052"/>
        <v>58105</v>
      </c>
      <c r="EJ85" s="10">
        <f t="shared" si="1052"/>
        <v>76931</v>
      </c>
      <c r="EK85" s="10">
        <f t="shared" si="1052"/>
        <v>62268</v>
      </c>
      <c r="EL85" s="10">
        <f t="shared" si="1052"/>
        <v>71432</v>
      </c>
      <c r="EO85" s="11" t="s">
        <v>114</v>
      </c>
      <c r="EP85" s="10">
        <v>2409.125</v>
      </c>
      <c r="EQ85" s="10">
        <v>3635.819</v>
      </c>
      <c r="ER85" s="10">
        <v>5147.5079999999998</v>
      </c>
      <c r="ES85" s="10">
        <v>3212.4160000000002</v>
      </c>
      <c r="ET85" s="10">
        <v>7964.6469999999999</v>
      </c>
      <c r="EU85" s="10">
        <v>7473.1940000000004</v>
      </c>
      <c r="EX85" s="9"/>
      <c r="EY85" s="9"/>
      <c r="EZ85" s="9"/>
      <c r="FA85" s="9"/>
      <c r="FB85" s="9"/>
      <c r="FC85" s="9"/>
      <c r="FD85" s="9"/>
      <c r="FE85" s="9"/>
      <c r="FF85" s="36"/>
      <c r="FG85" s="1"/>
      <c r="FH85" s="1"/>
    </row>
    <row r="86" spans="1:164" x14ac:dyDescent="0.25">
      <c r="A86" s="11" t="s">
        <v>4</v>
      </c>
      <c r="B86" s="10">
        <f>B17</f>
        <v>1721892.857142857</v>
      </c>
      <c r="C86" s="10">
        <f>C17</f>
        <v>1534159.5714285714</v>
      </c>
      <c r="D86" s="10">
        <f t="shared" ref="D86:L86" si="1053">D17</f>
        <v>1346735.7142857143</v>
      </c>
      <c r="E86" s="10">
        <f t="shared" si="1053"/>
        <v>1180718.857142857</v>
      </c>
      <c r="F86" s="10">
        <f t="shared" si="1053"/>
        <v>1128808.142857143</v>
      </c>
      <c r="G86" s="10">
        <f t="shared" si="1053"/>
        <v>1045497.5714285715</v>
      </c>
      <c r="H86" s="10">
        <f t="shared" si="1053"/>
        <v>1015052.4285714285</v>
      </c>
      <c r="I86" s="10">
        <f t="shared" si="1053"/>
        <v>624285.42857142852</v>
      </c>
      <c r="J86" s="10">
        <f t="shared" si="1053"/>
        <v>546050.42857142852</v>
      </c>
      <c r="K86" s="10">
        <f t="shared" si="1053"/>
        <v>529443.14285714284</v>
      </c>
      <c r="L86" s="10">
        <f t="shared" si="1053"/>
        <v>519829.85714285716</v>
      </c>
      <c r="N86" s="11" t="s">
        <v>4</v>
      </c>
      <c r="P86" s="10">
        <f>P17</f>
        <v>740710</v>
      </c>
      <c r="Q86" s="10">
        <f>Q17</f>
        <v>507544</v>
      </c>
      <c r="R86" s="10">
        <f t="shared" ref="R86:T86" si="1054">R17</f>
        <v>424471</v>
      </c>
      <c r="S86" s="10">
        <f t="shared" ref="S86:U86" si="1055">S17</f>
        <v>371915</v>
      </c>
      <c r="T86" s="10">
        <f t="shared" si="1054"/>
        <v>356190</v>
      </c>
      <c r="U86" s="10">
        <f t="shared" si="1055"/>
        <v>338605</v>
      </c>
      <c r="V86" s="10">
        <f t="shared" ref="V86:AD86" si="1056">V17</f>
        <v>296931</v>
      </c>
      <c r="W86" s="10">
        <f t="shared" si="1056"/>
        <v>284121</v>
      </c>
      <c r="X86" s="10">
        <f t="shared" si="1056"/>
        <v>266971</v>
      </c>
      <c r="Y86" s="10">
        <f t="shared" si="1056"/>
        <v>258099</v>
      </c>
      <c r="Z86" s="10">
        <f t="shared" si="1056"/>
        <v>250475</v>
      </c>
      <c r="AA86" s="10">
        <f t="shared" si="1056"/>
        <v>274007</v>
      </c>
      <c r="AB86" s="10">
        <f t="shared" si="1056"/>
        <v>280036</v>
      </c>
      <c r="AC86" s="10">
        <f t="shared" si="1056"/>
        <v>264846</v>
      </c>
      <c r="AD86" s="10">
        <f t="shared" si="1056"/>
        <v>260873</v>
      </c>
      <c r="AG86" s="11" t="s">
        <v>4</v>
      </c>
      <c r="AI86" s="10">
        <f t="shared" ref="AI86:AJ86" si="1057">AI17</f>
        <v>565112</v>
      </c>
      <c r="AJ86" s="10">
        <f t="shared" si="1057"/>
        <v>558282</v>
      </c>
      <c r="AK86" s="10">
        <f t="shared" ref="AK86:AL86" si="1058">AK17</f>
        <v>457640</v>
      </c>
      <c r="AL86" s="10">
        <f t="shared" si="1058"/>
        <v>448865</v>
      </c>
      <c r="AM86" s="10">
        <f t="shared" ref="AM86:AN86" si="1059">AM17</f>
        <v>445187</v>
      </c>
      <c r="AN86" s="10">
        <f t="shared" si="1059"/>
        <v>383144</v>
      </c>
      <c r="AO86" s="10">
        <f t="shared" ref="AO86:AW86" si="1060">AO17</f>
        <v>375117</v>
      </c>
      <c r="AP86" s="10">
        <f t="shared" si="1060"/>
        <v>364549</v>
      </c>
      <c r="AQ86" s="10">
        <f t="shared" si="1060"/>
        <v>356571</v>
      </c>
      <c r="AR86" s="10">
        <f t="shared" si="1060"/>
        <v>348383</v>
      </c>
      <c r="AS86" s="10">
        <f t="shared" si="1060"/>
        <v>342978</v>
      </c>
      <c r="AT86" s="10">
        <f t="shared" si="1060"/>
        <v>337361</v>
      </c>
      <c r="AU86" s="10">
        <f t="shared" si="1060"/>
        <v>336754</v>
      </c>
      <c r="AV86" s="10">
        <f t="shared" si="1060"/>
        <v>331595</v>
      </c>
      <c r="AW86" s="10">
        <f t="shared" si="1060"/>
        <v>371127</v>
      </c>
      <c r="AZ86" s="11" t="s">
        <v>4</v>
      </c>
      <c r="BB86" s="10">
        <f t="shared" ref="BB86:BC86" si="1061">BB17</f>
        <v>4377778</v>
      </c>
      <c r="BC86" s="10">
        <f t="shared" si="1061"/>
        <v>3712791</v>
      </c>
      <c r="BD86" s="10">
        <f t="shared" ref="BD86:BE86" si="1062">BD17</f>
        <v>2975482</v>
      </c>
      <c r="BE86" s="10">
        <f t="shared" si="1062"/>
        <v>2536896</v>
      </c>
      <c r="BF86" s="10">
        <f t="shared" ref="BF86:BG86" si="1063">BF17</f>
        <v>2388547</v>
      </c>
      <c r="BG86" s="10">
        <f t="shared" si="1063"/>
        <v>2231098</v>
      </c>
      <c r="BH86" s="10">
        <f t="shared" ref="BH86:BP86" si="1064">BH17</f>
        <v>2180653</v>
      </c>
      <c r="BI86" s="10">
        <f t="shared" si="1064"/>
        <v>1766264</v>
      </c>
      <c r="BJ86" s="10">
        <f t="shared" si="1064"/>
        <v>1745918</v>
      </c>
      <c r="BK86" s="10">
        <f t="shared" si="1064"/>
        <v>1733386</v>
      </c>
      <c r="BL86" s="10">
        <f t="shared" si="1064"/>
        <v>1714815</v>
      </c>
      <c r="BM86" s="10">
        <f t="shared" si="1064"/>
        <v>1791592</v>
      </c>
      <c r="BN86" s="10">
        <f t="shared" si="1064"/>
        <v>1744838</v>
      </c>
      <c r="BO86" s="10">
        <f t="shared" si="1064"/>
        <v>1700825</v>
      </c>
      <c r="BP86" s="10">
        <f t="shared" si="1064"/>
        <v>1467649</v>
      </c>
      <c r="BS86" s="11" t="s">
        <v>4</v>
      </c>
      <c r="BU86" s="10">
        <f t="shared" ref="BU86" si="1065">BU17</f>
        <v>1757453</v>
      </c>
      <c r="BV86" s="10">
        <f t="shared" ref="BV86" si="1066">BV17</f>
        <v>1733620</v>
      </c>
      <c r="BW86" s="10">
        <f t="shared" ref="BW86:BZ87" si="1067">BW17</f>
        <v>1725873</v>
      </c>
      <c r="BX86" s="10">
        <f t="shared" si="1067"/>
        <v>1719581</v>
      </c>
      <c r="BY86" s="10">
        <f t="shared" si="1067"/>
        <v>1731974</v>
      </c>
      <c r="BZ86" s="10">
        <f t="shared" si="1067"/>
        <v>1750910</v>
      </c>
      <c r="CA86" s="10">
        <f t="shared" ref="CA86:CG86" si="1068">CA17</f>
        <v>1759317</v>
      </c>
      <c r="CB86" s="10">
        <f t="shared" si="1068"/>
        <v>0</v>
      </c>
      <c r="CC86" s="10">
        <f t="shared" si="1068"/>
        <v>0</v>
      </c>
      <c r="CD86" s="10">
        <f t="shared" si="1068"/>
        <v>0</v>
      </c>
      <c r="CE86" s="10">
        <f t="shared" si="1068"/>
        <v>0</v>
      </c>
      <c r="CF86" s="10">
        <f t="shared" si="1068"/>
        <v>0</v>
      </c>
      <c r="CG86" s="10">
        <f t="shared" si="1068"/>
        <v>0</v>
      </c>
      <c r="CJ86" s="11" t="s">
        <v>4</v>
      </c>
      <c r="CL86" s="10">
        <f t="shared" ref="CL86" si="1069">CL17</f>
        <v>1667978</v>
      </c>
      <c r="CM86" s="10">
        <f t="shared" ref="CM86" si="1070">CM17</f>
        <v>1523574</v>
      </c>
      <c r="CN86" s="10">
        <f t="shared" ref="CN86:CO86" si="1071">CN17</f>
        <v>1360425</v>
      </c>
      <c r="CO86" s="10">
        <f t="shared" si="1071"/>
        <v>1005052</v>
      </c>
      <c r="CP86" s="10">
        <f t="shared" ref="CP86:CQ86" si="1072">CP17</f>
        <v>952235</v>
      </c>
      <c r="CQ86" s="10">
        <f t="shared" si="1072"/>
        <v>945455</v>
      </c>
      <c r="CR86" s="10">
        <f t="shared" ref="CR86:CZ86" si="1073">CR17</f>
        <v>897277</v>
      </c>
      <c r="CS86" s="10">
        <f t="shared" si="1073"/>
        <v>886379</v>
      </c>
      <c r="CT86" s="10">
        <f t="shared" si="1073"/>
        <v>876555</v>
      </c>
      <c r="CU86" s="10">
        <f t="shared" si="1073"/>
        <v>869226</v>
      </c>
      <c r="CV86" s="10">
        <f t="shared" si="1073"/>
        <v>855114</v>
      </c>
      <c r="CW86" s="10">
        <f t="shared" si="1073"/>
        <v>839061</v>
      </c>
      <c r="CX86" s="10">
        <f t="shared" si="1073"/>
        <v>816285</v>
      </c>
      <c r="CY86" s="10">
        <f t="shared" si="1073"/>
        <v>776755</v>
      </c>
      <c r="CZ86" s="10">
        <f t="shared" si="1073"/>
        <v>741658</v>
      </c>
      <c r="DC86" s="11" t="s">
        <v>4</v>
      </c>
      <c r="DE86" s="10">
        <f t="shared" ref="DE86:DF86" si="1074">DE17</f>
        <v>1600800</v>
      </c>
      <c r="DF86" s="10">
        <f t="shared" si="1074"/>
        <v>1560200</v>
      </c>
      <c r="DG86" s="10">
        <f t="shared" ref="DG86:DH86" si="1075">DG17</f>
        <v>1533400</v>
      </c>
      <c r="DH86" s="10">
        <f t="shared" si="1075"/>
        <v>1373900</v>
      </c>
      <c r="DI86" s="10">
        <f t="shared" ref="DI86:DJ86" si="1076">DI17</f>
        <v>1221500</v>
      </c>
      <c r="DJ86" s="10">
        <f t="shared" si="1076"/>
        <v>1081400</v>
      </c>
      <c r="DK86" s="10">
        <f t="shared" ref="DK86:DS86" si="1077">DK17</f>
        <v>1072600</v>
      </c>
      <c r="DL86" s="10">
        <f t="shared" si="1077"/>
        <v>626966</v>
      </c>
      <c r="DM86" s="10">
        <f t="shared" si="1077"/>
        <v>191146</v>
      </c>
      <c r="DN86" s="10">
        <f t="shared" si="1077"/>
        <v>186133</v>
      </c>
      <c r="DO86" s="10">
        <f t="shared" si="1077"/>
        <v>180991</v>
      </c>
      <c r="DP86" s="10">
        <f t="shared" si="1077"/>
        <v>176386</v>
      </c>
      <c r="DQ86" s="10">
        <f t="shared" si="1077"/>
        <v>169234</v>
      </c>
      <c r="DR86" s="10">
        <f t="shared" si="1077"/>
        <v>157707</v>
      </c>
      <c r="DS86" s="10">
        <f t="shared" si="1077"/>
        <v>148487</v>
      </c>
      <c r="DV86" s="11" t="s">
        <v>4</v>
      </c>
      <c r="DX86" s="10">
        <f t="shared" ref="DX86:DY87" si="1078">DX17</f>
        <v>1343419</v>
      </c>
      <c r="DY86" s="10">
        <f t="shared" si="1078"/>
        <v>1143106</v>
      </c>
      <c r="DZ86" s="10">
        <f t="shared" ref="DZ86:EL86" si="1079">DZ17</f>
        <v>949859</v>
      </c>
      <c r="EA86" s="10">
        <f t="shared" si="1079"/>
        <v>808823</v>
      </c>
      <c r="EB86" s="10">
        <f t="shared" si="1079"/>
        <v>806024</v>
      </c>
      <c r="EC86" s="10">
        <f t="shared" si="1079"/>
        <v>587871</v>
      </c>
      <c r="ED86" s="10">
        <f t="shared" si="1079"/>
        <v>523472</v>
      </c>
      <c r="EE86" s="10">
        <f t="shared" si="1079"/>
        <v>441719</v>
      </c>
      <c r="EF86" s="10">
        <f t="shared" si="1079"/>
        <v>385192</v>
      </c>
      <c r="EG86" s="10">
        <f t="shared" si="1079"/>
        <v>310875</v>
      </c>
      <c r="EH86" s="10">
        <f t="shared" si="1079"/>
        <v>294436</v>
      </c>
      <c r="EI86" s="10">
        <f t="shared" si="1079"/>
        <v>291565</v>
      </c>
      <c r="EJ86" s="10">
        <f t="shared" si="1079"/>
        <v>289480</v>
      </c>
      <c r="EK86" s="10">
        <f t="shared" si="1079"/>
        <v>285272</v>
      </c>
      <c r="EL86" s="10">
        <f t="shared" si="1079"/>
        <v>276420</v>
      </c>
      <c r="EO86" s="2" t="s">
        <v>35</v>
      </c>
      <c r="EP86" s="53">
        <f t="shared" ref="EP86:EU86" si="1080">EP84+EP85</f>
        <v>191051.92499999999</v>
      </c>
      <c r="EQ86" s="53">
        <f t="shared" si="1080"/>
        <v>167870.31899999999</v>
      </c>
      <c r="ER86" s="53">
        <f t="shared" si="1080"/>
        <v>139897.30799999999</v>
      </c>
      <c r="ES86" s="53">
        <f t="shared" si="1080"/>
        <v>145413.11600000001</v>
      </c>
      <c r="ET86" s="53">
        <f t="shared" si="1080"/>
        <v>129353.84699999999</v>
      </c>
      <c r="EU86" s="53">
        <f t="shared" si="1080"/>
        <v>95058.194000000003</v>
      </c>
      <c r="EX86" s="9"/>
      <c r="EY86" s="9"/>
      <c r="EZ86" s="9"/>
      <c r="FA86" s="9"/>
      <c r="FB86" s="9"/>
      <c r="FC86" s="9"/>
      <c r="FD86" s="9"/>
      <c r="FE86" s="1"/>
      <c r="FF86" s="36"/>
      <c r="FG86" s="1"/>
      <c r="FH86" s="1"/>
    </row>
    <row r="87" spans="1:164" x14ac:dyDescent="0.25">
      <c r="A87" s="11" t="s">
        <v>5</v>
      </c>
      <c r="B87" s="10">
        <f t="shared" ref="B87" si="1081">B18</f>
        <v>940546.42857142852</v>
      </c>
      <c r="C87" s="10">
        <f t="shared" ref="C87:L87" si="1082">C18</f>
        <v>868106.14285714284</v>
      </c>
      <c r="D87" s="10">
        <f t="shared" si="1082"/>
        <v>788775.28571428568</v>
      </c>
      <c r="E87" s="10">
        <f t="shared" si="1082"/>
        <v>682203.85714285716</v>
      </c>
      <c r="F87" s="10">
        <f t="shared" si="1082"/>
        <v>640304.57142857148</v>
      </c>
      <c r="G87" s="10">
        <f t="shared" si="1082"/>
        <v>574056.85714285716</v>
      </c>
      <c r="H87" s="10">
        <f t="shared" si="1082"/>
        <v>507265.28571428574</v>
      </c>
      <c r="I87" s="10">
        <f t="shared" si="1082"/>
        <v>452527.14285714284</v>
      </c>
      <c r="J87" s="10">
        <f t="shared" si="1082"/>
        <v>412203.85714285716</v>
      </c>
      <c r="K87" s="10">
        <f t="shared" si="1082"/>
        <v>372894.57142857142</v>
      </c>
      <c r="L87" s="10">
        <f t="shared" si="1082"/>
        <v>333282</v>
      </c>
      <c r="N87" s="11" t="s">
        <v>5</v>
      </c>
      <c r="P87" s="10">
        <f t="shared" ref="P87:Q87" si="1083">P18</f>
        <v>1148297</v>
      </c>
      <c r="Q87" s="10">
        <f t="shared" si="1083"/>
        <v>1075960</v>
      </c>
      <c r="R87" s="10">
        <f t="shared" ref="R87:T87" si="1084">R18</f>
        <v>1007117</v>
      </c>
      <c r="S87" s="10">
        <f t="shared" ref="S87:U87" si="1085">S18</f>
        <v>867984</v>
      </c>
      <c r="T87" s="10">
        <f t="shared" si="1084"/>
        <v>825556</v>
      </c>
      <c r="U87" s="10">
        <f t="shared" si="1085"/>
        <v>777745</v>
      </c>
      <c r="V87" s="10">
        <f t="shared" ref="V87:AD87" si="1086">V18</f>
        <v>674829</v>
      </c>
      <c r="W87" s="10">
        <f t="shared" si="1086"/>
        <v>604884</v>
      </c>
      <c r="X87" s="10">
        <f t="shared" si="1086"/>
        <v>557665</v>
      </c>
      <c r="Y87" s="10">
        <f t="shared" si="1086"/>
        <v>528762</v>
      </c>
      <c r="Z87" s="10">
        <f t="shared" si="1086"/>
        <v>487015</v>
      </c>
      <c r="AA87" s="10">
        <f t="shared" si="1086"/>
        <v>425771</v>
      </c>
      <c r="AB87" s="10">
        <f t="shared" si="1086"/>
        <v>450746</v>
      </c>
      <c r="AC87" s="10">
        <f t="shared" si="1086"/>
        <v>386734</v>
      </c>
      <c r="AD87" s="10">
        <f t="shared" si="1086"/>
        <v>358047</v>
      </c>
      <c r="AE87" s="132">
        <v>2005</v>
      </c>
      <c r="AG87" s="11" t="s">
        <v>5</v>
      </c>
      <c r="AI87" s="10">
        <f t="shared" ref="AI87:AJ87" si="1087">AI18</f>
        <v>336523</v>
      </c>
      <c r="AJ87" s="10">
        <f t="shared" si="1087"/>
        <v>318450</v>
      </c>
      <c r="AK87" s="10">
        <f t="shared" ref="AK87:AL87" si="1088">AK18</f>
        <v>312182</v>
      </c>
      <c r="AL87" s="10">
        <f t="shared" si="1088"/>
        <v>302349</v>
      </c>
      <c r="AM87" s="10">
        <f t="shared" ref="AM87:AN87" si="1089">AM18</f>
        <v>412261</v>
      </c>
      <c r="AN87" s="10">
        <f t="shared" si="1089"/>
        <v>404990</v>
      </c>
      <c r="AO87" s="10">
        <f t="shared" ref="AO87:AW87" si="1090">AO18</f>
        <v>402280</v>
      </c>
      <c r="AP87" s="10">
        <f t="shared" si="1090"/>
        <v>393681</v>
      </c>
      <c r="AQ87" s="10">
        <f t="shared" si="1090"/>
        <v>385753</v>
      </c>
      <c r="AR87" s="10">
        <f t="shared" si="1090"/>
        <v>373905</v>
      </c>
      <c r="AS87" s="10">
        <f t="shared" si="1090"/>
        <v>356727</v>
      </c>
      <c r="AT87" s="10">
        <f t="shared" si="1090"/>
        <v>328712</v>
      </c>
      <c r="AU87" s="10">
        <f t="shared" si="1090"/>
        <v>296005</v>
      </c>
      <c r="AV87" s="10">
        <f t="shared" si="1090"/>
        <v>266658</v>
      </c>
      <c r="AW87" s="10">
        <f t="shared" si="1090"/>
        <v>230774</v>
      </c>
      <c r="AX87" s="92">
        <v>2005</v>
      </c>
      <c r="AZ87" s="11" t="s">
        <v>5</v>
      </c>
      <c r="BB87" s="10">
        <f t="shared" ref="BB87:BC87" si="1091">BB18</f>
        <v>2471014</v>
      </c>
      <c r="BC87" s="10">
        <f t="shared" si="1091"/>
        <v>2152015</v>
      </c>
      <c r="BD87" s="10">
        <f t="shared" ref="BD87:BE87" si="1092">BD18</f>
        <v>1878116</v>
      </c>
      <c r="BE87" s="10">
        <f t="shared" si="1092"/>
        <v>1467024</v>
      </c>
      <c r="BF87" s="10">
        <f t="shared" ref="BF87:BG87" si="1093">BF18</f>
        <v>1262534</v>
      </c>
      <c r="BG87" s="10">
        <f t="shared" si="1093"/>
        <v>1073029</v>
      </c>
      <c r="BH87" s="10">
        <f t="shared" ref="BH87:BP87" si="1094">BH18</f>
        <v>917972</v>
      </c>
      <c r="BI87" s="10">
        <f t="shared" si="1094"/>
        <v>775267</v>
      </c>
      <c r="BJ87" s="10">
        <f t="shared" si="1094"/>
        <v>660932</v>
      </c>
      <c r="BK87" s="10">
        <f t="shared" si="1094"/>
        <v>570495</v>
      </c>
      <c r="BL87" s="10">
        <f t="shared" si="1094"/>
        <v>486905</v>
      </c>
      <c r="BM87" s="10">
        <f t="shared" si="1094"/>
        <v>405353</v>
      </c>
      <c r="BN87" s="10">
        <f t="shared" si="1094"/>
        <v>343601</v>
      </c>
      <c r="BO87" s="10">
        <f t="shared" si="1094"/>
        <v>281127</v>
      </c>
      <c r="BP87" s="10">
        <f t="shared" si="1094"/>
        <v>224299</v>
      </c>
      <c r="BQ87" s="92">
        <v>2005</v>
      </c>
      <c r="BS87" s="11" t="s">
        <v>5</v>
      </c>
      <c r="BU87" s="10">
        <f t="shared" ref="BU87" si="1095">BU18</f>
        <v>483635</v>
      </c>
      <c r="BV87" s="10">
        <f t="shared" ref="BV87" si="1096">BV18</f>
        <v>402509</v>
      </c>
      <c r="BW87" s="10">
        <f t="shared" si="1067"/>
        <v>320869</v>
      </c>
      <c r="BX87" s="10">
        <f t="shared" si="1067"/>
        <v>246121</v>
      </c>
      <c r="BY87" s="10">
        <f t="shared" si="1067"/>
        <v>161021</v>
      </c>
      <c r="BZ87" s="10">
        <f t="shared" si="1067"/>
        <v>95046</v>
      </c>
      <c r="CA87" s="10">
        <f t="shared" ref="CA87:CG87" si="1097">CA18</f>
        <v>39894</v>
      </c>
      <c r="CB87" s="10">
        <f t="shared" si="1097"/>
        <v>0</v>
      </c>
      <c r="CC87" s="10">
        <f t="shared" si="1097"/>
        <v>0</v>
      </c>
      <c r="CD87" s="10">
        <f t="shared" si="1097"/>
        <v>0</v>
      </c>
      <c r="CE87" s="10">
        <f t="shared" si="1097"/>
        <v>0</v>
      </c>
      <c r="CF87" s="10">
        <f t="shared" si="1097"/>
        <v>0</v>
      </c>
      <c r="CG87" s="10">
        <f t="shared" si="1097"/>
        <v>0</v>
      </c>
      <c r="CH87" s="132">
        <v>2005</v>
      </c>
      <c r="CJ87" s="11" t="s">
        <v>5</v>
      </c>
      <c r="CL87" s="10">
        <f t="shared" ref="CL87" si="1098">CL18</f>
        <v>1067978</v>
      </c>
      <c r="CM87" s="10">
        <f t="shared" ref="CM87" si="1099">CM18</f>
        <v>1039072</v>
      </c>
      <c r="CN87" s="10">
        <f t="shared" ref="CN87:CO87" si="1100">CN18</f>
        <v>944285</v>
      </c>
      <c r="CO87" s="10">
        <f t="shared" si="1100"/>
        <v>857398</v>
      </c>
      <c r="CP87" s="10">
        <f t="shared" ref="CP87:CQ87" si="1101">CP18</f>
        <v>759263</v>
      </c>
      <c r="CQ87" s="10">
        <f t="shared" si="1101"/>
        <v>699221</v>
      </c>
      <c r="CR87" s="10">
        <f t="shared" ref="CR87:CZ87" si="1102">CR18</f>
        <v>639164</v>
      </c>
      <c r="CS87" s="10">
        <f t="shared" si="1102"/>
        <v>567714</v>
      </c>
      <c r="CT87" s="10">
        <f t="shared" si="1102"/>
        <v>484369</v>
      </c>
      <c r="CU87" s="10">
        <f t="shared" si="1102"/>
        <v>406125</v>
      </c>
      <c r="CV87" s="10">
        <f t="shared" si="1102"/>
        <v>343131</v>
      </c>
      <c r="CW87" s="10">
        <f t="shared" si="1102"/>
        <v>285316</v>
      </c>
      <c r="CX87" s="10">
        <f t="shared" si="1102"/>
        <v>240982</v>
      </c>
      <c r="CY87" s="10">
        <f t="shared" si="1102"/>
        <v>219768</v>
      </c>
      <c r="CZ87" s="10">
        <f t="shared" si="1102"/>
        <v>173433</v>
      </c>
      <c r="DA87" s="92">
        <v>2005</v>
      </c>
      <c r="DC87" s="11" t="s">
        <v>5</v>
      </c>
      <c r="DE87" s="10">
        <f t="shared" ref="DE87:DF87" si="1103">DE18</f>
        <v>720700</v>
      </c>
      <c r="DF87" s="10">
        <f t="shared" si="1103"/>
        <v>775500</v>
      </c>
      <c r="DG87" s="10">
        <f t="shared" ref="DG87:DH87" si="1104">DG18</f>
        <v>715600</v>
      </c>
      <c r="DH87" s="10">
        <f t="shared" si="1104"/>
        <v>614200</v>
      </c>
      <c r="DI87" s="10">
        <f t="shared" ref="DI87:DJ87" si="1105">DI18</f>
        <v>550900</v>
      </c>
      <c r="DJ87" s="10">
        <f t="shared" si="1105"/>
        <v>494200</v>
      </c>
      <c r="DK87" s="10">
        <f t="shared" ref="DK87:DS87" si="1106">DK18</f>
        <v>437500</v>
      </c>
      <c r="DL87" s="10">
        <f t="shared" si="1106"/>
        <v>420103</v>
      </c>
      <c r="DM87" s="10">
        <f t="shared" si="1106"/>
        <v>414581</v>
      </c>
      <c r="DN87" s="10">
        <f t="shared" si="1106"/>
        <v>389298</v>
      </c>
      <c r="DO87" s="10">
        <f t="shared" si="1106"/>
        <v>361723</v>
      </c>
      <c r="DP87" s="10">
        <f t="shared" si="1106"/>
        <v>342810</v>
      </c>
      <c r="DQ87" s="10">
        <f t="shared" si="1106"/>
        <v>312808</v>
      </c>
      <c r="DR87" s="10">
        <f t="shared" si="1106"/>
        <v>268761</v>
      </c>
      <c r="DS87" s="10">
        <f t="shared" si="1106"/>
        <v>250495</v>
      </c>
      <c r="DT87" s="92">
        <v>2005</v>
      </c>
      <c r="DV87" s="11" t="s">
        <v>5</v>
      </c>
      <c r="DX87" s="10">
        <f t="shared" si="1078"/>
        <v>355678</v>
      </c>
      <c r="DY87" s="10">
        <f t="shared" si="1078"/>
        <v>313237</v>
      </c>
      <c r="DZ87" s="10">
        <f t="shared" ref="DZ87:EL87" si="1107">DZ18</f>
        <v>343258</v>
      </c>
      <c r="EA87" s="10">
        <f t="shared" si="1107"/>
        <v>420351</v>
      </c>
      <c r="EB87" s="10">
        <f t="shared" si="1107"/>
        <v>510597</v>
      </c>
      <c r="EC87" s="10">
        <f t="shared" si="1107"/>
        <v>474167</v>
      </c>
      <c r="ED87" s="10">
        <f t="shared" si="1107"/>
        <v>439218</v>
      </c>
      <c r="EE87" s="10">
        <f t="shared" si="1107"/>
        <v>406041</v>
      </c>
      <c r="EF87" s="10">
        <f t="shared" si="1107"/>
        <v>382127</v>
      </c>
      <c r="EG87" s="10">
        <f t="shared" si="1107"/>
        <v>341677</v>
      </c>
      <c r="EH87" s="10">
        <f t="shared" si="1107"/>
        <v>297473</v>
      </c>
      <c r="EI87" s="10">
        <f t="shared" si="1107"/>
        <v>271505</v>
      </c>
      <c r="EJ87" s="10">
        <f t="shared" si="1107"/>
        <v>249973</v>
      </c>
      <c r="EK87" s="10">
        <f t="shared" si="1107"/>
        <v>206123</v>
      </c>
      <c r="EL87" s="10">
        <f t="shared" si="1107"/>
        <v>174407</v>
      </c>
      <c r="EM87" s="132">
        <v>2005</v>
      </c>
      <c r="EO87" s="2" t="s">
        <v>36</v>
      </c>
      <c r="EP87" s="12">
        <f t="shared" ref="EP87:EU87" si="1108">ROUND(EP83/EP86,3)</f>
        <v>0.157</v>
      </c>
      <c r="EQ87" s="12">
        <f t="shared" si="1108"/>
        <v>0.188</v>
      </c>
      <c r="ER87" s="12">
        <f t="shared" si="1108"/>
        <v>0.28999999999999998</v>
      </c>
      <c r="ES87" s="12">
        <f t="shared" si="1108"/>
        <v>0.20699999999999999</v>
      </c>
      <c r="ET87" s="12">
        <f t="shared" si="1108"/>
        <v>0.21299999999999999</v>
      </c>
      <c r="EU87" s="12">
        <f t="shared" si="1108"/>
        <v>0.29599999999999999</v>
      </c>
      <c r="EX87" s="3"/>
      <c r="EY87" s="3"/>
      <c r="EZ87" s="3"/>
      <c r="FA87" s="3"/>
      <c r="FB87" s="3"/>
      <c r="FC87" s="3"/>
      <c r="FD87" s="3"/>
      <c r="FE87" s="3"/>
      <c r="FF87" s="36"/>
      <c r="FG87" s="1"/>
      <c r="FH87" s="1"/>
    </row>
    <row r="88" spans="1:164" x14ac:dyDescent="0.25">
      <c r="A88" s="2" t="s">
        <v>100</v>
      </c>
      <c r="B88" s="40">
        <f>B86+B87</f>
        <v>2662439.2857142854</v>
      </c>
      <c r="C88" s="40">
        <f>C86+C87</f>
        <v>2402265.7142857141</v>
      </c>
      <c r="D88" s="40">
        <f t="shared" ref="D88:L88" si="1109">D86+D87</f>
        <v>2135511</v>
      </c>
      <c r="E88" s="40">
        <f t="shared" si="1109"/>
        <v>1862922.7142857141</v>
      </c>
      <c r="F88" s="40">
        <f t="shared" si="1109"/>
        <v>1769112.7142857146</v>
      </c>
      <c r="G88" s="40">
        <f t="shared" si="1109"/>
        <v>1619554.4285714286</v>
      </c>
      <c r="H88" s="40">
        <f t="shared" si="1109"/>
        <v>1522317.7142857143</v>
      </c>
      <c r="I88" s="40">
        <f t="shared" si="1109"/>
        <v>1076812.5714285714</v>
      </c>
      <c r="J88" s="40">
        <f t="shared" si="1109"/>
        <v>958254.28571428568</v>
      </c>
      <c r="K88" s="40">
        <f t="shared" si="1109"/>
        <v>902337.71428571432</v>
      </c>
      <c r="L88" s="40">
        <f t="shared" si="1109"/>
        <v>853111.85714285716</v>
      </c>
      <c r="N88" s="2" t="s">
        <v>38</v>
      </c>
      <c r="O88" s="2"/>
      <c r="P88" s="40">
        <f t="shared" ref="P88:Q88" si="1110">P86+P87</f>
        <v>1889007</v>
      </c>
      <c r="Q88" s="40">
        <f t="shared" si="1110"/>
        <v>1583504</v>
      </c>
      <c r="R88" s="40">
        <f t="shared" ref="R88:T88" si="1111">R86+R87</f>
        <v>1431588</v>
      </c>
      <c r="S88" s="40">
        <f t="shared" ref="S88:U88" si="1112">S86+S87</f>
        <v>1239899</v>
      </c>
      <c r="T88" s="40">
        <f t="shared" si="1111"/>
        <v>1181746</v>
      </c>
      <c r="U88" s="40">
        <f t="shared" si="1112"/>
        <v>1116350</v>
      </c>
      <c r="V88" s="40">
        <f t="shared" ref="V88" si="1113">V86+V87</f>
        <v>971760</v>
      </c>
      <c r="W88" s="40">
        <f t="shared" ref="W88" si="1114">W86+W87</f>
        <v>889005</v>
      </c>
      <c r="X88" s="40">
        <f t="shared" ref="X88" si="1115">X86+X87</f>
        <v>824636</v>
      </c>
      <c r="Y88" s="40">
        <f t="shared" ref="Y88:AD88" si="1116">Y86+Y87</f>
        <v>786861</v>
      </c>
      <c r="Z88" s="40">
        <f t="shared" si="1116"/>
        <v>737490</v>
      </c>
      <c r="AA88" s="40">
        <f t="shared" si="1116"/>
        <v>699778</v>
      </c>
      <c r="AB88" s="40">
        <f t="shared" si="1116"/>
        <v>730782</v>
      </c>
      <c r="AC88" s="40">
        <f t="shared" si="1116"/>
        <v>651580</v>
      </c>
      <c r="AD88" s="40">
        <f t="shared" si="1116"/>
        <v>618920</v>
      </c>
      <c r="AE88" s="53">
        <v>445274</v>
      </c>
      <c r="AG88" s="2" t="s">
        <v>38</v>
      </c>
      <c r="AH88" s="2"/>
      <c r="AI88" s="40">
        <f t="shared" ref="AI88:AJ88" si="1117">AI86+AI87</f>
        <v>901635</v>
      </c>
      <c r="AJ88" s="40">
        <f t="shared" si="1117"/>
        <v>876732</v>
      </c>
      <c r="AK88" s="40">
        <f t="shared" ref="AK88:AM88" si="1118">AK86+AK87</f>
        <v>769822</v>
      </c>
      <c r="AL88" s="40">
        <f t="shared" si="1118"/>
        <v>751214</v>
      </c>
      <c r="AM88" s="40">
        <f t="shared" si="1118"/>
        <v>857448</v>
      </c>
      <c r="AN88" s="40">
        <f t="shared" ref="AN88:AO88" si="1119">AN86+AN87</f>
        <v>788134</v>
      </c>
      <c r="AO88" s="40">
        <f t="shared" si="1119"/>
        <v>777397</v>
      </c>
      <c r="AP88" s="40">
        <f t="shared" ref="AP88" si="1120">AP86+AP87</f>
        <v>758230</v>
      </c>
      <c r="AQ88" s="40">
        <f t="shared" ref="AQ88" si="1121">AQ86+AQ87</f>
        <v>742324</v>
      </c>
      <c r="AR88" s="40">
        <f t="shared" ref="AR88:AW88" si="1122">AR86+AR87</f>
        <v>722288</v>
      </c>
      <c r="AS88" s="40">
        <f t="shared" si="1122"/>
        <v>699705</v>
      </c>
      <c r="AT88" s="40">
        <f t="shared" si="1122"/>
        <v>666073</v>
      </c>
      <c r="AU88" s="40">
        <f t="shared" si="1122"/>
        <v>632759</v>
      </c>
      <c r="AV88" s="40">
        <f t="shared" si="1122"/>
        <v>598253</v>
      </c>
      <c r="AW88" s="40">
        <f t="shared" si="1122"/>
        <v>601901</v>
      </c>
      <c r="AX88" s="53">
        <v>588842</v>
      </c>
      <c r="AZ88" s="2" t="s">
        <v>38</v>
      </c>
      <c r="BA88" s="2"/>
      <c r="BB88" s="40">
        <f t="shared" ref="BB88:BC88" si="1123">BB86+BB87</f>
        <v>6848792</v>
      </c>
      <c r="BC88" s="40">
        <f t="shared" si="1123"/>
        <v>5864806</v>
      </c>
      <c r="BD88" s="40">
        <f t="shared" ref="BD88:BE88" si="1124">BD86+BD87</f>
        <v>4853598</v>
      </c>
      <c r="BE88" s="40">
        <f t="shared" si="1124"/>
        <v>4003920</v>
      </c>
      <c r="BF88" s="40">
        <f t="shared" ref="BF88:BG88" si="1125">BF86+BF87</f>
        <v>3651081</v>
      </c>
      <c r="BG88" s="40">
        <f t="shared" si="1125"/>
        <v>3304127</v>
      </c>
      <c r="BH88" s="40">
        <f t="shared" ref="BH88:BI88" si="1126">BH86+BH87</f>
        <v>3098625</v>
      </c>
      <c r="BI88" s="40">
        <f t="shared" si="1126"/>
        <v>2541531</v>
      </c>
      <c r="BJ88" s="40">
        <f t="shared" ref="BJ88" si="1127">BJ86+BJ87</f>
        <v>2406850</v>
      </c>
      <c r="BK88" s="40">
        <f t="shared" ref="BK88:BP88" si="1128">BK86+BK87</f>
        <v>2303881</v>
      </c>
      <c r="BL88" s="40">
        <f t="shared" si="1128"/>
        <v>2201720</v>
      </c>
      <c r="BM88" s="40">
        <f t="shared" si="1128"/>
        <v>2196945</v>
      </c>
      <c r="BN88" s="40">
        <f t="shared" si="1128"/>
        <v>2088439</v>
      </c>
      <c r="BO88" s="40">
        <f t="shared" si="1128"/>
        <v>1981952</v>
      </c>
      <c r="BP88" s="40">
        <f t="shared" si="1128"/>
        <v>1691948</v>
      </c>
      <c r="BQ88" s="53">
        <v>1605763</v>
      </c>
      <c r="BS88" s="2" t="s">
        <v>38</v>
      </c>
      <c r="BT88" s="2"/>
      <c r="BU88" s="40">
        <f t="shared" ref="BU88" si="1129">BU86+BU87</f>
        <v>2241088</v>
      </c>
      <c r="BV88" s="40">
        <f t="shared" ref="BV88" si="1130">BV86+BV87</f>
        <v>2136129</v>
      </c>
      <c r="BW88" s="40">
        <f t="shared" ref="BW88:BZ88" si="1131">BW86+BW87</f>
        <v>2046742</v>
      </c>
      <c r="BX88" s="40">
        <f t="shared" si="1131"/>
        <v>1965702</v>
      </c>
      <c r="BY88" s="40">
        <f t="shared" si="1131"/>
        <v>1892995</v>
      </c>
      <c r="BZ88" s="40">
        <f t="shared" si="1131"/>
        <v>1845956</v>
      </c>
      <c r="CA88" s="40">
        <f>CA86+CA87</f>
        <v>1799211</v>
      </c>
      <c r="CB88" s="40">
        <f t="shared" ref="CB88:CG88" si="1132">CB86+CB87</f>
        <v>0</v>
      </c>
      <c r="CC88" s="40">
        <f t="shared" si="1132"/>
        <v>0</v>
      </c>
      <c r="CD88" s="40">
        <f t="shared" si="1132"/>
        <v>0</v>
      </c>
      <c r="CE88" s="40">
        <f t="shared" si="1132"/>
        <v>0</v>
      </c>
      <c r="CF88" s="40">
        <f t="shared" si="1132"/>
        <v>0</v>
      </c>
      <c r="CG88" s="40">
        <f t="shared" si="1132"/>
        <v>0</v>
      </c>
      <c r="CH88" s="53">
        <v>0</v>
      </c>
      <c r="CJ88" s="2" t="s">
        <v>38</v>
      </c>
      <c r="CK88" s="2"/>
      <c r="CL88" s="40">
        <f t="shared" ref="CL88" si="1133">CL86+CL87</f>
        <v>2735956</v>
      </c>
      <c r="CM88" s="40">
        <f t="shared" ref="CM88" si="1134">CM86+CM87</f>
        <v>2562646</v>
      </c>
      <c r="CN88" s="40">
        <f t="shared" ref="CN88:CO88" si="1135">CN86+CN87</f>
        <v>2304710</v>
      </c>
      <c r="CO88" s="40">
        <f t="shared" si="1135"/>
        <v>1862450</v>
      </c>
      <c r="CP88" s="40">
        <f t="shared" ref="CP88:CQ88" si="1136">CP86+CP87</f>
        <v>1711498</v>
      </c>
      <c r="CQ88" s="40">
        <f t="shared" si="1136"/>
        <v>1644676</v>
      </c>
      <c r="CR88" s="40">
        <f t="shared" ref="CR88" si="1137">CR86+CR87</f>
        <v>1536441</v>
      </c>
      <c r="CS88" s="40">
        <f t="shared" ref="CS88" si="1138">CS86+CS87</f>
        <v>1454093</v>
      </c>
      <c r="CT88" s="40">
        <f t="shared" ref="CT88" si="1139">CT86+CT87</f>
        <v>1360924</v>
      </c>
      <c r="CU88" s="40">
        <f t="shared" ref="CU88:CZ88" si="1140">CU86+CU87</f>
        <v>1275351</v>
      </c>
      <c r="CV88" s="40">
        <f t="shared" si="1140"/>
        <v>1198245</v>
      </c>
      <c r="CW88" s="40">
        <f t="shared" si="1140"/>
        <v>1124377</v>
      </c>
      <c r="CX88" s="40">
        <f t="shared" si="1140"/>
        <v>1057267</v>
      </c>
      <c r="CY88" s="40">
        <f t="shared" si="1140"/>
        <v>996523</v>
      </c>
      <c r="CZ88" s="40">
        <f t="shared" si="1140"/>
        <v>915091</v>
      </c>
      <c r="DA88" s="53">
        <v>792780</v>
      </c>
      <c r="DC88" s="2" t="s">
        <v>38</v>
      </c>
      <c r="DD88" s="2"/>
      <c r="DE88" s="40">
        <f t="shared" ref="DE88:DF88" si="1141">DE86+DE87</f>
        <v>2321500</v>
      </c>
      <c r="DF88" s="40">
        <f t="shared" si="1141"/>
        <v>2335700</v>
      </c>
      <c r="DG88" s="40">
        <f t="shared" ref="DG88:DH88" si="1142">DG86+DG87</f>
        <v>2249000</v>
      </c>
      <c r="DH88" s="40">
        <f t="shared" si="1142"/>
        <v>1988100</v>
      </c>
      <c r="DI88" s="40">
        <f t="shared" ref="DI88:DJ88" si="1143">DI86+DI87</f>
        <v>1772400</v>
      </c>
      <c r="DJ88" s="40">
        <f t="shared" si="1143"/>
        <v>1575600</v>
      </c>
      <c r="DK88" s="40">
        <f t="shared" ref="DK88" si="1144">DK86+DK87</f>
        <v>1510100</v>
      </c>
      <c r="DL88" s="40">
        <f t="shared" ref="DL88" si="1145">DL86+DL87</f>
        <v>1047069</v>
      </c>
      <c r="DM88" s="40">
        <f t="shared" ref="DM88" si="1146">DM86+DM87</f>
        <v>605727</v>
      </c>
      <c r="DN88" s="40">
        <f t="shared" ref="DN88:DS88" si="1147">DN86+DN87</f>
        <v>575431</v>
      </c>
      <c r="DO88" s="40">
        <f t="shared" si="1147"/>
        <v>542714</v>
      </c>
      <c r="DP88" s="40">
        <f t="shared" si="1147"/>
        <v>519196</v>
      </c>
      <c r="DQ88" s="40">
        <f t="shared" si="1147"/>
        <v>482042</v>
      </c>
      <c r="DR88" s="40">
        <f t="shared" si="1147"/>
        <v>426468</v>
      </c>
      <c r="DS88" s="40">
        <f t="shared" si="1147"/>
        <v>398982</v>
      </c>
      <c r="DT88" s="53">
        <v>374228</v>
      </c>
      <c r="DV88" s="2" t="s">
        <v>38</v>
      </c>
      <c r="DW88" s="2"/>
      <c r="DX88" s="40">
        <f>DX86+DX87</f>
        <v>1699097</v>
      </c>
      <c r="DY88" s="40">
        <f>DY86+DY87</f>
        <v>1456343</v>
      </c>
      <c r="DZ88" s="40">
        <f t="shared" ref="DZ88:EL88" si="1148">DZ86+DZ87</f>
        <v>1293117</v>
      </c>
      <c r="EA88" s="40">
        <f t="shared" si="1148"/>
        <v>1229174</v>
      </c>
      <c r="EB88" s="40">
        <f t="shared" si="1148"/>
        <v>1316621</v>
      </c>
      <c r="EC88" s="40">
        <f t="shared" si="1148"/>
        <v>1062038</v>
      </c>
      <c r="ED88" s="40">
        <f t="shared" si="1148"/>
        <v>962690</v>
      </c>
      <c r="EE88" s="40">
        <f t="shared" si="1148"/>
        <v>847760</v>
      </c>
      <c r="EF88" s="40">
        <f t="shared" si="1148"/>
        <v>767319</v>
      </c>
      <c r="EG88" s="40">
        <f t="shared" si="1148"/>
        <v>652552</v>
      </c>
      <c r="EH88" s="40">
        <f t="shared" si="1148"/>
        <v>591909</v>
      </c>
      <c r="EI88" s="40">
        <f t="shared" si="1148"/>
        <v>563070</v>
      </c>
      <c r="EJ88" s="40">
        <f t="shared" si="1148"/>
        <v>539453</v>
      </c>
      <c r="EK88" s="40">
        <f t="shared" si="1148"/>
        <v>491395</v>
      </c>
      <c r="EL88" s="40">
        <f t="shared" si="1148"/>
        <v>450827</v>
      </c>
      <c r="EM88" s="53">
        <v>398090</v>
      </c>
      <c r="EX88" s="1"/>
      <c r="EY88" s="1"/>
      <c r="EZ88" s="9"/>
      <c r="FA88" s="9"/>
      <c r="FB88" s="9"/>
      <c r="FC88" s="9"/>
      <c r="FD88" s="9"/>
      <c r="FE88" s="1"/>
      <c r="FF88" s="36"/>
      <c r="FG88" s="1"/>
      <c r="FH88" s="1"/>
    </row>
    <row r="89" spans="1:164" x14ac:dyDescent="0.25">
      <c r="A89" s="8" t="s">
        <v>121</v>
      </c>
      <c r="B89" s="12">
        <f t="shared" ref="B89:L89" si="1149">(P89+AI89+BB89+BU89+CL89+DE89+DX89)/7</f>
        <v>9.5285714285714279E-2</v>
      </c>
      <c r="C89" s="12">
        <f t="shared" si="1149"/>
        <v>8.7999999999999981E-2</v>
      </c>
      <c r="D89" s="12">
        <f t="shared" si="1149"/>
        <v>9.5571428571428557E-2</v>
      </c>
      <c r="E89" s="12">
        <f t="shared" si="1149"/>
        <v>9.4142857142857125E-2</v>
      </c>
      <c r="F89" s="12">
        <f t="shared" si="1149"/>
        <v>9.1428571428571428E-2</v>
      </c>
      <c r="G89" s="12">
        <f t="shared" si="1149"/>
        <v>9.799999999999999E-2</v>
      </c>
      <c r="H89" s="12">
        <f t="shared" si="1149"/>
        <v>8.5571428571428562E-2</v>
      </c>
      <c r="I89" s="12" t="e">
        <f t="shared" si="1149"/>
        <v>#DIV/0!</v>
      </c>
      <c r="J89" s="12" t="e">
        <f t="shared" si="1149"/>
        <v>#DIV/0!</v>
      </c>
      <c r="K89" s="12" t="e">
        <f t="shared" si="1149"/>
        <v>#DIV/0!</v>
      </c>
      <c r="L89" s="12" t="e">
        <f t="shared" si="1149"/>
        <v>#DIV/0!</v>
      </c>
      <c r="N89" s="8" t="s">
        <v>90</v>
      </c>
      <c r="O89" s="8"/>
      <c r="P89" s="4">
        <f t="shared" ref="P89:R89" si="1150">ROUND(P85/((P88+Q88)/2),3)</f>
        <v>0.112</v>
      </c>
      <c r="Q89" s="4">
        <f t="shared" si="1150"/>
        <v>0.112</v>
      </c>
      <c r="R89" s="4">
        <f t="shared" si="1150"/>
        <v>0.11799999999999999</v>
      </c>
      <c r="S89" s="4">
        <f t="shared" ref="S89" si="1151">ROUND(S85/((S88+T88)/2),3)</f>
        <v>0.109</v>
      </c>
      <c r="T89" s="4">
        <f t="shared" ref="T89:AD89" si="1152">ROUND(T85/((T88+U88)/2),3)</f>
        <v>0.115</v>
      </c>
      <c r="U89" s="4">
        <f t="shared" si="1152"/>
        <v>0.17299999999999999</v>
      </c>
      <c r="V89" s="4">
        <f t="shared" si="1152"/>
        <v>0.153</v>
      </c>
      <c r="W89" s="4">
        <f t="shared" si="1152"/>
        <v>0.13400000000000001</v>
      </c>
      <c r="X89" s="4">
        <f t="shared" si="1152"/>
        <v>0.115</v>
      </c>
      <c r="Y89" s="4">
        <f>ROUND(Y85/((Y88+Z88)/2),3)</f>
        <v>0.13300000000000001</v>
      </c>
      <c r="Z89" s="4">
        <f t="shared" si="1152"/>
        <v>0.16300000000000001</v>
      </c>
      <c r="AA89" s="4">
        <f t="shared" si="1152"/>
        <v>3.7999999999999999E-2</v>
      </c>
      <c r="AB89" s="4">
        <f t="shared" si="1152"/>
        <v>0.158</v>
      </c>
      <c r="AC89" s="4">
        <f t="shared" si="1152"/>
        <v>0.10299999999999999</v>
      </c>
      <c r="AD89" s="4">
        <f t="shared" si="1152"/>
        <v>0.14799999999999999</v>
      </c>
      <c r="AG89" s="8" t="s">
        <v>90</v>
      </c>
      <c r="AH89" s="8"/>
      <c r="AI89" s="4">
        <f t="shared" ref="AI89:AK89" si="1153">ROUND(AI85/((AI88+AJ88)/2),3)</f>
        <v>8.5999999999999993E-2</v>
      </c>
      <c r="AJ89" s="4">
        <f t="shared" si="1153"/>
        <v>7.4999999999999997E-2</v>
      </c>
      <c r="AK89" s="4">
        <f t="shared" si="1153"/>
        <v>8.5000000000000006E-2</v>
      </c>
      <c r="AL89" s="4">
        <f t="shared" ref="AL89" si="1154">ROUND(AL85/((AL88+AM88)/2),3)</f>
        <v>0.09</v>
      </c>
      <c r="AM89" s="4">
        <f t="shared" ref="AM89:AW89" si="1155">ROUND(AM85/((AM88+AN88)/2),3)</f>
        <v>7.1999999999999995E-2</v>
      </c>
      <c r="AN89" s="4">
        <f t="shared" si="1155"/>
        <v>6.9000000000000006E-2</v>
      </c>
      <c r="AO89" s="4">
        <f t="shared" si="1155"/>
        <v>7.5999999999999998E-2</v>
      </c>
      <c r="AP89" s="4">
        <f t="shared" si="1155"/>
        <v>8.1000000000000003E-2</v>
      </c>
      <c r="AQ89" s="4">
        <f t="shared" si="1155"/>
        <v>8.2000000000000003E-2</v>
      </c>
      <c r="AR89" s="4">
        <f>ROUND(AR85/((AR88+AS88)/2),3)</f>
        <v>0.09</v>
      </c>
      <c r="AS89" s="4">
        <f t="shared" si="1155"/>
        <v>0.106</v>
      </c>
      <c r="AT89" s="4">
        <f t="shared" si="1155"/>
        <v>0.11600000000000001</v>
      </c>
      <c r="AU89" s="4">
        <f t="shared" si="1155"/>
        <v>0.113</v>
      </c>
      <c r="AV89" s="4">
        <f t="shared" si="1155"/>
        <v>0.124</v>
      </c>
      <c r="AW89" s="4">
        <f t="shared" si="1155"/>
        <v>0.107</v>
      </c>
      <c r="AZ89" s="8" t="s">
        <v>90</v>
      </c>
      <c r="BA89" s="8"/>
      <c r="BB89" s="4">
        <f>ROUND(BB85/((BB88+BC88)/2),3)</f>
        <v>9.5000000000000001E-2</v>
      </c>
      <c r="BC89" s="4">
        <f>ROUND(BC85/((BC88+BD88)/2),3)</f>
        <v>9.5000000000000001E-2</v>
      </c>
      <c r="BD89" s="4">
        <f t="shared" ref="BD89" si="1156">ROUND(BD85/((BD88+BE88)/2),3)</f>
        <v>0.1</v>
      </c>
      <c r="BE89" s="4">
        <f t="shared" ref="BE89" si="1157">ROUND(BE85/((BE88+BF88)/2),3)</f>
        <v>0.104</v>
      </c>
      <c r="BF89" s="4">
        <f t="shared" ref="BF89:BP89" si="1158">ROUND(BF85/((BF88+BG88)/2),3)</f>
        <v>0.10100000000000001</v>
      </c>
      <c r="BG89" s="4">
        <f t="shared" si="1158"/>
        <v>9.8000000000000004E-2</v>
      </c>
      <c r="BH89" s="4">
        <f t="shared" si="1158"/>
        <v>0.10299999999999999</v>
      </c>
      <c r="BI89" s="4">
        <f t="shared" si="1158"/>
        <v>9.8000000000000004E-2</v>
      </c>
      <c r="BJ89" s="4">
        <f t="shared" si="1158"/>
        <v>9.1999999999999998E-2</v>
      </c>
      <c r="BK89" s="4">
        <f>ROUND(BK85/((BK88+BL88)/2),3)</f>
        <v>9.1999999999999998E-2</v>
      </c>
      <c r="BL89" s="4">
        <f t="shared" si="1158"/>
        <v>9.4E-2</v>
      </c>
      <c r="BM89" s="4">
        <f t="shared" si="1158"/>
        <v>8.8999999999999996E-2</v>
      </c>
      <c r="BN89" s="4">
        <f t="shared" si="1158"/>
        <v>8.8999999999999996E-2</v>
      </c>
      <c r="BO89" s="4">
        <f t="shared" si="1158"/>
        <v>9.1999999999999998E-2</v>
      </c>
      <c r="BP89" s="4">
        <f t="shared" si="1158"/>
        <v>0.09</v>
      </c>
      <c r="BS89" s="8" t="s">
        <v>90</v>
      </c>
      <c r="BT89" s="8"/>
      <c r="BU89" s="4">
        <f>ROUND(BU85/((BU88+BV88)/2),3)</f>
        <v>0.09</v>
      </c>
      <c r="BV89" s="4">
        <f>ROUND(BV85/((BV88+BW88)/2),3)</f>
        <v>8.8999999999999996E-2</v>
      </c>
      <c r="BW89" s="4">
        <f>ROUND(BW85/((BW88+BX88)/2),3)</f>
        <v>8.5999999999999993E-2</v>
      </c>
      <c r="BX89" s="4">
        <f t="shared" ref="BX89:BZ89" si="1159">ROUND(BX85/((BX88+BY88)/2),3)</f>
        <v>8.4000000000000005E-2</v>
      </c>
      <c r="BY89" s="4">
        <f t="shared" si="1159"/>
        <v>7.4999999999999997E-2</v>
      </c>
      <c r="BZ89" s="4">
        <f t="shared" si="1159"/>
        <v>6.5000000000000002E-2</v>
      </c>
      <c r="CA89" s="4">
        <f t="shared" ref="CA89:CG89" si="1160">ROUND(CA85/((CA88+CB88)/2),3)</f>
        <v>0</v>
      </c>
      <c r="CB89" s="4" t="e">
        <f t="shared" si="1160"/>
        <v>#DIV/0!</v>
      </c>
      <c r="CC89" s="4" t="e">
        <f t="shared" si="1160"/>
        <v>#DIV/0!</v>
      </c>
      <c r="CD89" s="4" t="e">
        <f>ROUND(CD85/((CD88+CE88)/2),3)</f>
        <v>#DIV/0!</v>
      </c>
      <c r="CE89" s="4" t="e">
        <f t="shared" si="1160"/>
        <v>#DIV/0!</v>
      </c>
      <c r="CF89" s="4" t="e">
        <f t="shared" si="1160"/>
        <v>#DIV/0!</v>
      </c>
      <c r="CG89" s="4" t="e">
        <f t="shared" si="1160"/>
        <v>#DIV/0!</v>
      </c>
      <c r="CJ89" s="8" t="s">
        <v>90</v>
      </c>
      <c r="CK89" s="8"/>
      <c r="CL89" s="4">
        <f t="shared" ref="CL89:CN89" si="1161">ROUND(CL85/((CL88+CM88)/2),3)</f>
        <v>0.09</v>
      </c>
      <c r="CM89" s="4">
        <f t="shared" si="1161"/>
        <v>8.8999999999999996E-2</v>
      </c>
      <c r="CN89" s="4">
        <f t="shared" si="1161"/>
        <v>8.6999999999999994E-2</v>
      </c>
      <c r="CO89" s="4">
        <f t="shared" ref="CO89" si="1162">ROUND(CO85/((CO88+CP88)/2),3)</f>
        <v>0.109</v>
      </c>
      <c r="CP89" s="4">
        <f t="shared" ref="CP89:CZ89" si="1163">ROUND(CP85/((CP88+CQ88)/2),3)</f>
        <v>9.0999999999999998E-2</v>
      </c>
      <c r="CQ89" s="4">
        <f t="shared" si="1163"/>
        <v>8.7999999999999995E-2</v>
      </c>
      <c r="CR89" s="4">
        <f t="shared" si="1163"/>
        <v>9.4E-2</v>
      </c>
      <c r="CS89" s="4">
        <f t="shared" si="1163"/>
        <v>0.10299999999999999</v>
      </c>
      <c r="CT89" s="4">
        <f t="shared" si="1163"/>
        <v>0.10100000000000001</v>
      </c>
      <c r="CU89" s="4">
        <f>ROUND(CU85/((CU88+CV88)/2),3)</f>
        <v>9.0999999999999998E-2</v>
      </c>
      <c r="CV89" s="4">
        <f t="shared" si="1163"/>
        <v>8.8999999999999996E-2</v>
      </c>
      <c r="CW89" s="4">
        <f t="shared" si="1163"/>
        <v>0.08</v>
      </c>
      <c r="CX89" s="4">
        <f t="shared" si="1163"/>
        <v>5.8999999999999997E-2</v>
      </c>
      <c r="CY89" s="4">
        <f t="shared" si="1163"/>
        <v>8.6999999999999994E-2</v>
      </c>
      <c r="CZ89" s="4">
        <f t="shared" si="1163"/>
        <v>9.8000000000000004E-2</v>
      </c>
      <c r="DC89" s="8" t="s">
        <v>90</v>
      </c>
      <c r="DD89" s="8"/>
      <c r="DE89" s="4">
        <f t="shared" ref="DE89:DG89" si="1164">ROUND(DE85/((DE88+DF88)/2),3)</f>
        <v>9.4E-2</v>
      </c>
      <c r="DF89" s="4">
        <f t="shared" si="1164"/>
        <v>8.1000000000000003E-2</v>
      </c>
      <c r="DG89" s="4">
        <f t="shared" si="1164"/>
        <v>0.10100000000000001</v>
      </c>
      <c r="DH89" s="4">
        <f t="shared" ref="DH89" si="1165">ROUND(DH85/((DH88+DI88)/2),3)</f>
        <v>8.5999999999999993E-2</v>
      </c>
      <c r="DI89" s="4">
        <f t="shared" ref="DI89:DS89" si="1166">ROUND(DI85/((DI88+DJ88)/2),3)</f>
        <v>8.5999999999999993E-2</v>
      </c>
      <c r="DJ89" s="4">
        <f t="shared" si="1166"/>
        <v>8.8999999999999996E-2</v>
      </c>
      <c r="DK89" s="4">
        <f t="shared" si="1166"/>
        <v>6.6000000000000003E-2</v>
      </c>
      <c r="DL89" s="4">
        <f t="shared" si="1166"/>
        <v>6.4000000000000001E-2</v>
      </c>
      <c r="DM89" s="4">
        <f t="shared" si="1166"/>
        <v>0.106</v>
      </c>
      <c r="DN89" s="4">
        <f>ROUND(DN85/((DN88+DO88)/2),3)</f>
        <v>0.114</v>
      </c>
      <c r="DO89" s="4">
        <f t="shared" si="1166"/>
        <v>0.10199999999999999</v>
      </c>
      <c r="DP89" s="4">
        <f t="shared" si="1166"/>
        <v>0.128</v>
      </c>
      <c r="DQ89" s="4">
        <f t="shared" si="1166"/>
        <v>0.17199999999999999</v>
      </c>
      <c r="DR89" s="4">
        <f t="shared" si="1166"/>
        <v>0.121</v>
      </c>
      <c r="DS89" s="4">
        <f t="shared" si="1166"/>
        <v>0.127</v>
      </c>
      <c r="DV89" s="8" t="s">
        <v>90</v>
      </c>
      <c r="DW89" s="8"/>
      <c r="DX89" s="4">
        <f>ROUND(DX85/((DX88+DY88)/2),3)</f>
        <v>0.1</v>
      </c>
      <c r="DY89" s="4">
        <f>ROUND(DY85/((DY88+DZ88)/2),3)</f>
        <v>7.4999999999999997E-2</v>
      </c>
      <c r="DZ89" s="4">
        <f t="shared" ref="DZ89:EL89" si="1167">ROUND(DZ85/((DZ88+EA88)/2),3)</f>
        <v>9.1999999999999998E-2</v>
      </c>
      <c r="EA89" s="4">
        <f t="shared" si="1167"/>
        <v>7.6999999999999999E-2</v>
      </c>
      <c r="EB89" s="4">
        <f t="shared" si="1167"/>
        <v>0.1</v>
      </c>
      <c r="EC89" s="4">
        <f t="shared" si="1167"/>
        <v>0.104</v>
      </c>
      <c r="ED89" s="4">
        <f t="shared" si="1167"/>
        <v>0.107</v>
      </c>
      <c r="EE89" s="4">
        <f t="shared" si="1167"/>
        <v>0.10100000000000001</v>
      </c>
      <c r="EF89" s="4">
        <f t="shared" si="1167"/>
        <v>0.129</v>
      </c>
      <c r="EG89" s="4">
        <f t="shared" si="1167"/>
        <v>0.14399999999999999</v>
      </c>
      <c r="EH89" s="4">
        <f t="shared" si="1167"/>
        <v>0.115</v>
      </c>
      <c r="EI89" s="4">
        <f t="shared" si="1167"/>
        <v>0.105</v>
      </c>
      <c r="EJ89" s="4">
        <f t="shared" si="1167"/>
        <v>0.14899999999999999</v>
      </c>
      <c r="EK89" s="4">
        <f t="shared" si="1167"/>
        <v>0.13200000000000001</v>
      </c>
      <c r="EL89" s="4">
        <f t="shared" si="1167"/>
        <v>0.16800000000000001</v>
      </c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</row>
    <row r="90" spans="1:164" x14ac:dyDescent="0.25">
      <c r="G90" s="134"/>
      <c r="H90" s="134"/>
      <c r="I90" s="134"/>
      <c r="J90" s="134"/>
      <c r="K90" s="134"/>
      <c r="L90" s="134"/>
      <c r="Y90" s="93"/>
      <c r="BG90" s="10"/>
      <c r="BJ90" s="10"/>
      <c r="DM90" s="10"/>
      <c r="EC90" s="10"/>
      <c r="EF90" s="10"/>
      <c r="EO90" s="47" t="s">
        <v>93</v>
      </c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</row>
    <row r="91" spans="1:164" x14ac:dyDescent="0.25">
      <c r="A91" s="47"/>
      <c r="B91" s="47"/>
      <c r="C91" s="47"/>
      <c r="D91" s="47"/>
      <c r="E91" s="47"/>
      <c r="F91" s="170" t="s">
        <v>39</v>
      </c>
      <c r="G91" s="171" t="s">
        <v>40</v>
      </c>
      <c r="H91" s="172" t="s">
        <v>41</v>
      </c>
      <c r="N91" s="47"/>
      <c r="T91" s="170" t="s">
        <v>39</v>
      </c>
      <c r="U91" s="171" t="s">
        <v>40</v>
      </c>
      <c r="V91" s="172" t="s">
        <v>41</v>
      </c>
      <c r="AG91" s="47"/>
      <c r="AM91" s="170" t="s">
        <v>39</v>
      </c>
      <c r="AN91" s="171" t="s">
        <v>40</v>
      </c>
      <c r="AO91" s="172" t="s">
        <v>41</v>
      </c>
      <c r="AZ91" s="47"/>
      <c r="BF91" s="170" t="s">
        <v>39</v>
      </c>
      <c r="BG91" s="171" t="s">
        <v>40</v>
      </c>
      <c r="BH91" s="172" t="s">
        <v>41</v>
      </c>
      <c r="BS91" s="47"/>
      <c r="BY91" s="170" t="s">
        <v>39</v>
      </c>
      <c r="BZ91" s="171" t="s">
        <v>40</v>
      </c>
      <c r="CA91" s="172" t="s">
        <v>41</v>
      </c>
      <c r="CJ91" s="47"/>
      <c r="CP91" s="170" t="s">
        <v>39</v>
      </c>
      <c r="CQ91" s="171" t="s">
        <v>40</v>
      </c>
      <c r="CR91" s="172" t="s">
        <v>41</v>
      </c>
      <c r="DC91" s="47"/>
      <c r="DI91" s="170" t="s">
        <v>39</v>
      </c>
      <c r="DJ91" s="171" t="s">
        <v>40</v>
      </c>
      <c r="DK91" s="172" t="s">
        <v>41</v>
      </c>
      <c r="DV91" s="47"/>
      <c r="EB91" s="173" t="s">
        <v>39</v>
      </c>
      <c r="EC91" s="174" t="s">
        <v>40</v>
      </c>
      <c r="ED91" s="175" t="s">
        <v>41</v>
      </c>
      <c r="EO91" s="11" t="s">
        <v>171</v>
      </c>
      <c r="EP91" s="10">
        <f t="shared" ref="EP91:EU91" si="1168">EP71</f>
        <v>11578</v>
      </c>
      <c r="EQ91" s="10">
        <f t="shared" si="1168"/>
        <v>15352</v>
      </c>
      <c r="ER91" s="10">
        <f t="shared" si="1168"/>
        <v>17847.108</v>
      </c>
      <c r="ES91" s="10">
        <f t="shared" si="1168"/>
        <v>12681.243</v>
      </c>
      <c r="ET91" s="10">
        <f t="shared" si="1168"/>
        <v>9881.2579999999998</v>
      </c>
      <c r="EU91" s="10">
        <f t="shared" si="1168"/>
        <v>11121.651</v>
      </c>
      <c r="EX91" s="9"/>
      <c r="EY91" s="9"/>
      <c r="EZ91" s="9"/>
      <c r="FA91" s="9"/>
      <c r="FB91" s="9"/>
      <c r="FC91" s="9"/>
      <c r="FD91" s="9"/>
      <c r="FE91" s="1"/>
      <c r="FF91" s="36"/>
      <c r="FG91" s="1"/>
      <c r="FH91" s="1"/>
    </row>
    <row r="92" spans="1:164" x14ac:dyDescent="0.25">
      <c r="F92" s="176"/>
      <c r="G92" s="1"/>
      <c r="H92" s="177"/>
      <c r="N92" s="78"/>
      <c r="T92" s="176"/>
      <c r="U92" s="1"/>
      <c r="V92" s="177"/>
      <c r="X92" s="134"/>
      <c r="AH92" s="95"/>
      <c r="AI92" s="95"/>
      <c r="AJ92" s="95"/>
      <c r="AK92" s="95"/>
      <c r="AM92" s="176"/>
      <c r="AN92" s="1"/>
      <c r="AO92" s="177"/>
      <c r="AZ92" s="93"/>
      <c r="BF92" s="176"/>
      <c r="BG92" s="1"/>
      <c r="BH92" s="177"/>
      <c r="BS92" s="96"/>
      <c r="BY92" s="176"/>
      <c r="BZ92" s="1"/>
      <c r="CA92" s="177"/>
      <c r="CJ92" s="93"/>
      <c r="CP92" s="176"/>
      <c r="CQ92" s="1"/>
      <c r="CR92" s="177"/>
      <c r="DC92" s="93"/>
      <c r="DI92" s="176"/>
      <c r="DJ92" s="1"/>
      <c r="DK92" s="177"/>
      <c r="DV92" s="97"/>
      <c r="EB92" s="176"/>
      <c r="EC92" s="1"/>
      <c r="ED92" s="177"/>
      <c r="EO92" s="11" t="s">
        <v>4</v>
      </c>
      <c r="EP92" s="10">
        <f t="shared" ref="EP92:EU93" si="1169">EP17</f>
        <v>38824.699999999997</v>
      </c>
      <c r="EQ92" s="10">
        <f t="shared" si="1169"/>
        <v>32824.724000000002</v>
      </c>
      <c r="ER92" s="10">
        <f t="shared" si="1169"/>
        <v>32824.724000000002</v>
      </c>
      <c r="ES92" s="10">
        <f t="shared" si="1169"/>
        <v>30324.724000000002</v>
      </c>
      <c r="ET92" s="10">
        <f t="shared" si="1169"/>
        <v>30324.724000000002</v>
      </c>
      <c r="EU92" s="10">
        <f t="shared" si="1169"/>
        <v>30324.724000000002</v>
      </c>
      <c r="EX92" s="9"/>
      <c r="EY92" s="9"/>
      <c r="EZ92" s="9"/>
      <c r="FA92" s="9"/>
      <c r="FB92" s="9"/>
      <c r="FC92" s="9"/>
      <c r="FD92" s="9"/>
      <c r="FE92" s="1"/>
      <c r="FF92" s="36"/>
      <c r="FG92" s="1"/>
      <c r="FH92" s="1"/>
    </row>
    <row r="93" spans="1:164" x14ac:dyDescent="0.25">
      <c r="F93" s="178">
        <f>ROUND((T93+AM93+BF93+BY93+CP93+DI93+EB93)/7,5)</f>
        <v>9.289E-2</v>
      </c>
      <c r="G93" s="178">
        <f>ROUND((U93+AN93+BG93+BZ93+CQ93+DJ93+EC93)/7,5)</f>
        <v>6.3899999999999998E-3</v>
      </c>
      <c r="H93" s="179">
        <f>ROUND((V93+AO93+BH93+CA93+CR93+DK93+ED93)/7,5)</f>
        <v>7.102E-2</v>
      </c>
      <c r="K93" s="98"/>
      <c r="N93" s="106"/>
      <c r="T93" s="180">
        <f>AVERAGE(P89:T89)</f>
        <v>0.1132</v>
      </c>
      <c r="U93" s="4">
        <f>_xlfn.STDEV.P(P89:T89)</f>
        <v>3.0594117081556692E-3</v>
      </c>
      <c r="V93" s="181">
        <f>U93/T93</f>
        <v>2.7026605195721462E-2</v>
      </c>
      <c r="Y93" s="98"/>
      <c r="AM93" s="180">
        <f>AVERAGE(AI89:AM89)</f>
        <v>8.1599999999999992E-2</v>
      </c>
      <c r="AN93" s="4">
        <f>_xlfn.STDEV.P(AI89:AM89)</f>
        <v>6.887670143089027E-3</v>
      </c>
      <c r="AO93" s="181">
        <f>AN93/AM93</f>
        <v>8.4407722341777305E-2</v>
      </c>
      <c r="AQ93" s="134"/>
      <c r="AR93" s="99"/>
      <c r="AZ93" s="93"/>
      <c r="BF93" s="180">
        <f>AVERAGE(BB89:BF89)</f>
        <v>9.9000000000000005E-2</v>
      </c>
      <c r="BG93" s="182">
        <f>_xlfn.STDEV.P(BB89:BF89)</f>
        <v>3.5213633723318013E-3</v>
      </c>
      <c r="BH93" s="181">
        <f>BG93/BF93</f>
        <v>3.5569326993250515E-2</v>
      </c>
      <c r="BJ93" s="134"/>
      <c r="BK93" s="99"/>
      <c r="BS93" s="100"/>
      <c r="BY93" s="180">
        <f>AVERAGE(BU89:BY89)</f>
        <v>8.4800000000000014E-2</v>
      </c>
      <c r="BZ93" s="4">
        <f>_xlfn.STDEV.P(BU89:BY89)</f>
        <v>5.3441556863549544E-3</v>
      </c>
      <c r="CA93" s="181">
        <f>BZ93/BY93</f>
        <v>6.30207038485254E-2</v>
      </c>
      <c r="CB93" s="99"/>
      <c r="CP93" s="180">
        <f>AVERAGE(CL89:CP89)</f>
        <v>9.3199999999999991E-2</v>
      </c>
      <c r="CQ93" s="4">
        <f>_xlfn.STDEV.P(CL89:CP89)</f>
        <v>8.0099937578003155E-3</v>
      </c>
      <c r="CR93" s="181">
        <f>CQ93/CP93</f>
        <v>8.5944139032192238E-2</v>
      </c>
      <c r="CT93" s="134"/>
      <c r="CU93" s="99"/>
      <c r="DC93" s="93"/>
      <c r="DI93" s="180">
        <f>AVERAGE(DE89:DI89)</f>
        <v>8.9599999999999985E-2</v>
      </c>
      <c r="DJ93" s="4">
        <f>_xlfn.STDEV.P(DE89:DI89)</f>
        <v>7.0597450378891199E-3</v>
      </c>
      <c r="DK93" s="181">
        <f>DJ93/DI93</f>
        <v>7.8791797297869656E-2</v>
      </c>
      <c r="DN93" s="98"/>
      <c r="EB93" s="180">
        <f>AVERAGE(DX89:EB89)</f>
        <v>8.8800000000000018E-2</v>
      </c>
      <c r="EC93" s="4">
        <f>_xlfn.STDEV.P(DX89:EB89)</f>
        <v>1.0870142593360823E-2</v>
      </c>
      <c r="ED93" s="181">
        <f>EC93/EB93</f>
        <v>0.12241151569100024</v>
      </c>
      <c r="EG93" s="98"/>
      <c r="EO93" s="11" t="s">
        <v>5</v>
      </c>
      <c r="EP93" s="10">
        <f t="shared" si="1169"/>
        <v>147438.22500000001</v>
      </c>
      <c r="EQ93" s="10">
        <f t="shared" si="1169"/>
        <v>135860.20199999999</v>
      </c>
      <c r="ER93" s="10">
        <f t="shared" si="1169"/>
        <v>120508.202</v>
      </c>
      <c r="ES93" s="10">
        <f t="shared" si="1169"/>
        <v>102661.094</v>
      </c>
      <c r="ET93" s="10">
        <f t="shared" si="1169"/>
        <v>89979.850999999995</v>
      </c>
      <c r="EU93" s="10">
        <f t="shared" si="1169"/>
        <v>84098.592999999993</v>
      </c>
      <c r="EX93" s="9"/>
      <c r="EY93" s="9"/>
      <c r="EZ93" s="9"/>
      <c r="FA93" s="9"/>
      <c r="FB93" s="9"/>
      <c r="FC93" s="9"/>
      <c r="FD93" s="9"/>
      <c r="FE93" s="16"/>
      <c r="FF93" s="36"/>
      <c r="FG93" s="1"/>
      <c r="FH93" s="1"/>
    </row>
    <row r="94" spans="1:164" x14ac:dyDescent="0.25">
      <c r="F94" s="73"/>
      <c r="K94" s="101"/>
      <c r="L94" s="30"/>
      <c r="T94" s="134"/>
      <c r="Y94" s="93"/>
      <c r="Z94" s="30"/>
      <c r="AA94" s="3"/>
      <c r="AB94" s="31"/>
      <c r="AG94" s="93"/>
      <c r="AM94" s="73"/>
      <c r="AR94" s="75"/>
      <c r="AS94" s="30"/>
      <c r="AT94" s="3"/>
      <c r="AU94" s="31"/>
      <c r="AZ94" s="93"/>
      <c r="BF94" s="73"/>
      <c r="BK94" s="78"/>
      <c r="BL94" s="30"/>
      <c r="BM94" s="3"/>
      <c r="BN94" s="31"/>
      <c r="BY94" s="73"/>
      <c r="CB94" s="78"/>
      <c r="CC94" s="30"/>
      <c r="CD94" s="3"/>
      <c r="CE94" s="31"/>
      <c r="CP94" s="73"/>
      <c r="CU94" s="75"/>
      <c r="CV94" s="30"/>
      <c r="CW94" s="3"/>
      <c r="CX94" s="31"/>
      <c r="DC94" s="93"/>
      <c r="DI94" s="73"/>
      <c r="DN94" s="101"/>
      <c r="DO94" s="30"/>
      <c r="DP94" s="3"/>
      <c r="DQ94" s="31"/>
      <c r="EB94" s="73"/>
      <c r="EG94" s="101"/>
      <c r="EH94" s="30"/>
      <c r="EI94" s="3"/>
      <c r="EJ94" s="31"/>
      <c r="EO94" s="2" t="s">
        <v>100</v>
      </c>
      <c r="EP94" s="40">
        <f t="shared" ref="EP94:EU94" si="1170">EP92+EP93-EP27</f>
        <v>186262.92499999999</v>
      </c>
      <c r="EQ94" s="40">
        <f t="shared" si="1170"/>
        <v>168684.92599999998</v>
      </c>
      <c r="ER94" s="40">
        <f t="shared" si="1170"/>
        <v>153332.92600000001</v>
      </c>
      <c r="ES94" s="40">
        <f t="shared" si="1170"/>
        <v>132985.818</v>
      </c>
      <c r="ET94" s="40">
        <f t="shared" si="1170"/>
        <v>120304.575</v>
      </c>
      <c r="EU94" s="40">
        <f t="shared" si="1170"/>
        <v>114423.317</v>
      </c>
      <c r="EX94" s="122"/>
      <c r="EY94" s="122"/>
      <c r="EZ94" s="122"/>
      <c r="FA94" s="122"/>
      <c r="FB94" s="122"/>
      <c r="FC94" s="122"/>
      <c r="FD94" s="122"/>
      <c r="FE94" s="9"/>
      <c r="FF94" s="36"/>
      <c r="FG94" s="1"/>
      <c r="FH94" s="1"/>
    </row>
    <row r="95" spans="1:164" x14ac:dyDescent="0.25">
      <c r="A95" s="44" t="s">
        <v>139</v>
      </c>
      <c r="B95" s="44"/>
      <c r="N95" s="102"/>
      <c r="T95" s="183"/>
      <c r="AG95" s="87"/>
      <c r="AZ95" s="103"/>
      <c r="CJ95" s="89"/>
      <c r="DC95" s="104"/>
      <c r="DV95" s="94"/>
      <c r="EO95" s="8" t="s">
        <v>119</v>
      </c>
      <c r="EP95" s="4">
        <f>ROUND(EP91/((EP94+EQ94)/2),3)</f>
        <v>6.5000000000000002E-2</v>
      </c>
      <c r="EQ95" s="4">
        <f t="shared" ref="EQ95:ET95" si="1171">ROUND(EQ91/((EQ94+ER94)/2),3)</f>
        <v>9.5000000000000001E-2</v>
      </c>
      <c r="ER95" s="4">
        <f t="shared" si="1171"/>
        <v>0.125</v>
      </c>
      <c r="ES95" s="4">
        <f t="shared" si="1171"/>
        <v>0.1</v>
      </c>
      <c r="ET95" s="4">
        <f t="shared" si="1171"/>
        <v>8.4000000000000005E-2</v>
      </c>
      <c r="EU95" s="185" t="e">
        <f>ROUND(EU91/((EU94+#REF!)/2),3)</f>
        <v>#REF!</v>
      </c>
      <c r="EX95" s="3"/>
      <c r="EY95" s="3"/>
      <c r="EZ95" s="3"/>
      <c r="FA95" s="3"/>
      <c r="FB95" s="3"/>
      <c r="FC95" s="3"/>
      <c r="FD95" s="3"/>
      <c r="FE95" s="3"/>
      <c r="FF95" s="36"/>
      <c r="FG95" s="1"/>
      <c r="FH95" s="1"/>
    </row>
    <row r="96" spans="1:164" x14ac:dyDescent="0.25">
      <c r="A96" s="44" t="s">
        <v>128</v>
      </c>
      <c r="B96" s="44"/>
      <c r="N96" s="103"/>
      <c r="AG96" s="94"/>
      <c r="AZ96" s="86"/>
      <c r="BS96" s="105"/>
      <c r="CJ96" s="89"/>
      <c r="EX96" s="3"/>
      <c r="EY96" s="3"/>
      <c r="EZ96" s="3"/>
      <c r="FA96" s="3"/>
      <c r="FB96" s="3"/>
      <c r="FC96" s="3"/>
      <c r="FD96" s="3"/>
      <c r="FE96" s="3"/>
      <c r="FF96" s="1"/>
      <c r="FG96" s="1"/>
      <c r="FH96" s="1"/>
    </row>
    <row r="97" spans="1:167" x14ac:dyDescent="0.25">
      <c r="N97" s="86"/>
      <c r="AG97" s="94"/>
      <c r="AZ97" s="87"/>
      <c r="ER97" s="170" t="s">
        <v>39</v>
      </c>
      <c r="ES97" s="171" t="s">
        <v>40</v>
      </c>
      <c r="ET97" s="172" t="s">
        <v>41</v>
      </c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</row>
    <row r="98" spans="1:167" x14ac:dyDescent="0.25">
      <c r="A98" s="44"/>
      <c r="B98" s="44"/>
      <c r="C98" s="44"/>
      <c r="D98" s="44"/>
      <c r="E98" s="44"/>
      <c r="F98" s="44"/>
      <c r="G98" s="44"/>
      <c r="AG98" s="86"/>
      <c r="EO98" s="47"/>
      <c r="ER98" s="176"/>
      <c r="ET98" s="177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</row>
    <row r="99" spans="1:167" x14ac:dyDescent="0.25">
      <c r="A99" s="44"/>
      <c r="B99" s="44"/>
      <c r="C99" s="44"/>
      <c r="D99" s="44"/>
      <c r="E99" s="44"/>
      <c r="F99" s="44"/>
      <c r="G99" s="44"/>
      <c r="AZ99" s="106"/>
      <c r="ER99" s="184">
        <f>AVERAGE(EP95:ET95)</f>
        <v>9.3800000000000008E-2</v>
      </c>
      <c r="ES99" s="182">
        <f>_xlfn.STDEV.P(EP95:ET95)</f>
        <v>1.9691622584236179E-2</v>
      </c>
      <c r="ET99" s="181">
        <f>ES99/ER99</f>
        <v>0.20993201049292301</v>
      </c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</row>
    <row r="100" spans="1:167" x14ac:dyDescent="0.25">
      <c r="N100" s="86"/>
      <c r="EP100" s="60"/>
      <c r="EQ100" s="60"/>
      <c r="ER100" s="60"/>
      <c r="ES100" s="60"/>
      <c r="ET100" s="60"/>
      <c r="EU100" s="60"/>
      <c r="EX100" s="130"/>
      <c r="EY100" s="130"/>
      <c r="EZ100" s="130"/>
      <c r="FA100" s="130"/>
      <c r="FB100" s="1"/>
      <c r="FC100" s="1"/>
      <c r="FD100" s="1"/>
      <c r="FE100" s="1"/>
      <c r="FF100" s="1"/>
      <c r="FG100" s="1"/>
      <c r="FH100" s="1"/>
    </row>
    <row r="101" spans="1:167" x14ac:dyDescent="0.25"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EX101" s="3"/>
      <c r="EY101" s="31"/>
      <c r="EZ101" s="1"/>
      <c r="FA101" s="1"/>
      <c r="FB101" s="1"/>
      <c r="FC101" s="1"/>
      <c r="FD101" s="1"/>
      <c r="FE101" s="1"/>
      <c r="FF101" s="1"/>
      <c r="FG101" s="1"/>
      <c r="FH101" s="1"/>
    </row>
    <row r="102" spans="1:167" x14ac:dyDescent="0.25"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EO102" s="106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</row>
    <row r="103" spans="1:167" x14ac:dyDescent="0.25"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</row>
    <row r="104" spans="1:167" x14ac:dyDescent="0.25"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EO104" s="13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</row>
    <row r="105" spans="1:167" x14ac:dyDescent="0.25"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EO105" s="162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</row>
    <row r="106" spans="1:167" x14ac:dyDescent="0.25"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</row>
    <row r="107" spans="1:167" x14ac:dyDescent="0.25"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</row>
    <row r="108" spans="1:167" x14ac:dyDescent="0.25"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</row>
    <row r="109" spans="1:167" x14ac:dyDescent="0.25"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EO109" s="32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</row>
    <row r="110" spans="1:167" x14ac:dyDescent="0.25"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EO110" s="32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</row>
    <row r="111" spans="1:167" x14ac:dyDescent="0.25"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EO111" s="32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</row>
    <row r="112" spans="1:167" x14ac:dyDescent="0.25"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EO112" s="28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</row>
    <row r="113" spans="15:167" x14ac:dyDescent="0.25"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EO113" s="28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</row>
    <row r="114" spans="15:167" x14ac:dyDescent="0.25"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EO114" s="28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</row>
    <row r="115" spans="15:167" x14ac:dyDescent="0.25">
      <c r="EO115" s="28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</row>
    <row r="116" spans="15:167" x14ac:dyDescent="0.25">
      <c r="EO116" s="1"/>
      <c r="EP116" s="1"/>
      <c r="EQ116" s="1"/>
      <c r="ER116" s="1"/>
      <c r="ES116" s="1"/>
      <c r="ET116" s="1"/>
      <c r="EU116" s="1"/>
      <c r="EV116" s="1"/>
      <c r="EW116" s="107"/>
      <c r="EX116" s="61"/>
      <c r="EY116" s="16"/>
      <c r="EZ116" s="108"/>
      <c r="FA116" s="108"/>
      <c r="FB116" s="1"/>
      <c r="FC116" s="1"/>
      <c r="FD116" s="1"/>
      <c r="FE116" s="1"/>
      <c r="FF116" s="1"/>
      <c r="FG116" s="1"/>
      <c r="FH116" s="1"/>
      <c r="FI116" s="1"/>
      <c r="FJ116" s="1"/>
      <c r="FK116" s="1"/>
    </row>
    <row r="117" spans="15:167" x14ac:dyDescent="0.25">
      <c r="EO117" s="29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</row>
    <row r="118" spans="15:167" x14ac:dyDescent="0.25">
      <c r="EO118" s="29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</row>
    <row r="119" spans="15:167" x14ac:dyDescent="0.25">
      <c r="EO119" s="32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</row>
    <row r="120" spans="15:167" x14ac:dyDescent="0.25"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</row>
    <row r="121" spans="15:167" x14ac:dyDescent="0.25"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</row>
  </sheetData>
  <mergeCells count="39">
    <mergeCell ref="DI8:DM8"/>
    <mergeCell ref="DI29:DM29"/>
    <mergeCell ref="CP8:CT8"/>
    <mergeCell ref="CP29:CT29"/>
    <mergeCell ref="T29:X29"/>
    <mergeCell ref="AM29:AQ29"/>
    <mergeCell ref="BF8:BJ8"/>
    <mergeCell ref="BF29:BJ29"/>
    <mergeCell ref="BY8:CA8"/>
    <mergeCell ref="BY29:CA29"/>
    <mergeCell ref="BL29:BP29"/>
    <mergeCell ref="T73:X73"/>
    <mergeCell ref="BL51:BP51"/>
    <mergeCell ref="BL73:BP73"/>
    <mergeCell ref="DI51:DM51"/>
    <mergeCell ref="DI73:DM73"/>
    <mergeCell ref="CP51:CT51"/>
    <mergeCell ref="CP73:CT73"/>
    <mergeCell ref="AM73:AQ73"/>
    <mergeCell ref="BF51:BJ51"/>
    <mergeCell ref="BF73:BJ73"/>
    <mergeCell ref="BY51:CA51"/>
    <mergeCell ref="BY73:CA73"/>
    <mergeCell ref="EV3:FA3"/>
    <mergeCell ref="J1:L1"/>
    <mergeCell ref="EZ51:FD51"/>
    <mergeCell ref="Y4:Z4"/>
    <mergeCell ref="BJ4:BL4"/>
    <mergeCell ref="CA4:CC4"/>
    <mergeCell ref="CT4:CV4"/>
    <mergeCell ref="AM51:AQ51"/>
    <mergeCell ref="DM4:DO4"/>
    <mergeCell ref="EG4:EI4"/>
    <mergeCell ref="EV2:EY2"/>
    <mergeCell ref="EB51:EF51"/>
    <mergeCell ref="AM8:AQ8"/>
    <mergeCell ref="EZ29:FD29"/>
    <mergeCell ref="BL8:BP8"/>
    <mergeCell ref="T51:X51"/>
  </mergeCells>
  <phoneticPr fontId="23" type="noConversion"/>
  <pageMargins left="0.7" right="0.2" top="0.5" bottom="0.25" header="0.3" footer="0.3"/>
  <pageSetup scale="50" orientation="portrait" r:id="rId1"/>
  <ignoredErrors>
    <ignoredError sqref="CE43:CG45 CV43:CZ45 CR39:CR49 DK39:DK49 ED43:ED45 ED58:ED60 ED63:ED66 ED68 ED70 ED80:ED81 ED72 ED50 I39:L42 H81:L81 ED52:ED55 ED74:ED78 EU95" evalError="1"/>
    <ignoredError sqref="AL85 B80:C80 B15:C15 B70:C70 D15:L15 D70:L70 D71:G71 D80:L80" formula="1"/>
    <ignoredError sqref="H71:L71" evalError="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Attach. 3, p1</vt:lpstr>
      <vt:lpstr>Attach. 3, p2</vt:lpstr>
      <vt:lpstr>Attach. 3, p3</vt:lpstr>
      <vt:lpstr>Attach. 3, p4</vt:lpstr>
      <vt:lpstr>Attach. 10</vt:lpstr>
      <vt:lpstr>Not an Attach.-Proxy Co. Detail</vt:lpstr>
      <vt:lpstr>'Attach. 10'!Print_Area</vt:lpstr>
      <vt:lpstr>'Attach. 3, p1'!Print_Area</vt:lpstr>
      <vt:lpstr>'Attach. 3, p2'!Print_Area</vt:lpstr>
      <vt:lpstr>'Attach. 3, p3'!Print_Area</vt:lpstr>
      <vt:lpstr>'Attach. 3, p4'!Print_Area</vt:lpstr>
      <vt:lpstr>'Not an Attach.-Proxy Co. Detail'!Print_Area</vt:lpstr>
    </vt:vector>
  </TitlesOfParts>
  <Company>NiSource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Rea \ Vincent \ V</dc:creator>
  <cp:lastModifiedBy>Rea \ Vincent</cp:lastModifiedBy>
  <cp:lastPrinted>2021-04-14T13:58:59Z</cp:lastPrinted>
  <dcterms:created xsi:type="dcterms:W3CDTF">2011-09-08T18:10:45Z</dcterms:created>
  <dcterms:modified xsi:type="dcterms:W3CDTF">2021-07-11T17:32:46Z</dcterms:modified>
</cp:coreProperties>
</file>