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120" yWindow="240" windowWidth="10440" windowHeight="9250" tabRatio="652" activeTab="11"/>
  </bookViews>
  <sheets>
    <sheet name="Input" sheetId="1" r:id="rId1"/>
    <sheet name="GTR" sheetId="11" r:id="rId2"/>
    <sheet name="GTO" sheetId="10" r:id="rId3"/>
    <sheet name="DS" sheetId="9" r:id="rId4"/>
    <sheet name="GDS" sheetId="7" r:id="rId5"/>
    <sheet name="DS3" sheetId="6" r:id="rId6"/>
    <sheet name="FX1" sheetId="4" r:id="rId7"/>
    <sheet name="FX2" sheetId="15" r:id="rId8"/>
    <sheet name="FX5" sheetId="12" r:id="rId9"/>
    <sheet name="FX7" sheetId="20" r:id="rId10"/>
    <sheet name="SAS" sheetId="19" r:id="rId11"/>
    <sheet name="SC3" sheetId="3" r:id="rId12"/>
  </sheets>
  <definedNames>
    <definedName name="_xlnm.Print_Area" localSheetId="3">DS!$A$1:$U$46</definedName>
    <definedName name="_xlnm.Print_Area" localSheetId="5">'DS3'!$A$1:$U$39</definedName>
    <definedName name="_xlnm.Print_Area" localSheetId="6">'FX1'!$A$1:$U$37</definedName>
    <definedName name="_xlnm.Print_Area" localSheetId="7">'FX2'!$A$1:$U$37</definedName>
    <definedName name="_xlnm.Print_Area" localSheetId="8">'FX5'!$A$1:$U$39</definedName>
    <definedName name="_xlnm.Print_Area" localSheetId="9">'FX7'!$A$1:$U$37</definedName>
    <definedName name="_xlnm.Print_Area" localSheetId="4">GDS!$A$1:$U$43</definedName>
    <definedName name="_xlnm.Print_Area" localSheetId="2">GTO!$A$1:$Q$43</definedName>
    <definedName name="_xlnm.Print_Area" localSheetId="1">GTR!$A$1:$Q$36</definedName>
    <definedName name="_xlnm.Print_Area" localSheetId="0">Input!$A$1:$AS$38</definedName>
    <definedName name="_xlnm.Print_Area" localSheetId="10">SAS!$A$1:$U$44</definedName>
  </definedNames>
  <calcPr calcId="152511"/>
</workbook>
</file>

<file path=xl/calcChain.xml><?xml version="1.0" encoding="utf-8"?>
<calcChain xmlns="http://schemas.openxmlformats.org/spreadsheetml/2006/main">
  <c r="K22" i="11" l="1"/>
  <c r="K23" i="11"/>
  <c r="K24" i="11"/>
  <c r="K25" i="11"/>
  <c r="K26" i="11"/>
  <c r="K27" i="11"/>
  <c r="K28" i="11"/>
  <c r="K29" i="11"/>
  <c r="K30" i="11"/>
  <c r="K31" i="11"/>
  <c r="K32" i="11"/>
  <c r="F22" i="11"/>
  <c r="F23" i="11"/>
  <c r="F24" i="11"/>
  <c r="F25" i="11"/>
  <c r="F26" i="11"/>
  <c r="F27" i="11"/>
  <c r="F28" i="11"/>
  <c r="F29" i="11"/>
  <c r="F30" i="11"/>
  <c r="F31" i="11"/>
  <c r="F32" i="11"/>
  <c r="F21" i="11"/>
  <c r="K21" i="11"/>
  <c r="O37" i="6" l="1"/>
  <c r="O38" i="7" l="1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35" i="9"/>
  <c r="K30" i="10"/>
  <c r="J32" i="10"/>
  <c r="J25" i="10"/>
  <c r="J26" i="10"/>
  <c r="J27" i="10"/>
  <c r="J28" i="10"/>
  <c r="J29" i="10"/>
  <c r="J30" i="10"/>
  <c r="J31" i="10"/>
  <c r="J38" i="10"/>
  <c r="J37" i="10"/>
  <c r="J36" i="10"/>
  <c r="J35" i="10"/>
  <c r="J34" i="10"/>
  <c r="J33" i="10"/>
  <c r="J24" i="10"/>
  <c r="J23" i="10"/>
  <c r="J22" i="10"/>
  <c r="J21" i="10"/>
  <c r="AS24" i="1" l="1"/>
  <c r="AS15" i="1"/>
  <c r="AS16" i="1"/>
  <c r="AS17" i="1"/>
  <c r="AS18" i="1"/>
  <c r="AS19" i="1"/>
  <c r="AS20" i="1"/>
  <c r="AS21" i="1"/>
  <c r="AS14" i="1"/>
  <c r="J26" i="11"/>
  <c r="J27" i="11"/>
  <c r="J28" i="11"/>
  <c r="J29" i="11"/>
  <c r="J30" i="11"/>
  <c r="J31" i="11"/>
  <c r="J32" i="11"/>
  <c r="J21" i="11"/>
  <c r="J22" i="11"/>
  <c r="J23" i="11"/>
  <c r="J24" i="11"/>
  <c r="E26" i="11"/>
  <c r="E27" i="11"/>
  <c r="E28" i="11"/>
  <c r="E29" i="11"/>
  <c r="E30" i="11"/>
  <c r="E31" i="11"/>
  <c r="E32" i="11"/>
  <c r="E21" i="11"/>
  <c r="E22" i="11"/>
  <c r="E23" i="11"/>
  <c r="E24" i="11"/>
  <c r="E25" i="11"/>
  <c r="O40" i="9" l="1"/>
  <c r="O39" i="9"/>
  <c r="O38" i="9"/>
  <c r="O37" i="9"/>
  <c r="O36" i="9"/>
  <c r="O34" i="9"/>
  <c r="O33" i="9" l="1"/>
  <c r="O32" i="9"/>
  <c r="O31" i="9"/>
  <c r="O29" i="9"/>
  <c r="O27" i="9"/>
  <c r="O26" i="9"/>
  <c r="O25" i="9"/>
  <c r="O24" i="9"/>
  <c r="O23" i="9"/>
  <c r="O22" i="9"/>
  <c r="O21" i="9"/>
  <c r="J16" i="1" l="1"/>
  <c r="E37" i="9" l="1"/>
  <c r="F37" i="9"/>
  <c r="J37" i="9"/>
  <c r="K37" i="9"/>
  <c r="L37" i="9"/>
  <c r="M37" i="9"/>
  <c r="P37" i="9"/>
  <c r="Q37" i="9" s="1"/>
  <c r="R37" i="9" s="1"/>
  <c r="E38" i="9"/>
  <c r="F38" i="9"/>
  <c r="J38" i="9"/>
  <c r="K38" i="9"/>
  <c r="L38" i="9"/>
  <c r="M38" i="9"/>
  <c r="P38" i="9"/>
  <c r="Q38" i="9" s="1"/>
  <c r="R38" i="9" s="1"/>
  <c r="E39" i="9"/>
  <c r="F39" i="9"/>
  <c r="G39" i="9" s="1"/>
  <c r="H39" i="9" s="1"/>
  <c r="J39" i="9"/>
  <c r="K39" i="9"/>
  <c r="L39" i="9"/>
  <c r="M39" i="9"/>
  <c r="P39" i="9"/>
  <c r="Q39" i="9" s="1"/>
  <c r="R39" i="9" s="1"/>
  <c r="E40" i="9"/>
  <c r="F40" i="9"/>
  <c r="G40" i="9"/>
  <c r="H40" i="9" s="1"/>
  <c r="J40" i="9"/>
  <c r="K40" i="9"/>
  <c r="L40" i="9"/>
  <c r="M40" i="9"/>
  <c r="P40" i="9"/>
  <c r="Q40" i="9" l="1"/>
  <c r="R40" i="9" s="1"/>
  <c r="T40" i="9"/>
  <c r="T38" i="9"/>
  <c r="T37" i="9"/>
  <c r="G38" i="9"/>
  <c r="H38" i="9" s="1"/>
  <c r="G37" i="9"/>
  <c r="H37" i="9" s="1"/>
  <c r="S37" i="9"/>
  <c r="U37" i="9" s="1"/>
  <c r="S40" i="9"/>
  <c r="S39" i="9"/>
  <c r="T39" i="9"/>
  <c r="S38" i="9"/>
  <c r="U38" i="9" s="1"/>
  <c r="AS27" i="1"/>
  <c r="AS26" i="1"/>
  <c r="AS25" i="1"/>
  <c r="AS23" i="1"/>
  <c r="AS22" i="1"/>
  <c r="U40" i="9" l="1"/>
  <c r="U39" i="9"/>
  <c r="D41" i="7"/>
  <c r="D40" i="7"/>
  <c r="D38" i="7" s="1"/>
  <c r="D40" i="10"/>
  <c r="D23" i="10" s="1"/>
  <c r="D41" i="10"/>
  <c r="D31" i="10" s="1"/>
  <c r="D42" i="9"/>
  <c r="D28" i="9" s="1"/>
  <c r="D43" i="9"/>
  <c r="D30" i="9" s="1"/>
  <c r="O30" i="9" s="1"/>
  <c r="D39" i="6"/>
  <c r="D37" i="6" s="1"/>
  <c r="D37" i="4"/>
  <c r="D21" i="4" s="1"/>
  <c r="D37" i="20"/>
  <c r="D21" i="20" s="1"/>
  <c r="D40" i="3"/>
  <c r="D21" i="3" s="1"/>
  <c r="O21" i="3" s="1"/>
  <c r="R21" i="3" s="1"/>
  <c r="D25" i="11"/>
  <c r="J25" i="11" s="1"/>
  <c r="O25" i="11" s="1"/>
  <c r="U10" i="15"/>
  <c r="U10" i="6"/>
  <c r="E22" i="19"/>
  <c r="E23" i="19"/>
  <c r="W23" i="19" s="1"/>
  <c r="AB23" i="19" s="1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21" i="19"/>
  <c r="E22" i="7"/>
  <c r="E23" i="7"/>
  <c r="W23" i="7" s="1"/>
  <c r="E24" i="7"/>
  <c r="E25" i="7"/>
  <c r="E26" i="7"/>
  <c r="E27" i="7"/>
  <c r="E28" i="7"/>
  <c r="E29" i="7"/>
  <c r="E30" i="7"/>
  <c r="E31" i="7"/>
  <c r="S31" i="7" s="1"/>
  <c r="E32" i="7"/>
  <c r="E33" i="7"/>
  <c r="E34" i="7"/>
  <c r="E35" i="7"/>
  <c r="E36" i="7"/>
  <c r="E37" i="7"/>
  <c r="E38" i="7"/>
  <c r="E21" i="7"/>
  <c r="S21" i="7" s="1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21" i="9"/>
  <c r="G21" i="9" s="1"/>
  <c r="H21" i="9" s="1"/>
  <c r="E22" i="10"/>
  <c r="E23" i="10"/>
  <c r="E24" i="10"/>
  <c r="E25" i="10"/>
  <c r="E26" i="10"/>
  <c r="E27" i="10"/>
  <c r="G27" i="10" s="1"/>
  <c r="H27" i="10" s="1"/>
  <c r="E28" i="10"/>
  <c r="O28" i="10" s="1"/>
  <c r="E29" i="10"/>
  <c r="E30" i="10"/>
  <c r="E31" i="10"/>
  <c r="E32" i="10"/>
  <c r="E33" i="10"/>
  <c r="E34" i="10"/>
  <c r="E35" i="10"/>
  <c r="G35" i="10" s="1"/>
  <c r="H35" i="10" s="1"/>
  <c r="E36" i="10"/>
  <c r="E37" i="10"/>
  <c r="E38" i="10"/>
  <c r="E21" i="10"/>
  <c r="B43" i="7"/>
  <c r="U10" i="9"/>
  <c r="G23" i="11"/>
  <c r="H23" i="11" s="1"/>
  <c r="G25" i="11"/>
  <c r="H25" i="11" s="1"/>
  <c r="G21" i="11"/>
  <c r="H21" i="11" s="1"/>
  <c r="G22" i="11"/>
  <c r="H22" i="11" s="1"/>
  <c r="G30" i="11"/>
  <c r="H30" i="11" s="1"/>
  <c r="A5" i="3"/>
  <c r="A5" i="19"/>
  <c r="A5" i="20"/>
  <c r="A5" i="12"/>
  <c r="A5" i="15"/>
  <c r="A5" i="4"/>
  <c r="A5" i="6"/>
  <c r="A5" i="7"/>
  <c r="A5" i="9"/>
  <c r="A5" i="10"/>
  <c r="A5" i="11"/>
  <c r="D39" i="12"/>
  <c r="D37" i="12" s="1"/>
  <c r="O37" i="12" s="1"/>
  <c r="W37" i="12" s="1"/>
  <c r="AB37" i="12" s="1"/>
  <c r="D37" i="15"/>
  <c r="O35" i="20"/>
  <c r="R35" i="20" s="1"/>
  <c r="K38" i="10"/>
  <c r="K24" i="10"/>
  <c r="K22" i="9"/>
  <c r="J22" i="9"/>
  <c r="K23" i="9"/>
  <c r="J23" i="9"/>
  <c r="M23" i="9" s="1"/>
  <c r="K24" i="9"/>
  <c r="J24" i="9"/>
  <c r="M24" i="9" s="1"/>
  <c r="K25" i="9"/>
  <c r="J25" i="9"/>
  <c r="M25" i="9" s="1"/>
  <c r="K26" i="9"/>
  <c r="J26" i="9"/>
  <c r="K27" i="9"/>
  <c r="J27" i="9"/>
  <c r="M27" i="9" s="1"/>
  <c r="K28" i="9"/>
  <c r="J28" i="9"/>
  <c r="M28" i="9" s="1"/>
  <c r="K29" i="9"/>
  <c r="J29" i="9"/>
  <c r="M29" i="9" s="1"/>
  <c r="K30" i="9"/>
  <c r="J30" i="9"/>
  <c r="M30" i="9" s="1"/>
  <c r="K31" i="9"/>
  <c r="J31" i="9"/>
  <c r="M31" i="9" s="1"/>
  <c r="K32" i="9"/>
  <c r="J32" i="9"/>
  <c r="M32" i="9" s="1"/>
  <c r="K33" i="9"/>
  <c r="J33" i="9"/>
  <c r="M33" i="9" s="1"/>
  <c r="K34" i="9"/>
  <c r="J34" i="9"/>
  <c r="K35" i="9"/>
  <c r="J35" i="9"/>
  <c r="M35" i="9" s="1"/>
  <c r="K36" i="9"/>
  <c r="J36" i="9"/>
  <c r="M36" i="9" s="1"/>
  <c r="K21" i="9"/>
  <c r="J21" i="9"/>
  <c r="M21" i="9" s="1"/>
  <c r="K35" i="10"/>
  <c r="K36" i="10"/>
  <c r="K37" i="10"/>
  <c r="L37" i="10" s="1"/>
  <c r="M37" i="10" s="1"/>
  <c r="K33" i="10"/>
  <c r="K25" i="10"/>
  <c r="K26" i="10"/>
  <c r="K27" i="10"/>
  <c r="P27" i="10" s="1"/>
  <c r="K28" i="10"/>
  <c r="K29" i="10"/>
  <c r="K32" i="10"/>
  <c r="O25" i="10"/>
  <c r="O27" i="10"/>
  <c r="F22" i="10"/>
  <c r="G22" i="10" s="1"/>
  <c r="H22" i="10" s="1"/>
  <c r="F23" i="10"/>
  <c r="G23" i="10" s="1"/>
  <c r="H23" i="10" s="1"/>
  <c r="F24" i="10"/>
  <c r="G24" i="10" s="1"/>
  <c r="H24" i="10" s="1"/>
  <c r="F25" i="10"/>
  <c r="F26" i="10"/>
  <c r="F27" i="10"/>
  <c r="F28" i="10"/>
  <c r="F29" i="10"/>
  <c r="F30" i="10"/>
  <c r="G30" i="10" s="1"/>
  <c r="H30" i="10" s="1"/>
  <c r="F31" i="10"/>
  <c r="F32" i="10"/>
  <c r="F33" i="10"/>
  <c r="G33" i="10" s="1"/>
  <c r="H33" i="10" s="1"/>
  <c r="F34" i="10"/>
  <c r="F35" i="10"/>
  <c r="F36" i="10"/>
  <c r="F37" i="10"/>
  <c r="F38" i="10"/>
  <c r="G38" i="10" s="1"/>
  <c r="H38" i="10" s="1"/>
  <c r="F21" i="10"/>
  <c r="G21" i="10" s="1"/>
  <c r="H21" i="10" s="1"/>
  <c r="P22" i="11"/>
  <c r="P26" i="11"/>
  <c r="P29" i="11"/>
  <c r="Y30" i="11"/>
  <c r="K22" i="6"/>
  <c r="L22" i="6" s="1"/>
  <c r="J22" i="6"/>
  <c r="M22" i="6" s="1"/>
  <c r="K23" i="6"/>
  <c r="J23" i="6"/>
  <c r="M23" i="6" s="1"/>
  <c r="K24" i="6"/>
  <c r="J24" i="6"/>
  <c r="K25" i="6"/>
  <c r="J25" i="6"/>
  <c r="M25" i="6" s="1"/>
  <c r="K26" i="6"/>
  <c r="J26" i="6"/>
  <c r="M26" i="6" s="1"/>
  <c r="K27" i="6"/>
  <c r="J27" i="6"/>
  <c r="K28" i="6"/>
  <c r="J28" i="6"/>
  <c r="K29" i="6"/>
  <c r="J29" i="6"/>
  <c r="M29" i="6" s="1"/>
  <c r="K30" i="6"/>
  <c r="L30" i="6" s="1"/>
  <c r="J30" i="6"/>
  <c r="M30" i="6" s="1"/>
  <c r="K31" i="6"/>
  <c r="J31" i="6"/>
  <c r="M31" i="6" s="1"/>
  <c r="K32" i="6"/>
  <c r="J32" i="6"/>
  <c r="K33" i="6"/>
  <c r="J33" i="6"/>
  <c r="M33" i="6" s="1"/>
  <c r="K34" i="6"/>
  <c r="L34" i="6" s="1"/>
  <c r="J34" i="6"/>
  <c r="M34" i="6" s="1"/>
  <c r="K35" i="6"/>
  <c r="J35" i="6"/>
  <c r="M35" i="6" s="1"/>
  <c r="K36" i="6"/>
  <c r="J36" i="6"/>
  <c r="M36" i="6" s="1"/>
  <c r="K37" i="6"/>
  <c r="J37" i="6"/>
  <c r="M37" i="6" s="1"/>
  <c r="K21" i="6"/>
  <c r="J21" i="6"/>
  <c r="M21" i="6" s="1"/>
  <c r="O35" i="19"/>
  <c r="O36" i="19"/>
  <c r="O37" i="19"/>
  <c r="O38" i="19"/>
  <c r="O39" i="19"/>
  <c r="W39" i="19" s="1"/>
  <c r="AB39" i="19" s="1"/>
  <c r="O34" i="19"/>
  <c r="P35" i="3"/>
  <c r="P36" i="3"/>
  <c r="P37" i="3"/>
  <c r="P34" i="3"/>
  <c r="O35" i="3"/>
  <c r="R35" i="3" s="1"/>
  <c r="O36" i="3"/>
  <c r="R36" i="3" s="1"/>
  <c r="O37" i="3"/>
  <c r="R37" i="3" s="1"/>
  <c r="O34" i="3"/>
  <c r="P22" i="3"/>
  <c r="P23" i="3"/>
  <c r="P24" i="3"/>
  <c r="P25" i="3"/>
  <c r="P26" i="3"/>
  <c r="P27" i="3"/>
  <c r="Q27" i="3" s="1"/>
  <c r="P28" i="3"/>
  <c r="P29" i="3"/>
  <c r="P30" i="3"/>
  <c r="P31" i="3"/>
  <c r="P32" i="3"/>
  <c r="P33" i="3"/>
  <c r="P21" i="3"/>
  <c r="O22" i="3"/>
  <c r="R22" i="3" s="1"/>
  <c r="O23" i="3"/>
  <c r="O24" i="3"/>
  <c r="O25" i="3"/>
  <c r="O26" i="3"/>
  <c r="R26" i="3" s="1"/>
  <c r="O27" i="3"/>
  <c r="R27" i="3" s="1"/>
  <c r="O28" i="3"/>
  <c r="R28" i="3" s="1"/>
  <c r="O29" i="3"/>
  <c r="R29" i="3" s="1"/>
  <c r="O30" i="3"/>
  <c r="R30" i="3" s="1"/>
  <c r="O31" i="3"/>
  <c r="R31" i="3" s="1"/>
  <c r="O32" i="3"/>
  <c r="O33" i="3"/>
  <c r="R33" i="3" s="1"/>
  <c r="K22" i="3"/>
  <c r="J22" i="3"/>
  <c r="M22" i="3" s="1"/>
  <c r="K23" i="3"/>
  <c r="J23" i="3"/>
  <c r="M23" i="3" s="1"/>
  <c r="K24" i="3"/>
  <c r="T24" i="3" s="1"/>
  <c r="J24" i="3"/>
  <c r="K25" i="3"/>
  <c r="J25" i="3"/>
  <c r="M25" i="3" s="1"/>
  <c r="K26" i="3"/>
  <c r="J26" i="3"/>
  <c r="M26" i="3" s="1"/>
  <c r="K27" i="3"/>
  <c r="J27" i="3"/>
  <c r="M27" i="3" s="1"/>
  <c r="K28" i="3"/>
  <c r="J28" i="3"/>
  <c r="M28" i="3" s="1"/>
  <c r="K29" i="3"/>
  <c r="J29" i="3"/>
  <c r="M29" i="3" s="1"/>
  <c r="K30" i="3"/>
  <c r="J30" i="3"/>
  <c r="M30" i="3" s="1"/>
  <c r="K31" i="3"/>
  <c r="J31" i="3"/>
  <c r="M31" i="3" s="1"/>
  <c r="K32" i="3"/>
  <c r="J32" i="3"/>
  <c r="K33" i="3"/>
  <c r="J33" i="3"/>
  <c r="M33" i="3" s="1"/>
  <c r="K34" i="3"/>
  <c r="J34" i="3"/>
  <c r="M34" i="3" s="1"/>
  <c r="K35" i="3"/>
  <c r="J35" i="3"/>
  <c r="M35" i="3" s="1"/>
  <c r="K36" i="3"/>
  <c r="J36" i="3"/>
  <c r="K37" i="3"/>
  <c r="J37" i="3"/>
  <c r="M37" i="3" s="1"/>
  <c r="K38" i="3"/>
  <c r="J38" i="3"/>
  <c r="M38" i="3" s="1"/>
  <c r="K21" i="3"/>
  <c r="J21" i="3"/>
  <c r="M21" i="3" s="1"/>
  <c r="P35" i="19"/>
  <c r="P36" i="19"/>
  <c r="P37" i="19"/>
  <c r="P38" i="19"/>
  <c r="P39" i="19"/>
  <c r="P34" i="19"/>
  <c r="P22" i="19"/>
  <c r="P23" i="19"/>
  <c r="P24" i="19"/>
  <c r="P25" i="19"/>
  <c r="P26" i="19"/>
  <c r="D41" i="19"/>
  <c r="P27" i="19"/>
  <c r="P28" i="19"/>
  <c r="P29" i="19"/>
  <c r="P30" i="19"/>
  <c r="P31" i="19"/>
  <c r="P32" i="19"/>
  <c r="X32" i="19" s="1"/>
  <c r="AC32" i="19" s="1"/>
  <c r="P33" i="19"/>
  <c r="P21" i="19"/>
  <c r="O22" i="19"/>
  <c r="O23" i="19"/>
  <c r="O24" i="19"/>
  <c r="O25" i="19"/>
  <c r="O26" i="19"/>
  <c r="O28" i="19"/>
  <c r="W28" i="19" s="1"/>
  <c r="AB28" i="19" s="1"/>
  <c r="O29" i="19"/>
  <c r="O30" i="19"/>
  <c r="O31" i="19"/>
  <c r="O32" i="19"/>
  <c r="O33" i="19"/>
  <c r="O21" i="19"/>
  <c r="K22" i="19"/>
  <c r="J22" i="19"/>
  <c r="M22" i="19" s="1"/>
  <c r="K23" i="19"/>
  <c r="J23" i="19"/>
  <c r="M23" i="19" s="1"/>
  <c r="K24" i="19"/>
  <c r="J24" i="19"/>
  <c r="M24" i="19" s="1"/>
  <c r="K25" i="19"/>
  <c r="J25" i="19"/>
  <c r="K26" i="19"/>
  <c r="J26" i="19"/>
  <c r="K27" i="19"/>
  <c r="J27" i="19"/>
  <c r="M27" i="19" s="1"/>
  <c r="K28" i="19"/>
  <c r="J28" i="19"/>
  <c r="M28" i="19" s="1"/>
  <c r="K29" i="19"/>
  <c r="J29" i="19"/>
  <c r="M29" i="19" s="1"/>
  <c r="K30" i="19"/>
  <c r="J30" i="19"/>
  <c r="K31" i="19"/>
  <c r="J31" i="19"/>
  <c r="M31" i="19" s="1"/>
  <c r="K32" i="19"/>
  <c r="J32" i="19"/>
  <c r="M32" i="19" s="1"/>
  <c r="K33" i="19"/>
  <c r="J33" i="19"/>
  <c r="M33" i="19" s="1"/>
  <c r="K34" i="19"/>
  <c r="J34" i="19"/>
  <c r="M34" i="19" s="1"/>
  <c r="K35" i="19"/>
  <c r="J35" i="19"/>
  <c r="M35" i="19" s="1"/>
  <c r="K36" i="19"/>
  <c r="J36" i="19"/>
  <c r="K37" i="19"/>
  <c r="J37" i="19"/>
  <c r="M37" i="19" s="1"/>
  <c r="K38" i="19"/>
  <c r="J38" i="19"/>
  <c r="K39" i="19"/>
  <c r="J39" i="19"/>
  <c r="M39" i="19" s="1"/>
  <c r="K21" i="19"/>
  <c r="J21" i="19"/>
  <c r="M21" i="19" s="1"/>
  <c r="K22" i="20"/>
  <c r="J22" i="20"/>
  <c r="K23" i="20"/>
  <c r="X23" i="20" s="1"/>
  <c r="J23" i="20"/>
  <c r="M23" i="20" s="1"/>
  <c r="K24" i="20"/>
  <c r="J24" i="20"/>
  <c r="M24" i="20" s="1"/>
  <c r="K25" i="20"/>
  <c r="J25" i="20"/>
  <c r="M25" i="20" s="1"/>
  <c r="K26" i="20"/>
  <c r="J26" i="20"/>
  <c r="M26" i="20" s="1"/>
  <c r="K27" i="20"/>
  <c r="J27" i="20"/>
  <c r="M27" i="20" s="1"/>
  <c r="K28" i="20"/>
  <c r="J28" i="20"/>
  <c r="M28" i="20" s="1"/>
  <c r="K29" i="20"/>
  <c r="J29" i="20"/>
  <c r="M29" i="20" s="1"/>
  <c r="K30" i="20"/>
  <c r="J30" i="20"/>
  <c r="M30" i="20" s="1"/>
  <c r="K31" i="20"/>
  <c r="J31" i="20"/>
  <c r="M31" i="20" s="1"/>
  <c r="K32" i="20"/>
  <c r="J32" i="20"/>
  <c r="M32" i="20" s="1"/>
  <c r="K33" i="20"/>
  <c r="J33" i="20"/>
  <c r="M33" i="20" s="1"/>
  <c r="K34" i="20"/>
  <c r="J34" i="20"/>
  <c r="M34" i="20" s="1"/>
  <c r="K35" i="20"/>
  <c r="J35" i="20"/>
  <c r="M35" i="20" s="1"/>
  <c r="K21" i="20"/>
  <c r="J21" i="20"/>
  <c r="M21" i="20" s="1"/>
  <c r="P33" i="20"/>
  <c r="P32" i="20"/>
  <c r="P22" i="20"/>
  <c r="P23" i="20"/>
  <c r="P24" i="20"/>
  <c r="P25" i="20"/>
  <c r="Q25" i="20" s="1"/>
  <c r="P26" i="20"/>
  <c r="P27" i="20"/>
  <c r="P28" i="20"/>
  <c r="P29" i="20"/>
  <c r="P30" i="20"/>
  <c r="P31" i="20"/>
  <c r="P21" i="20"/>
  <c r="O33" i="20"/>
  <c r="R33" i="20" s="1"/>
  <c r="O32" i="20"/>
  <c r="R32" i="20" s="1"/>
  <c r="O22" i="20"/>
  <c r="R22" i="20" s="1"/>
  <c r="O23" i="20"/>
  <c r="R23" i="20" s="1"/>
  <c r="O24" i="20"/>
  <c r="R24" i="20" s="1"/>
  <c r="O25" i="20"/>
  <c r="R25" i="20" s="1"/>
  <c r="O26" i="20"/>
  <c r="R26" i="20" s="1"/>
  <c r="O27" i="20"/>
  <c r="R27" i="20" s="1"/>
  <c r="O28" i="20"/>
  <c r="O29" i="20"/>
  <c r="R29" i="20" s="1"/>
  <c r="O30" i="20"/>
  <c r="R30" i="20" s="1"/>
  <c r="O31" i="20"/>
  <c r="R31" i="20" s="1"/>
  <c r="O21" i="20"/>
  <c r="R21" i="20" s="1"/>
  <c r="P22" i="12"/>
  <c r="P23" i="12"/>
  <c r="P24" i="12"/>
  <c r="Q24" i="12" s="1"/>
  <c r="R24" i="12" s="1"/>
  <c r="P25" i="12"/>
  <c r="P26" i="12"/>
  <c r="P27" i="12"/>
  <c r="P28" i="12"/>
  <c r="P29" i="12"/>
  <c r="P30" i="12"/>
  <c r="P31" i="12"/>
  <c r="Q31" i="12" s="1"/>
  <c r="R31" i="12" s="1"/>
  <c r="P32" i="12"/>
  <c r="P34" i="12"/>
  <c r="P35" i="12"/>
  <c r="P36" i="12"/>
  <c r="P21" i="12"/>
  <c r="O22" i="12"/>
  <c r="O23" i="12"/>
  <c r="O24" i="12"/>
  <c r="O25" i="12"/>
  <c r="O26" i="12"/>
  <c r="O27" i="12"/>
  <c r="O28" i="12"/>
  <c r="O29" i="12"/>
  <c r="O30" i="12"/>
  <c r="O31" i="12"/>
  <c r="O32" i="12"/>
  <c r="O34" i="12"/>
  <c r="O35" i="12"/>
  <c r="O36" i="12"/>
  <c r="O21" i="12"/>
  <c r="K34" i="12"/>
  <c r="J34" i="12"/>
  <c r="M34" i="12" s="1"/>
  <c r="K22" i="12"/>
  <c r="J22" i="12"/>
  <c r="M22" i="12" s="1"/>
  <c r="K23" i="12"/>
  <c r="J23" i="12"/>
  <c r="M23" i="12" s="1"/>
  <c r="K24" i="12"/>
  <c r="J24" i="12"/>
  <c r="M24" i="12" s="1"/>
  <c r="K25" i="12"/>
  <c r="J25" i="12"/>
  <c r="M25" i="12" s="1"/>
  <c r="K26" i="12"/>
  <c r="J26" i="12"/>
  <c r="M26" i="12" s="1"/>
  <c r="K27" i="12"/>
  <c r="J27" i="12"/>
  <c r="K28" i="12"/>
  <c r="J28" i="12"/>
  <c r="M28" i="12" s="1"/>
  <c r="K29" i="12"/>
  <c r="J29" i="12"/>
  <c r="M29" i="12" s="1"/>
  <c r="K30" i="12"/>
  <c r="J30" i="12"/>
  <c r="M30" i="12" s="1"/>
  <c r="K31" i="12"/>
  <c r="J31" i="12"/>
  <c r="M31" i="12" s="1"/>
  <c r="K32" i="12"/>
  <c r="J32" i="12"/>
  <c r="M32" i="12" s="1"/>
  <c r="K33" i="12"/>
  <c r="J33" i="12"/>
  <c r="M33" i="12" s="1"/>
  <c r="K35" i="12"/>
  <c r="J35" i="12"/>
  <c r="M35" i="12" s="1"/>
  <c r="K36" i="12"/>
  <c r="J36" i="12"/>
  <c r="M36" i="12" s="1"/>
  <c r="K37" i="12"/>
  <c r="J37" i="12"/>
  <c r="M37" i="12" s="1"/>
  <c r="K21" i="12"/>
  <c r="J21" i="12"/>
  <c r="M21" i="12" s="1"/>
  <c r="P22" i="15"/>
  <c r="P23" i="15"/>
  <c r="P25" i="15"/>
  <c r="P26" i="15"/>
  <c r="P27" i="15"/>
  <c r="P28" i="15"/>
  <c r="P29" i="15"/>
  <c r="P30" i="15"/>
  <c r="P31" i="15"/>
  <c r="P32" i="15"/>
  <c r="Q32" i="15" s="1"/>
  <c r="P34" i="15"/>
  <c r="Q34" i="15" s="1"/>
  <c r="P35" i="15"/>
  <c r="Q35" i="15" s="1"/>
  <c r="O22" i="15"/>
  <c r="R22" i="15" s="1"/>
  <c r="O23" i="15"/>
  <c r="R23" i="15" s="1"/>
  <c r="O25" i="15"/>
  <c r="R25" i="15" s="1"/>
  <c r="O26" i="15"/>
  <c r="R26" i="15" s="1"/>
  <c r="O27" i="15"/>
  <c r="R27" i="15" s="1"/>
  <c r="O28" i="15"/>
  <c r="O29" i="15"/>
  <c r="R29" i="15" s="1"/>
  <c r="O30" i="15"/>
  <c r="R30" i="15" s="1"/>
  <c r="O31" i="15"/>
  <c r="R31" i="15" s="1"/>
  <c r="O32" i="15"/>
  <c r="R32" i="15" s="1"/>
  <c r="O34" i="15"/>
  <c r="R34" i="15" s="1"/>
  <c r="O35" i="15"/>
  <c r="R35" i="15" s="1"/>
  <c r="K22" i="15"/>
  <c r="J22" i="15"/>
  <c r="M22" i="15" s="1"/>
  <c r="K23" i="15"/>
  <c r="J23" i="15"/>
  <c r="M23" i="15" s="1"/>
  <c r="K24" i="15"/>
  <c r="J24" i="15"/>
  <c r="M24" i="15" s="1"/>
  <c r="K25" i="15"/>
  <c r="J25" i="15"/>
  <c r="M25" i="15" s="1"/>
  <c r="K26" i="15"/>
  <c r="J26" i="15"/>
  <c r="M26" i="15" s="1"/>
  <c r="K27" i="15"/>
  <c r="J27" i="15"/>
  <c r="M27" i="15" s="1"/>
  <c r="K28" i="15"/>
  <c r="J28" i="15"/>
  <c r="M28" i="15" s="1"/>
  <c r="K29" i="15"/>
  <c r="J29" i="15"/>
  <c r="M29" i="15" s="1"/>
  <c r="K30" i="15"/>
  <c r="J30" i="15"/>
  <c r="M30" i="15" s="1"/>
  <c r="K31" i="15"/>
  <c r="J31" i="15"/>
  <c r="M31" i="15" s="1"/>
  <c r="K32" i="15"/>
  <c r="J32" i="15"/>
  <c r="M32" i="15" s="1"/>
  <c r="K33" i="15"/>
  <c r="J33" i="15"/>
  <c r="M33" i="15" s="1"/>
  <c r="K34" i="15"/>
  <c r="J34" i="15"/>
  <c r="K35" i="15"/>
  <c r="J35" i="15"/>
  <c r="M35" i="15" s="1"/>
  <c r="K21" i="15"/>
  <c r="J21" i="15"/>
  <c r="M21" i="15" s="1"/>
  <c r="P21" i="4"/>
  <c r="P22" i="4"/>
  <c r="P23" i="4"/>
  <c r="P24" i="4"/>
  <c r="P25" i="4"/>
  <c r="P26" i="4"/>
  <c r="P27" i="4"/>
  <c r="P28" i="4"/>
  <c r="P29" i="4"/>
  <c r="P30" i="4"/>
  <c r="P31" i="4"/>
  <c r="P34" i="4"/>
  <c r="Q34" i="4" s="1"/>
  <c r="P35" i="4"/>
  <c r="O22" i="4"/>
  <c r="R22" i="4" s="1"/>
  <c r="O23" i="4"/>
  <c r="R23" i="4" s="1"/>
  <c r="O24" i="4"/>
  <c r="R24" i="4" s="1"/>
  <c r="O25" i="4"/>
  <c r="R25" i="4" s="1"/>
  <c r="O26" i="4"/>
  <c r="R26" i="4" s="1"/>
  <c r="O27" i="4"/>
  <c r="O28" i="4"/>
  <c r="O29" i="4"/>
  <c r="R29" i="4" s="1"/>
  <c r="O30" i="4"/>
  <c r="R30" i="4" s="1"/>
  <c r="O31" i="4"/>
  <c r="R31" i="4" s="1"/>
  <c r="O34" i="4"/>
  <c r="R34" i="4" s="1"/>
  <c r="O35" i="4"/>
  <c r="R35" i="4" s="1"/>
  <c r="O21" i="4"/>
  <c r="R21" i="4" s="1"/>
  <c r="K22" i="4"/>
  <c r="J22" i="4"/>
  <c r="K23" i="4"/>
  <c r="J23" i="4"/>
  <c r="M23" i="4" s="1"/>
  <c r="K24" i="4"/>
  <c r="J24" i="4"/>
  <c r="M24" i="4" s="1"/>
  <c r="K25" i="4"/>
  <c r="J25" i="4"/>
  <c r="K26" i="4"/>
  <c r="J26" i="4"/>
  <c r="K27" i="4"/>
  <c r="J27" i="4"/>
  <c r="M27" i="4" s="1"/>
  <c r="K28" i="4"/>
  <c r="J28" i="4"/>
  <c r="M28" i="4" s="1"/>
  <c r="K29" i="4"/>
  <c r="J29" i="4"/>
  <c r="M29" i="4" s="1"/>
  <c r="K30" i="4"/>
  <c r="J30" i="4"/>
  <c r="K31" i="4"/>
  <c r="J31" i="4"/>
  <c r="M31" i="4" s="1"/>
  <c r="K32" i="4"/>
  <c r="J32" i="4"/>
  <c r="M32" i="4" s="1"/>
  <c r="K33" i="4"/>
  <c r="J33" i="4"/>
  <c r="M33" i="4" s="1"/>
  <c r="K34" i="4"/>
  <c r="J34" i="4"/>
  <c r="K35" i="4"/>
  <c r="J35" i="4"/>
  <c r="M35" i="4" s="1"/>
  <c r="K21" i="4"/>
  <c r="J21" i="4"/>
  <c r="M21" i="4" s="1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21" i="6"/>
  <c r="O22" i="6"/>
  <c r="O23" i="6"/>
  <c r="O24" i="6"/>
  <c r="O25" i="6"/>
  <c r="O26" i="6"/>
  <c r="O27" i="6"/>
  <c r="O28" i="6"/>
  <c r="O29" i="6"/>
  <c r="Q29" i="6" s="1"/>
  <c r="R29" i="6" s="1"/>
  <c r="O30" i="6"/>
  <c r="O31" i="6"/>
  <c r="O32" i="6"/>
  <c r="O33" i="6"/>
  <c r="O34" i="6"/>
  <c r="O35" i="6"/>
  <c r="O36" i="6"/>
  <c r="O21" i="6"/>
  <c r="W33" i="7"/>
  <c r="P21" i="7"/>
  <c r="P37" i="7"/>
  <c r="P33" i="7"/>
  <c r="Q33" i="7" s="1"/>
  <c r="R33" i="7" s="1"/>
  <c r="P34" i="7"/>
  <c r="P32" i="7"/>
  <c r="P25" i="7"/>
  <c r="P26" i="7"/>
  <c r="Q26" i="7" s="1"/>
  <c r="R26" i="7" s="1"/>
  <c r="P27" i="7"/>
  <c r="Q27" i="7" s="1"/>
  <c r="R27" i="7" s="1"/>
  <c r="P28" i="7"/>
  <c r="Q28" i="7" s="1"/>
  <c r="R28" i="7" s="1"/>
  <c r="P29" i="7"/>
  <c r="P30" i="7"/>
  <c r="P31" i="7"/>
  <c r="P24" i="7"/>
  <c r="P22" i="7"/>
  <c r="P23" i="7"/>
  <c r="K22" i="7"/>
  <c r="J22" i="7"/>
  <c r="M22" i="7" s="1"/>
  <c r="K23" i="7"/>
  <c r="J23" i="7"/>
  <c r="M23" i="7" s="1"/>
  <c r="K24" i="7"/>
  <c r="J24" i="7"/>
  <c r="M24" i="7" s="1"/>
  <c r="K25" i="7"/>
  <c r="J25" i="7"/>
  <c r="M25" i="7" s="1"/>
  <c r="K26" i="7"/>
  <c r="J26" i="7"/>
  <c r="M26" i="7" s="1"/>
  <c r="K27" i="7"/>
  <c r="J27" i="7"/>
  <c r="K28" i="7"/>
  <c r="J28" i="7"/>
  <c r="K29" i="7"/>
  <c r="J29" i="7"/>
  <c r="M29" i="7" s="1"/>
  <c r="K30" i="7"/>
  <c r="J30" i="7"/>
  <c r="M30" i="7" s="1"/>
  <c r="K31" i="7"/>
  <c r="J31" i="7"/>
  <c r="M31" i="7" s="1"/>
  <c r="K32" i="7"/>
  <c r="J32" i="7"/>
  <c r="K33" i="7"/>
  <c r="J33" i="7"/>
  <c r="M33" i="7" s="1"/>
  <c r="K34" i="7"/>
  <c r="J34" i="7"/>
  <c r="M34" i="7" s="1"/>
  <c r="K35" i="7"/>
  <c r="J35" i="7"/>
  <c r="M35" i="7" s="1"/>
  <c r="K36" i="7"/>
  <c r="J36" i="7"/>
  <c r="K37" i="7"/>
  <c r="J37" i="7"/>
  <c r="M37" i="7" s="1"/>
  <c r="K38" i="7"/>
  <c r="J38" i="7"/>
  <c r="M38" i="7" s="1"/>
  <c r="K21" i="7"/>
  <c r="J21" i="7"/>
  <c r="F22" i="9"/>
  <c r="P22" i="9"/>
  <c r="F23" i="9"/>
  <c r="G23" i="9" s="1"/>
  <c r="H23" i="9" s="1"/>
  <c r="P23" i="9"/>
  <c r="F24" i="9"/>
  <c r="P24" i="9"/>
  <c r="F25" i="9"/>
  <c r="P25" i="9"/>
  <c r="F26" i="9"/>
  <c r="P26" i="9"/>
  <c r="F27" i="9"/>
  <c r="F28" i="9"/>
  <c r="F29" i="9"/>
  <c r="P29" i="9"/>
  <c r="F30" i="9"/>
  <c r="F31" i="9"/>
  <c r="G31" i="9" s="1"/>
  <c r="H31" i="9" s="1"/>
  <c r="P31" i="9"/>
  <c r="F32" i="9"/>
  <c r="P32" i="9"/>
  <c r="F33" i="9"/>
  <c r="P33" i="9"/>
  <c r="F34" i="9"/>
  <c r="P34" i="9"/>
  <c r="F35" i="9"/>
  <c r="G35" i="9" s="1"/>
  <c r="H35" i="9" s="1"/>
  <c r="P35" i="9"/>
  <c r="F36" i="9"/>
  <c r="P36" i="9"/>
  <c r="F21" i="9"/>
  <c r="P21" i="9"/>
  <c r="S36" i="9"/>
  <c r="W32" i="9"/>
  <c r="K22" i="10"/>
  <c r="K21" i="10"/>
  <c r="O21" i="10"/>
  <c r="F22" i="3"/>
  <c r="E22" i="3"/>
  <c r="H22" i="3" s="1"/>
  <c r="F23" i="3"/>
  <c r="E23" i="3"/>
  <c r="H23" i="3" s="1"/>
  <c r="F24" i="3"/>
  <c r="E24" i="3"/>
  <c r="H24" i="3" s="1"/>
  <c r="F25" i="3"/>
  <c r="E25" i="3"/>
  <c r="H25" i="3" s="1"/>
  <c r="F26" i="3"/>
  <c r="E26" i="3"/>
  <c r="H26" i="3" s="1"/>
  <c r="F27" i="3"/>
  <c r="E27" i="3"/>
  <c r="H27" i="3" s="1"/>
  <c r="F28" i="3"/>
  <c r="E28" i="3"/>
  <c r="H28" i="3" s="1"/>
  <c r="F29" i="3"/>
  <c r="E29" i="3"/>
  <c r="H29" i="3" s="1"/>
  <c r="F30" i="3"/>
  <c r="E30" i="3"/>
  <c r="H30" i="3" s="1"/>
  <c r="F31" i="3"/>
  <c r="E31" i="3"/>
  <c r="H31" i="3" s="1"/>
  <c r="F32" i="3"/>
  <c r="E32" i="3"/>
  <c r="H32" i="3" s="1"/>
  <c r="F33" i="3"/>
  <c r="E33" i="3"/>
  <c r="F34" i="3"/>
  <c r="X34" i="3" s="1"/>
  <c r="E34" i="3"/>
  <c r="H34" i="3" s="1"/>
  <c r="F35" i="3"/>
  <c r="E35" i="3"/>
  <c r="H35" i="3" s="1"/>
  <c r="F36" i="3"/>
  <c r="E36" i="3"/>
  <c r="H36" i="3" s="1"/>
  <c r="F37" i="3"/>
  <c r="E37" i="3"/>
  <c r="H37" i="3" s="1"/>
  <c r="F38" i="3"/>
  <c r="E38" i="3"/>
  <c r="H38" i="3" s="1"/>
  <c r="F21" i="3"/>
  <c r="E21" i="3"/>
  <c r="H21" i="3" s="1"/>
  <c r="F22" i="19"/>
  <c r="F23" i="19"/>
  <c r="F24" i="19"/>
  <c r="F25" i="19"/>
  <c r="F26" i="19"/>
  <c r="F27" i="19"/>
  <c r="G27" i="19" s="1"/>
  <c r="H27" i="19" s="1"/>
  <c r="F28" i="19"/>
  <c r="F29" i="19"/>
  <c r="F30" i="19"/>
  <c r="F31" i="19"/>
  <c r="F32" i="19"/>
  <c r="F33" i="19"/>
  <c r="F34" i="19"/>
  <c r="T34" i="19" s="1"/>
  <c r="F35" i="19"/>
  <c r="G35" i="19" s="1"/>
  <c r="H35" i="19" s="1"/>
  <c r="F36" i="19"/>
  <c r="G36" i="19" s="1"/>
  <c r="H36" i="19" s="1"/>
  <c r="F37" i="19"/>
  <c r="F38" i="19"/>
  <c r="F39" i="19"/>
  <c r="F21" i="19"/>
  <c r="F35" i="20"/>
  <c r="E35" i="20"/>
  <c r="H35" i="20" s="1"/>
  <c r="F21" i="20"/>
  <c r="G21" i="20" s="1"/>
  <c r="E21" i="20"/>
  <c r="H21" i="20" s="1"/>
  <c r="F22" i="20"/>
  <c r="F23" i="20"/>
  <c r="F24" i="20"/>
  <c r="F25" i="20"/>
  <c r="G25" i="20" s="1"/>
  <c r="F26" i="20"/>
  <c r="F27" i="20"/>
  <c r="T27" i="20" s="1"/>
  <c r="F28" i="20"/>
  <c r="F29" i="20"/>
  <c r="F30" i="20"/>
  <c r="F31" i="20"/>
  <c r="F32" i="20"/>
  <c r="F33" i="20"/>
  <c r="G33" i="20" s="1"/>
  <c r="F34" i="20"/>
  <c r="E22" i="20"/>
  <c r="H22" i="20" s="1"/>
  <c r="E23" i="20"/>
  <c r="H23" i="20" s="1"/>
  <c r="E24" i="20"/>
  <c r="H24" i="20" s="1"/>
  <c r="E25" i="20"/>
  <c r="H25" i="20" s="1"/>
  <c r="E26" i="20"/>
  <c r="H26" i="20" s="1"/>
  <c r="E27" i="20"/>
  <c r="H27" i="20" s="1"/>
  <c r="E28" i="20"/>
  <c r="H28" i="20" s="1"/>
  <c r="E29" i="20"/>
  <c r="H29" i="20" s="1"/>
  <c r="E30" i="20"/>
  <c r="H30" i="20" s="1"/>
  <c r="E31" i="20"/>
  <c r="H31" i="20" s="1"/>
  <c r="E32" i="20"/>
  <c r="H32" i="20" s="1"/>
  <c r="E33" i="20"/>
  <c r="H33" i="20" s="1"/>
  <c r="E34" i="20"/>
  <c r="H34" i="20" s="1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21" i="12"/>
  <c r="E22" i="12"/>
  <c r="E23" i="12"/>
  <c r="G23" i="12" s="1"/>
  <c r="H23" i="12" s="1"/>
  <c r="E24" i="12"/>
  <c r="E25" i="12"/>
  <c r="E26" i="12"/>
  <c r="E27" i="12"/>
  <c r="E28" i="12"/>
  <c r="S28" i="12" s="1"/>
  <c r="E29" i="12"/>
  <c r="S29" i="12" s="1"/>
  <c r="E30" i="12"/>
  <c r="E31" i="12"/>
  <c r="E32" i="12"/>
  <c r="E33" i="12"/>
  <c r="E34" i="12"/>
  <c r="E35" i="12"/>
  <c r="E36" i="12"/>
  <c r="E37" i="12"/>
  <c r="E21" i="12"/>
  <c r="W21" i="12" s="1"/>
  <c r="AB21" i="12" s="1"/>
  <c r="Q21" i="12"/>
  <c r="R21" i="12" s="1"/>
  <c r="E30" i="4"/>
  <c r="H30" i="4" s="1"/>
  <c r="F30" i="4"/>
  <c r="F22" i="15"/>
  <c r="F23" i="15"/>
  <c r="F24" i="15"/>
  <c r="G24" i="15" s="1"/>
  <c r="F25" i="15"/>
  <c r="F26" i="15"/>
  <c r="F27" i="15"/>
  <c r="F28" i="15"/>
  <c r="X28" i="15" s="1"/>
  <c r="AC28" i="15" s="1"/>
  <c r="F29" i="15"/>
  <c r="F30" i="15"/>
  <c r="F31" i="15"/>
  <c r="F32" i="15"/>
  <c r="F33" i="15"/>
  <c r="F34" i="15"/>
  <c r="F35" i="15"/>
  <c r="F21" i="15"/>
  <c r="G21" i="15" s="1"/>
  <c r="E22" i="15"/>
  <c r="H22" i="15" s="1"/>
  <c r="E23" i="15"/>
  <c r="H23" i="15" s="1"/>
  <c r="E24" i="15"/>
  <c r="H24" i="15" s="1"/>
  <c r="E25" i="15"/>
  <c r="H25" i="15" s="1"/>
  <c r="E26" i="15"/>
  <c r="H26" i="15" s="1"/>
  <c r="E27" i="15"/>
  <c r="H27" i="15" s="1"/>
  <c r="E28" i="15"/>
  <c r="H28" i="15" s="1"/>
  <c r="E29" i="15"/>
  <c r="H29" i="15" s="1"/>
  <c r="E30" i="15"/>
  <c r="H30" i="15" s="1"/>
  <c r="E31" i="15"/>
  <c r="H31" i="15" s="1"/>
  <c r="E32" i="15"/>
  <c r="E33" i="15"/>
  <c r="H33" i="15" s="1"/>
  <c r="E34" i="15"/>
  <c r="H34" i="15" s="1"/>
  <c r="E35" i="15"/>
  <c r="E21" i="15"/>
  <c r="H21" i="15" s="1"/>
  <c r="F21" i="4"/>
  <c r="X21" i="4" s="1"/>
  <c r="AC21" i="4" s="1"/>
  <c r="E21" i="4"/>
  <c r="H21" i="4" s="1"/>
  <c r="F22" i="4"/>
  <c r="F23" i="4"/>
  <c r="F24" i="4"/>
  <c r="F25" i="4"/>
  <c r="F26" i="4"/>
  <c r="F27" i="4"/>
  <c r="F28" i="4"/>
  <c r="X28" i="4" s="1"/>
  <c r="F29" i="4"/>
  <c r="F31" i="4"/>
  <c r="F32" i="4"/>
  <c r="F33" i="4"/>
  <c r="F34" i="4"/>
  <c r="F35" i="4"/>
  <c r="G35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E31" i="4"/>
  <c r="H31" i="4" s="1"/>
  <c r="E32" i="4"/>
  <c r="H32" i="4" s="1"/>
  <c r="E33" i="4"/>
  <c r="H33" i="4" s="1"/>
  <c r="E34" i="4"/>
  <c r="H34" i="4" s="1"/>
  <c r="E35" i="4"/>
  <c r="E22" i="6"/>
  <c r="F22" i="6"/>
  <c r="G22" i="6" s="1"/>
  <c r="H22" i="6" s="1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G37" i="6" s="1"/>
  <c r="H37" i="6" s="1"/>
  <c r="E21" i="6"/>
  <c r="S21" i="6" s="1"/>
  <c r="F21" i="6"/>
  <c r="G21" i="6" s="1"/>
  <c r="H21" i="6" s="1"/>
  <c r="F21" i="7"/>
  <c r="F22" i="7"/>
  <c r="F23" i="7"/>
  <c r="F24" i="7"/>
  <c r="G24" i="7" s="1"/>
  <c r="H24" i="7" s="1"/>
  <c r="F25" i="7"/>
  <c r="F26" i="7"/>
  <c r="F27" i="7"/>
  <c r="F28" i="7"/>
  <c r="F29" i="7"/>
  <c r="F30" i="7"/>
  <c r="G30" i="7" s="1"/>
  <c r="H30" i="7" s="1"/>
  <c r="F31" i="7"/>
  <c r="F32" i="7"/>
  <c r="G32" i="7" s="1"/>
  <c r="H32" i="7" s="1"/>
  <c r="F33" i="7"/>
  <c r="G33" i="7" s="1"/>
  <c r="H33" i="7" s="1"/>
  <c r="F34" i="7"/>
  <c r="G34" i="7" s="1"/>
  <c r="H34" i="7" s="1"/>
  <c r="F35" i="7"/>
  <c r="F36" i="7"/>
  <c r="F37" i="7"/>
  <c r="F38" i="7"/>
  <c r="A2" i="20"/>
  <c r="U10" i="20"/>
  <c r="A2" i="9"/>
  <c r="U10" i="7"/>
  <c r="A2" i="7"/>
  <c r="A2" i="6"/>
  <c r="U10" i="4"/>
  <c r="A2" i="4"/>
  <c r="A2" i="15"/>
  <c r="U10" i="12"/>
  <c r="A2" i="12"/>
  <c r="Q10" i="10"/>
  <c r="A2" i="10"/>
  <c r="Q10" i="11"/>
  <c r="A2" i="11"/>
  <c r="U10" i="19"/>
  <c r="A2" i="19"/>
  <c r="U10" i="3"/>
  <c r="A2" i="3"/>
  <c r="L22" i="7"/>
  <c r="L21" i="12"/>
  <c r="L21" i="19"/>
  <c r="L26" i="6"/>
  <c r="L28" i="9"/>
  <c r="L22" i="3"/>
  <c r="O32" i="4"/>
  <c r="R32" i="4" s="1"/>
  <c r="P32" i="4"/>
  <c r="K34" i="10"/>
  <c r="O27" i="19"/>
  <c r="W27" i="19" s="1"/>
  <c r="P35" i="20"/>
  <c r="O24" i="15"/>
  <c r="R24" i="15" s="1"/>
  <c r="P24" i="15"/>
  <c r="O23" i="11"/>
  <c r="O38" i="10"/>
  <c r="W23" i="15"/>
  <c r="AB23" i="15" s="1"/>
  <c r="X31" i="11"/>
  <c r="O30" i="10"/>
  <c r="W34" i="6" l="1"/>
  <c r="AB34" i="6" s="1"/>
  <c r="S26" i="6"/>
  <c r="P28" i="9"/>
  <c r="Q28" i="9" s="1"/>
  <c r="R28" i="9" s="1"/>
  <c r="O28" i="9"/>
  <c r="L32" i="7"/>
  <c r="M32" i="7"/>
  <c r="W28" i="7"/>
  <c r="AB28" i="7" s="1"/>
  <c r="M28" i="7"/>
  <c r="W34" i="4"/>
  <c r="AB34" i="4" s="1"/>
  <c r="M34" i="4"/>
  <c r="S26" i="4"/>
  <c r="U26" i="4" s="1"/>
  <c r="M26" i="4"/>
  <c r="W22" i="4"/>
  <c r="AB22" i="4" s="1"/>
  <c r="M22" i="4"/>
  <c r="L34" i="15"/>
  <c r="M34" i="15"/>
  <c r="L26" i="19"/>
  <c r="M26" i="19"/>
  <c r="L36" i="3"/>
  <c r="M36" i="3"/>
  <c r="L32" i="3"/>
  <c r="M32" i="3"/>
  <c r="L24" i="3"/>
  <c r="M24" i="3"/>
  <c r="Q28" i="15"/>
  <c r="R28" i="15"/>
  <c r="L22" i="19"/>
  <c r="L28" i="3"/>
  <c r="G30" i="20"/>
  <c r="W31" i="12"/>
  <c r="AB31" i="12" s="1"/>
  <c r="L27" i="7"/>
  <c r="M27" i="7"/>
  <c r="L25" i="4"/>
  <c r="M25" i="4"/>
  <c r="S24" i="12"/>
  <c r="L25" i="19"/>
  <c r="M25" i="19"/>
  <c r="W30" i="20"/>
  <c r="AB30" i="20" s="1"/>
  <c r="S29" i="4"/>
  <c r="U29" i="4" s="1"/>
  <c r="H29" i="4"/>
  <c r="S35" i="15"/>
  <c r="U35" i="15" s="1"/>
  <c r="H35" i="15"/>
  <c r="G24" i="19"/>
  <c r="H24" i="19" s="1"/>
  <c r="L31" i="7"/>
  <c r="L30" i="20"/>
  <c r="P37" i="12"/>
  <c r="X37" i="12" s="1"/>
  <c r="Y37" i="12" s="1"/>
  <c r="G39" i="19"/>
  <c r="H39" i="19" s="1"/>
  <c r="S27" i="6"/>
  <c r="M27" i="6"/>
  <c r="L34" i="3"/>
  <c r="G24" i="4"/>
  <c r="L38" i="7"/>
  <c r="L34" i="7"/>
  <c r="Q28" i="6"/>
  <c r="R28" i="6" s="1"/>
  <c r="L24" i="15"/>
  <c r="L24" i="19"/>
  <c r="L32" i="9"/>
  <c r="W35" i="4"/>
  <c r="AB35" i="4" s="1"/>
  <c r="H35" i="4"/>
  <c r="W32" i="15"/>
  <c r="H32" i="15"/>
  <c r="G37" i="19"/>
  <c r="H37" i="19" s="1"/>
  <c r="G29" i="19"/>
  <c r="H29" i="19" s="1"/>
  <c r="D35" i="7"/>
  <c r="L36" i="7"/>
  <c r="M36" i="7"/>
  <c r="W30" i="4"/>
  <c r="AB30" i="4" s="1"/>
  <c r="M30" i="4"/>
  <c r="S28" i="4"/>
  <c r="U28" i="4" s="1"/>
  <c r="R28" i="4"/>
  <c r="W27" i="12"/>
  <c r="AB27" i="12" s="1"/>
  <c r="M27" i="12"/>
  <c r="S28" i="20"/>
  <c r="U28" i="20" s="1"/>
  <c r="R28" i="20"/>
  <c r="S38" i="19"/>
  <c r="M38" i="19"/>
  <c r="L30" i="19"/>
  <c r="M30" i="19"/>
  <c r="L26" i="4"/>
  <c r="S27" i="4"/>
  <c r="U27" i="4" s="1"/>
  <c r="R27" i="4"/>
  <c r="O33" i="15"/>
  <c r="R33" i="15" s="1"/>
  <c r="D21" i="15"/>
  <c r="G33" i="19"/>
  <c r="H33" i="19" s="1"/>
  <c r="G33" i="3"/>
  <c r="H33" i="3"/>
  <c r="L21" i="7"/>
  <c r="M21" i="7"/>
  <c r="L22" i="20"/>
  <c r="M22" i="20"/>
  <c r="L32" i="6"/>
  <c r="M32" i="6"/>
  <c r="L28" i="6"/>
  <c r="M28" i="6"/>
  <c r="L24" i="6"/>
  <c r="M24" i="6"/>
  <c r="G21" i="19"/>
  <c r="H21" i="19" s="1"/>
  <c r="G32" i="19"/>
  <c r="H32" i="19" s="1"/>
  <c r="G25" i="3"/>
  <c r="L35" i="7"/>
  <c r="W37" i="19"/>
  <c r="S24" i="4"/>
  <c r="U24" i="4" s="1"/>
  <c r="G23" i="19"/>
  <c r="H23" i="19" s="1"/>
  <c r="W36" i="19"/>
  <c r="AB36" i="19" s="1"/>
  <c r="M36" i="19"/>
  <c r="S23" i="19"/>
  <c r="W24" i="4"/>
  <c r="AB24" i="4" s="1"/>
  <c r="Q26" i="4"/>
  <c r="G33" i="4"/>
  <c r="L36" i="9"/>
  <c r="G24" i="6"/>
  <c r="H24" i="6" s="1"/>
  <c r="G22" i="15"/>
  <c r="G35" i="12"/>
  <c r="H35" i="12" s="1"/>
  <c r="G21" i="3"/>
  <c r="G35" i="3"/>
  <c r="G31" i="3"/>
  <c r="G23" i="3"/>
  <c r="W34" i="9"/>
  <c r="AB34" i="9" s="1"/>
  <c r="L37" i="7"/>
  <c r="L33" i="7"/>
  <c r="L29" i="7"/>
  <c r="L25" i="7"/>
  <c r="L23" i="4"/>
  <c r="Q25" i="4"/>
  <c r="L23" i="15"/>
  <c r="L27" i="19"/>
  <c r="G34" i="10"/>
  <c r="H34" i="10" s="1"/>
  <c r="Q27" i="6"/>
  <c r="R27" i="6" s="1"/>
  <c r="S34" i="3"/>
  <c r="U34" i="3" s="1"/>
  <c r="R34" i="3"/>
  <c r="W35" i="3"/>
  <c r="AB35" i="3" s="1"/>
  <c r="Q32" i="3"/>
  <c r="R32" i="3"/>
  <c r="S31" i="3"/>
  <c r="U31" i="3" s="1"/>
  <c r="Q24" i="3"/>
  <c r="R24" i="3"/>
  <c r="Q23" i="3"/>
  <c r="R23" i="3"/>
  <c r="W31" i="3"/>
  <c r="AB31" i="3" s="1"/>
  <c r="Q25" i="3"/>
  <c r="R25" i="3"/>
  <c r="Q35" i="9"/>
  <c r="R35" i="9" s="1"/>
  <c r="L35" i="9"/>
  <c r="L27" i="9"/>
  <c r="W29" i="9"/>
  <c r="AB29" i="9" s="1"/>
  <c r="G22" i="9"/>
  <c r="H22" i="9" s="1"/>
  <c r="L34" i="9"/>
  <c r="M34" i="9"/>
  <c r="L26" i="9"/>
  <c r="M26" i="9"/>
  <c r="W22" i="9"/>
  <c r="AB22" i="9" s="1"/>
  <c r="M22" i="9"/>
  <c r="G30" i="9"/>
  <c r="H30" i="9" s="1"/>
  <c r="L30" i="9"/>
  <c r="W31" i="9"/>
  <c r="AB31" i="9" s="1"/>
  <c r="S23" i="9"/>
  <c r="L24" i="9"/>
  <c r="T24" i="7"/>
  <c r="X22" i="7"/>
  <c r="T30" i="6"/>
  <c r="T24" i="6"/>
  <c r="X27" i="3"/>
  <c r="T33" i="9"/>
  <c r="T28" i="15"/>
  <c r="T28" i="19"/>
  <c r="T32" i="20"/>
  <c r="T21" i="12"/>
  <c r="L30" i="7"/>
  <c r="L26" i="7"/>
  <c r="L28" i="19"/>
  <c r="L38" i="3"/>
  <c r="L30" i="3"/>
  <c r="L26" i="3"/>
  <c r="G21" i="4"/>
  <c r="Q28" i="12"/>
  <c r="R28" i="12" s="1"/>
  <c r="G28" i="15"/>
  <c r="X30" i="3"/>
  <c r="AC30" i="3" s="1"/>
  <c r="X22" i="3"/>
  <c r="AC22" i="3" s="1"/>
  <c r="G22" i="7"/>
  <c r="H22" i="7" s="1"/>
  <c r="Q22" i="3"/>
  <c r="T25" i="4"/>
  <c r="G28" i="20"/>
  <c r="T29" i="7"/>
  <c r="T22" i="6"/>
  <c r="X30" i="20"/>
  <c r="AC30" i="20" s="1"/>
  <c r="AD30" i="20" s="1"/>
  <c r="Q35" i="3"/>
  <c r="L29" i="9"/>
  <c r="G27" i="11"/>
  <c r="H27" i="11" s="1"/>
  <c r="G26" i="10"/>
  <c r="H26" i="10" s="1"/>
  <c r="G28" i="7"/>
  <c r="H28" i="7" s="1"/>
  <c r="Q34" i="6"/>
  <c r="R34" i="6" s="1"/>
  <c r="X30" i="6"/>
  <c r="AC30" i="6" s="1"/>
  <c r="G29" i="15"/>
  <c r="T28" i="20"/>
  <c r="X24" i="20"/>
  <c r="AC24" i="20" s="1"/>
  <c r="V32" i="11"/>
  <c r="G27" i="15"/>
  <c r="G27" i="4"/>
  <c r="P23" i="11"/>
  <c r="Q23" i="11" s="1"/>
  <c r="T31" i="15"/>
  <c r="T29" i="12"/>
  <c r="U29" i="12" s="1"/>
  <c r="P34" i="10"/>
  <c r="T26" i="4"/>
  <c r="X28" i="3"/>
  <c r="AC28" i="3" s="1"/>
  <c r="G28" i="19"/>
  <c r="H28" i="19" s="1"/>
  <c r="L21" i="20"/>
  <c r="L28" i="20"/>
  <c r="T26" i="20"/>
  <c r="T24" i="20"/>
  <c r="T30" i="20"/>
  <c r="W30" i="15"/>
  <c r="AB30" i="15" s="1"/>
  <c r="Q29" i="4"/>
  <c r="W28" i="4"/>
  <c r="AB28" i="4" s="1"/>
  <c r="P33" i="15"/>
  <c r="T33" i="15" s="1"/>
  <c r="P30" i="11"/>
  <c r="Q31" i="6"/>
  <c r="R31" i="6" s="1"/>
  <c r="T36" i="6"/>
  <c r="G26" i="11"/>
  <c r="H26" i="11" s="1"/>
  <c r="X26" i="9"/>
  <c r="AC26" i="9" s="1"/>
  <c r="P27" i="11"/>
  <c r="Q36" i="6"/>
  <c r="R36" i="6" s="1"/>
  <c r="P37" i="10"/>
  <c r="X27" i="7"/>
  <c r="AC27" i="7" s="1"/>
  <c r="T22" i="3"/>
  <c r="T25" i="20"/>
  <c r="X22" i="19"/>
  <c r="AC22" i="19" s="1"/>
  <c r="G33" i="15"/>
  <c r="T22" i="4"/>
  <c r="Q32" i="12"/>
  <c r="R32" i="12" s="1"/>
  <c r="T30" i="7"/>
  <c r="X35" i="3"/>
  <c r="AC35" i="3" s="1"/>
  <c r="AD35" i="3" s="1"/>
  <c r="Q29" i="3"/>
  <c r="X26" i="20"/>
  <c r="AC26" i="20" s="1"/>
  <c r="L21" i="10"/>
  <c r="M21" i="10" s="1"/>
  <c r="G22" i="3"/>
  <c r="X32" i="3"/>
  <c r="X24" i="3"/>
  <c r="AC24" i="3" s="1"/>
  <c r="P22" i="10"/>
  <c r="G25" i="10"/>
  <c r="H25" i="10" s="1"/>
  <c r="G38" i="19"/>
  <c r="H38" i="19" s="1"/>
  <c r="G25" i="19"/>
  <c r="H25" i="19" s="1"/>
  <c r="X35" i="20"/>
  <c r="AC35" i="20" s="1"/>
  <c r="G25" i="6"/>
  <c r="H25" i="6" s="1"/>
  <c r="X24" i="6"/>
  <c r="AC24" i="6" s="1"/>
  <c r="G26" i="4"/>
  <c r="T31" i="20"/>
  <c r="G26" i="9"/>
  <c r="H26" i="9" s="1"/>
  <c r="G31" i="19"/>
  <c r="H31" i="19" s="1"/>
  <c r="P30" i="10"/>
  <c r="Q30" i="10" s="1"/>
  <c r="G31" i="15"/>
  <c r="X21" i="7"/>
  <c r="AC21" i="7" s="1"/>
  <c r="X35" i="6"/>
  <c r="AC35" i="6" s="1"/>
  <c r="T23" i="6"/>
  <c r="T29" i="4"/>
  <c r="Q31" i="4"/>
  <c r="L30" i="10"/>
  <c r="M30" i="10" s="1"/>
  <c r="Q25" i="6"/>
  <c r="R25" i="6" s="1"/>
  <c r="G30" i="3"/>
  <c r="Q34" i="7"/>
  <c r="R34" i="7" s="1"/>
  <c r="Q32" i="6"/>
  <c r="R32" i="6" s="1"/>
  <c r="Q24" i="6"/>
  <c r="R24" i="6" s="1"/>
  <c r="G25" i="15"/>
  <c r="Q22" i="4"/>
  <c r="G25" i="4"/>
  <c r="X34" i="12"/>
  <c r="AC34" i="12" s="1"/>
  <c r="Q22" i="9"/>
  <c r="R22" i="9" s="1"/>
  <c r="T28" i="3"/>
  <c r="T34" i="12"/>
  <c r="T34" i="7"/>
  <c r="X25" i="7"/>
  <c r="AC25" i="7" s="1"/>
  <c r="T22" i="7"/>
  <c r="T33" i="3"/>
  <c r="O29" i="11"/>
  <c r="Q32" i="9"/>
  <c r="R32" i="9" s="1"/>
  <c r="S36" i="6"/>
  <c r="S24" i="7"/>
  <c r="S31" i="9"/>
  <c r="Q37" i="19"/>
  <c r="R37" i="19" s="1"/>
  <c r="X28" i="11"/>
  <c r="O36" i="10"/>
  <c r="G25" i="9"/>
  <c r="H25" i="9" s="1"/>
  <c r="G35" i="7"/>
  <c r="H35" i="7" s="1"/>
  <c r="W22" i="7"/>
  <c r="AB22" i="7" s="1"/>
  <c r="W32" i="7"/>
  <c r="AB32" i="7" s="1"/>
  <c r="S34" i="15"/>
  <c r="U34" i="15" s="1"/>
  <c r="L29" i="6"/>
  <c r="S22" i="4"/>
  <c r="U22" i="4" s="1"/>
  <c r="W29" i="6"/>
  <c r="AB29" i="6" s="1"/>
  <c r="S30" i="19"/>
  <c r="S25" i="19"/>
  <c r="W36" i="12"/>
  <c r="AB36" i="12" s="1"/>
  <c r="L33" i="15"/>
  <c r="W36" i="6"/>
  <c r="AB36" i="6" s="1"/>
  <c r="W27" i="7"/>
  <c r="AB27" i="7" s="1"/>
  <c r="L34" i="4"/>
  <c r="L28" i="7"/>
  <c r="L32" i="4"/>
  <c r="L24" i="4"/>
  <c r="L31" i="6"/>
  <c r="L27" i="6"/>
  <c r="W24" i="7"/>
  <c r="AB24" i="7" s="1"/>
  <c r="L37" i="6"/>
  <c r="L30" i="4"/>
  <c r="S30" i="4"/>
  <c r="U30" i="4" s="1"/>
  <c r="S22" i="9"/>
  <c r="L23" i="7"/>
  <c r="L33" i="4"/>
  <c r="S34" i="4"/>
  <c r="U34" i="4" s="1"/>
  <c r="L33" i="9"/>
  <c r="L38" i="19"/>
  <c r="W23" i="20"/>
  <c r="AB23" i="20" s="1"/>
  <c r="S26" i="19"/>
  <c r="L24" i="7"/>
  <c r="L25" i="6"/>
  <c r="S25" i="4"/>
  <c r="U25" i="4" s="1"/>
  <c r="S28" i="3"/>
  <c r="U28" i="3" s="1"/>
  <c r="L34" i="20"/>
  <c r="L22" i="9"/>
  <c r="S30" i="20"/>
  <c r="U30" i="20" s="1"/>
  <c r="W26" i="3"/>
  <c r="AB26" i="3" s="1"/>
  <c r="L35" i="4"/>
  <c r="L27" i="15"/>
  <c r="W35" i="15"/>
  <c r="AB35" i="15" s="1"/>
  <c r="W21" i="7"/>
  <c r="AB21" i="7" s="1"/>
  <c r="G37" i="3"/>
  <c r="X29" i="11"/>
  <c r="W29" i="4"/>
  <c r="AB29" i="4" s="1"/>
  <c r="S35" i="4"/>
  <c r="U35" i="4" s="1"/>
  <c r="G29" i="12"/>
  <c r="H29" i="12" s="1"/>
  <c r="G35" i="15"/>
  <c r="G36" i="3"/>
  <c r="G37" i="10"/>
  <c r="H37" i="10" s="1"/>
  <c r="G29" i="10"/>
  <c r="H29" i="10" s="1"/>
  <c r="O37" i="10"/>
  <c r="G30" i="12"/>
  <c r="H30" i="12" s="1"/>
  <c r="O30" i="11"/>
  <c r="G26" i="19"/>
  <c r="H26" i="19" s="1"/>
  <c r="G37" i="12"/>
  <c r="H37" i="12" s="1"/>
  <c r="S28" i="7"/>
  <c r="W21" i="6"/>
  <c r="S37" i="3"/>
  <c r="U37" i="3" s="1"/>
  <c r="G21" i="7"/>
  <c r="H21" i="7" s="1"/>
  <c r="G29" i="3"/>
  <c r="G29" i="9"/>
  <c r="H29" i="9" s="1"/>
  <c r="S29" i="6"/>
  <c r="O34" i="10"/>
  <c r="S21" i="9"/>
  <c r="S34" i="9"/>
  <c r="S31" i="15"/>
  <c r="U31" i="15" s="1"/>
  <c r="G22" i="12"/>
  <c r="H22" i="12" s="1"/>
  <c r="W25" i="19"/>
  <c r="W31" i="19"/>
  <c r="AB31" i="19" s="1"/>
  <c r="S29" i="9"/>
  <c r="G30" i="6"/>
  <c r="H30" i="6" s="1"/>
  <c r="S35" i="9"/>
  <c r="G27" i="9"/>
  <c r="H27" i="9" s="1"/>
  <c r="W26" i="6"/>
  <c r="AB26" i="6" s="1"/>
  <c r="Q24" i="7"/>
  <c r="R24" i="7" s="1"/>
  <c r="Q32" i="7"/>
  <c r="R32" i="7" s="1"/>
  <c r="S25" i="6"/>
  <c r="O32" i="11"/>
  <c r="Q30" i="7"/>
  <c r="R30" i="7" s="1"/>
  <c r="W32" i="12"/>
  <c r="AB32" i="12" s="1"/>
  <c r="S37" i="12"/>
  <c r="W24" i="3"/>
  <c r="AB24" i="3" s="1"/>
  <c r="Q21" i="4"/>
  <c r="Q22" i="15"/>
  <c r="Q22" i="19"/>
  <c r="R22" i="19" s="1"/>
  <c r="Q27" i="4"/>
  <c r="Q34" i="3"/>
  <c r="S24" i="6"/>
  <c r="O33" i="10"/>
  <c r="S27" i="7"/>
  <c r="W34" i="19"/>
  <c r="Q31" i="7"/>
  <c r="R31" i="7" s="1"/>
  <c r="W22" i="3"/>
  <c r="O26" i="10"/>
  <c r="W31" i="6"/>
  <c r="AB31" i="6" s="1"/>
  <c r="W28" i="15"/>
  <c r="AB28" i="15" s="1"/>
  <c r="AD28" i="15" s="1"/>
  <c r="S24" i="3"/>
  <c r="U24" i="3" s="1"/>
  <c r="Q37" i="3"/>
  <c r="W23" i="6"/>
  <c r="AB23" i="6" s="1"/>
  <c r="W32" i="4"/>
  <c r="AB32" i="4" s="1"/>
  <c r="S27" i="15"/>
  <c r="U27" i="15" s="1"/>
  <c r="S31" i="19"/>
  <c r="Q38" i="19"/>
  <c r="R38" i="19" s="1"/>
  <c r="Q31" i="3"/>
  <c r="S32" i="12"/>
  <c r="W24" i="12"/>
  <c r="AB24" i="12" s="1"/>
  <c r="W34" i="3"/>
  <c r="AB34" i="3" s="1"/>
  <c r="S30" i="3"/>
  <c r="U30" i="3" s="1"/>
  <c r="S22" i="3"/>
  <c r="U22" i="3" s="1"/>
  <c r="Q21" i="7"/>
  <c r="R21" i="7" s="1"/>
  <c r="X30" i="7"/>
  <c r="AC30" i="7" s="1"/>
  <c r="X33" i="7"/>
  <c r="AC33" i="7" s="1"/>
  <c r="T26" i="7"/>
  <c r="S26" i="20"/>
  <c r="U26" i="20" s="1"/>
  <c r="G26" i="20"/>
  <c r="X27" i="20"/>
  <c r="AC27" i="20" s="1"/>
  <c r="G27" i="20"/>
  <c r="T35" i="6"/>
  <c r="T33" i="6"/>
  <c r="L32" i="10"/>
  <c r="M32" i="10" s="1"/>
  <c r="X35" i="9"/>
  <c r="AC35" i="9" s="1"/>
  <c r="W28" i="12"/>
  <c r="S23" i="6"/>
  <c r="W31" i="7"/>
  <c r="AB31" i="7" s="1"/>
  <c r="AD31" i="7" s="1"/>
  <c r="S34" i="6"/>
  <c r="X26" i="7"/>
  <c r="AC26" i="7" s="1"/>
  <c r="T33" i="7"/>
  <c r="T32" i="3"/>
  <c r="Q22" i="7"/>
  <c r="R22" i="7" s="1"/>
  <c r="G28" i="12"/>
  <c r="H28" i="12" s="1"/>
  <c r="G28" i="3"/>
  <c r="G26" i="3"/>
  <c r="G23" i="7"/>
  <c r="H23" i="7" s="1"/>
  <c r="G32" i="3"/>
  <c r="W32" i="3"/>
  <c r="AB32" i="3" s="1"/>
  <c r="S32" i="3"/>
  <c r="U32" i="3" s="1"/>
  <c r="W28" i="3"/>
  <c r="S35" i="3"/>
  <c r="U35" i="3" s="1"/>
  <c r="S26" i="3"/>
  <c r="U26" i="3" s="1"/>
  <c r="X32" i="6"/>
  <c r="AC32" i="6" s="1"/>
  <c r="T32" i="6"/>
  <c r="G32" i="6"/>
  <c r="H32" i="6" s="1"/>
  <c r="X36" i="3"/>
  <c r="AC36" i="3" s="1"/>
  <c r="T36" i="3"/>
  <c r="Q30" i="6"/>
  <c r="R30" i="6" s="1"/>
  <c r="V30" i="11"/>
  <c r="X35" i="4"/>
  <c r="T24" i="4"/>
  <c r="T31" i="6"/>
  <c r="X36" i="19"/>
  <c r="AC36" i="19" s="1"/>
  <c r="T23" i="7"/>
  <c r="P21" i="10"/>
  <c r="Q21" i="10" s="1"/>
  <c r="T34" i="3"/>
  <c r="G24" i="3"/>
  <c r="G32" i="12"/>
  <c r="H32" i="12" s="1"/>
  <c r="W30" i="6"/>
  <c r="AB30" i="6" s="1"/>
  <c r="G26" i="6"/>
  <c r="H26" i="6" s="1"/>
  <c r="X21" i="12"/>
  <c r="AC21" i="12" s="1"/>
  <c r="AD21" i="12" s="1"/>
  <c r="G21" i="12"/>
  <c r="H21" i="12" s="1"/>
  <c r="Q35" i="4"/>
  <c r="L35" i="15"/>
  <c r="L31" i="15"/>
  <c r="L25" i="15"/>
  <c r="L37" i="12"/>
  <c r="L35" i="12"/>
  <c r="L30" i="12"/>
  <c r="L28" i="12"/>
  <c r="L24" i="12"/>
  <c r="L22" i="12"/>
  <c r="Q36" i="12"/>
  <c r="R36" i="12" s="1"/>
  <c r="L32" i="20"/>
  <c r="L26" i="20"/>
  <c r="L24" i="20"/>
  <c r="L39" i="19"/>
  <c r="L35" i="19"/>
  <c r="L29" i="19"/>
  <c r="L23" i="19"/>
  <c r="S29" i="19"/>
  <c r="L21" i="3"/>
  <c r="L37" i="3"/>
  <c r="X31" i="3"/>
  <c r="AC31" i="3" s="1"/>
  <c r="AD31" i="3" s="1"/>
  <c r="L29" i="3"/>
  <c r="T27" i="3"/>
  <c r="L23" i="3"/>
  <c r="S33" i="3"/>
  <c r="U33" i="3" s="1"/>
  <c r="Q21" i="3"/>
  <c r="T30" i="3"/>
  <c r="G29" i="11"/>
  <c r="H29" i="11" s="1"/>
  <c r="Y28" i="11"/>
  <c r="Y24" i="11"/>
  <c r="G36" i="10"/>
  <c r="H36" i="10" s="1"/>
  <c r="W36" i="9"/>
  <c r="AB36" i="9" s="1"/>
  <c r="G32" i="9"/>
  <c r="H32" i="9" s="1"/>
  <c r="G24" i="9"/>
  <c r="H24" i="9" s="1"/>
  <c r="S30" i="7"/>
  <c r="S26" i="7"/>
  <c r="S22" i="7"/>
  <c r="W33" i="19"/>
  <c r="AB33" i="19" s="1"/>
  <c r="X31" i="7"/>
  <c r="AC31" i="7" s="1"/>
  <c r="G35" i="6"/>
  <c r="H35" i="6" s="1"/>
  <c r="G33" i="6"/>
  <c r="H33" i="6" s="1"/>
  <c r="G31" i="6"/>
  <c r="H31" i="6" s="1"/>
  <c r="G29" i="6"/>
  <c r="H29" i="6" s="1"/>
  <c r="W24" i="6"/>
  <c r="AB24" i="6" s="1"/>
  <c r="S31" i="4"/>
  <c r="U31" i="4" s="1"/>
  <c r="W26" i="4"/>
  <c r="AB26" i="4" s="1"/>
  <c r="G32" i="4"/>
  <c r="X24" i="12"/>
  <c r="Z24" i="12" s="1"/>
  <c r="T23" i="20"/>
  <c r="G38" i="3"/>
  <c r="S25" i="9"/>
  <c r="Q36" i="9"/>
  <c r="R36" i="9" s="1"/>
  <c r="T21" i="9"/>
  <c r="G33" i="9"/>
  <c r="H33" i="9" s="1"/>
  <c r="T28" i="9"/>
  <c r="T26" i="9"/>
  <c r="Q28" i="4"/>
  <c r="W34" i="15"/>
  <c r="AB34" i="15" s="1"/>
  <c r="S30" i="15"/>
  <c r="U30" i="15" s="1"/>
  <c r="S28" i="15"/>
  <c r="U28" i="15" s="1"/>
  <c r="W26" i="15"/>
  <c r="AB26" i="15" s="1"/>
  <c r="S24" i="15"/>
  <c r="U24" i="15" s="1"/>
  <c r="Q29" i="15"/>
  <c r="S25" i="15"/>
  <c r="U25" i="15" s="1"/>
  <c r="L36" i="12"/>
  <c r="S31" i="12"/>
  <c r="S27" i="12"/>
  <c r="L25" i="12"/>
  <c r="S23" i="12"/>
  <c r="W35" i="12"/>
  <c r="AB35" i="12" s="1"/>
  <c r="Q22" i="12"/>
  <c r="R22" i="12" s="1"/>
  <c r="Q34" i="12"/>
  <c r="R34" i="12" s="1"/>
  <c r="Q25" i="12"/>
  <c r="R25" i="12" s="1"/>
  <c r="S21" i="20"/>
  <c r="U21" i="20" s="1"/>
  <c r="Q28" i="20"/>
  <c r="S24" i="20"/>
  <c r="U24" i="20" s="1"/>
  <c r="Q32" i="20"/>
  <c r="L35" i="20"/>
  <c r="L33" i="20"/>
  <c r="L31" i="20"/>
  <c r="L29" i="20"/>
  <c r="L27" i="20"/>
  <c r="L23" i="20"/>
  <c r="S21" i="19"/>
  <c r="W38" i="19"/>
  <c r="AB38" i="19" s="1"/>
  <c r="L34" i="19"/>
  <c r="L32" i="19"/>
  <c r="L36" i="6"/>
  <c r="P25" i="10"/>
  <c r="Q25" i="10" s="1"/>
  <c r="G31" i="11"/>
  <c r="H31" i="11" s="1"/>
  <c r="G36" i="6"/>
  <c r="H36" i="6" s="1"/>
  <c r="X34" i="6"/>
  <c r="W25" i="4"/>
  <c r="S23" i="15"/>
  <c r="U23" i="15" s="1"/>
  <c r="T23" i="15"/>
  <c r="G34" i="19"/>
  <c r="H34" i="19" s="1"/>
  <c r="G30" i="19"/>
  <c r="H30" i="19" s="1"/>
  <c r="G22" i="19"/>
  <c r="H22" i="19" s="1"/>
  <c r="G27" i="3"/>
  <c r="W27" i="4"/>
  <c r="AB27" i="4" s="1"/>
  <c r="T27" i="4"/>
  <c r="Q23" i="15"/>
  <c r="L23" i="6"/>
  <c r="P28" i="10"/>
  <c r="Q28" i="10" s="1"/>
  <c r="P33" i="10"/>
  <c r="L21" i="9"/>
  <c r="L31" i="9"/>
  <c r="L23" i="9"/>
  <c r="O27" i="11"/>
  <c r="W33" i="15"/>
  <c r="AB33" i="15" s="1"/>
  <c r="S23" i="4"/>
  <c r="U23" i="4" s="1"/>
  <c r="W23" i="4"/>
  <c r="AB23" i="4" s="1"/>
  <c r="W36" i="3"/>
  <c r="AB36" i="3" s="1"/>
  <c r="S36" i="3"/>
  <c r="U36" i="3" s="1"/>
  <c r="Q36" i="3"/>
  <c r="S35" i="19"/>
  <c r="W35" i="19"/>
  <c r="AB35" i="19" s="1"/>
  <c r="G23" i="4"/>
  <c r="W21" i="3"/>
  <c r="AB21" i="3" s="1"/>
  <c r="S21" i="3"/>
  <c r="U21" i="3" s="1"/>
  <c r="L25" i="20"/>
  <c r="W25" i="20"/>
  <c r="AB25" i="20" s="1"/>
  <c r="W26" i="7"/>
  <c r="W28" i="20"/>
  <c r="AB28" i="20" s="1"/>
  <c r="Y23" i="11"/>
  <c r="Q25" i="15"/>
  <c r="T24" i="15"/>
  <c r="Q24" i="15"/>
  <c r="Q24" i="20"/>
  <c r="T35" i="20"/>
  <c r="Q35" i="20"/>
  <c r="S25" i="3"/>
  <c r="U25" i="3" s="1"/>
  <c r="S33" i="19"/>
  <c r="L23" i="12"/>
  <c r="G37" i="7"/>
  <c r="H37" i="7" s="1"/>
  <c r="T37" i="7"/>
  <c r="G22" i="4"/>
  <c r="X24" i="15"/>
  <c r="AC24" i="15" s="1"/>
  <c r="S21" i="12"/>
  <c r="L21" i="15"/>
  <c r="L32" i="15"/>
  <c r="L30" i="15"/>
  <c r="L28" i="15"/>
  <c r="L26" i="15"/>
  <c r="T22" i="15"/>
  <c r="L22" i="15"/>
  <c r="L33" i="12"/>
  <c r="L31" i="12"/>
  <c r="T31" i="12"/>
  <c r="L29" i="12"/>
  <c r="X29" i="12"/>
  <c r="AC29" i="12" s="1"/>
  <c r="L27" i="12"/>
  <c r="X25" i="12"/>
  <c r="L34" i="12"/>
  <c r="W25" i="12"/>
  <c r="AB25" i="12" s="1"/>
  <c r="S25" i="12"/>
  <c r="G25" i="12"/>
  <c r="H25" i="12" s="1"/>
  <c r="Q33" i="19"/>
  <c r="R33" i="19" s="1"/>
  <c r="X25" i="3"/>
  <c r="AC25" i="3" s="1"/>
  <c r="L25" i="3"/>
  <c r="W29" i="19"/>
  <c r="AB29" i="19" s="1"/>
  <c r="T21" i="3"/>
  <c r="X27" i="6"/>
  <c r="G27" i="6"/>
  <c r="H27" i="6" s="1"/>
  <c r="X25" i="19"/>
  <c r="AC25" i="19" s="1"/>
  <c r="W27" i="3"/>
  <c r="AB27" i="3" s="1"/>
  <c r="S27" i="3"/>
  <c r="U27" i="3" s="1"/>
  <c r="X24" i="9"/>
  <c r="AC24" i="9" s="1"/>
  <c r="T24" i="9"/>
  <c r="S32" i="9"/>
  <c r="Q27" i="10"/>
  <c r="W35" i="6"/>
  <c r="AB35" i="6" s="1"/>
  <c r="S35" i="12"/>
  <c r="S25" i="20"/>
  <c r="U25" i="20" s="1"/>
  <c r="S27" i="19"/>
  <c r="T27" i="6"/>
  <c r="L33" i="6"/>
  <c r="W30" i="7"/>
  <c r="AB30" i="7" s="1"/>
  <c r="W29" i="3"/>
  <c r="AB29" i="3" s="1"/>
  <c r="X33" i="9"/>
  <c r="AC33" i="9" s="1"/>
  <c r="W24" i="15"/>
  <c r="AB24" i="15" s="1"/>
  <c r="S34" i="19"/>
  <c r="U34" i="19" s="1"/>
  <c r="P32" i="11"/>
  <c r="T31" i="9"/>
  <c r="T25" i="12"/>
  <c r="X31" i="6"/>
  <c r="AC31" i="6" s="1"/>
  <c r="T35" i="9"/>
  <c r="G34" i="3"/>
  <c r="G34" i="12"/>
  <c r="H34" i="12" s="1"/>
  <c r="G26" i="7"/>
  <c r="H26" i="7" s="1"/>
  <c r="S21" i="4"/>
  <c r="U21" i="4" s="1"/>
  <c r="W21" i="4"/>
  <c r="AB21" i="4" s="1"/>
  <c r="AD21" i="4" s="1"/>
  <c r="T34" i="15"/>
  <c r="G34" i="15"/>
  <c r="S22" i="12"/>
  <c r="S32" i="20"/>
  <c r="U32" i="20" s="1"/>
  <c r="W32" i="20"/>
  <c r="AB32" i="20" s="1"/>
  <c r="G29" i="4"/>
  <c r="G23" i="20"/>
  <c r="S26" i="15"/>
  <c r="U26" i="15" s="1"/>
  <c r="G33" i="12"/>
  <c r="H33" i="12" s="1"/>
  <c r="G29" i="20"/>
  <c r="S33" i="7"/>
  <c r="Q23" i="6"/>
  <c r="R23" i="6" s="1"/>
  <c r="Y27" i="11"/>
  <c r="G38" i="7"/>
  <c r="H38" i="7" s="1"/>
  <c r="X22" i="4"/>
  <c r="AC22" i="4" s="1"/>
  <c r="AD22" i="4" s="1"/>
  <c r="S32" i="15"/>
  <c r="U32" i="15" s="1"/>
  <c r="W25" i="15"/>
  <c r="AB25" i="15" s="1"/>
  <c r="W30" i="12"/>
  <c r="AB30" i="12" s="1"/>
  <c r="X36" i="12"/>
  <c r="T36" i="12"/>
  <c r="S29" i="20"/>
  <c r="U29" i="20" s="1"/>
  <c r="W29" i="20"/>
  <c r="AB29" i="20" s="1"/>
  <c r="S23" i="20"/>
  <c r="U23" i="20" s="1"/>
  <c r="G32" i="20"/>
  <c r="X21" i="9"/>
  <c r="AC21" i="9" s="1"/>
  <c r="Q31" i="9"/>
  <c r="R31" i="9" s="1"/>
  <c r="T26" i="6"/>
  <c r="U26" i="6" s="1"/>
  <c r="X31" i="4"/>
  <c r="AC31" i="4" s="1"/>
  <c r="X27" i="4"/>
  <c r="AC27" i="4" s="1"/>
  <c r="X25" i="4"/>
  <c r="AC25" i="4" s="1"/>
  <c r="Q26" i="12"/>
  <c r="R26" i="12" s="1"/>
  <c r="X21" i="19"/>
  <c r="AC21" i="19" s="1"/>
  <c r="W37" i="3"/>
  <c r="AB37" i="3" s="1"/>
  <c r="W25" i="3"/>
  <c r="AB25" i="3" s="1"/>
  <c r="W27" i="6"/>
  <c r="W25" i="9"/>
  <c r="L25" i="9"/>
  <c r="T27" i="7"/>
  <c r="T25" i="7"/>
  <c r="X24" i="4"/>
  <c r="Y24" i="4" s="1"/>
  <c r="T30" i="15"/>
  <c r="G26" i="15"/>
  <c r="X22" i="15"/>
  <c r="AC22" i="15" s="1"/>
  <c r="S36" i="12"/>
  <c r="W24" i="20"/>
  <c r="AB24" i="20" s="1"/>
  <c r="G24" i="20"/>
  <c r="X22" i="20"/>
  <c r="AC22" i="20" s="1"/>
  <c r="G35" i="20"/>
  <c r="W33" i="3"/>
  <c r="AB33" i="3" s="1"/>
  <c r="G28" i="9"/>
  <c r="H28" i="9" s="1"/>
  <c r="T22" i="9"/>
  <c r="Q21" i="6"/>
  <c r="R21" i="6" s="1"/>
  <c r="X33" i="6"/>
  <c r="AC33" i="6" s="1"/>
  <c r="X29" i="6"/>
  <c r="AC29" i="6" s="1"/>
  <c r="Q31" i="15"/>
  <c r="Q27" i="15"/>
  <c r="S30" i="12"/>
  <c r="S34" i="12"/>
  <c r="Q29" i="12"/>
  <c r="R29" i="12" s="1"/>
  <c r="T32" i="19"/>
  <c r="X28" i="19"/>
  <c r="Y28" i="19" s="1"/>
  <c r="Q25" i="19"/>
  <c r="R25" i="19" s="1"/>
  <c r="Q34" i="19"/>
  <c r="R34" i="19" s="1"/>
  <c r="S30" i="6"/>
  <c r="L27" i="11"/>
  <c r="M27" i="11" s="1"/>
  <c r="L24" i="11"/>
  <c r="M24" i="11" s="1"/>
  <c r="G36" i="7"/>
  <c r="H36" i="7" s="1"/>
  <c r="G29" i="7"/>
  <c r="H29" i="7" s="1"/>
  <c r="G28" i="6"/>
  <c r="H28" i="6" s="1"/>
  <c r="G34" i="4"/>
  <c r="X32" i="15"/>
  <c r="AC32" i="15" s="1"/>
  <c r="G30" i="4"/>
  <c r="W23" i="12"/>
  <c r="AB23" i="12" s="1"/>
  <c r="X31" i="12"/>
  <c r="AC31" i="12" s="1"/>
  <c r="AD31" i="12" s="1"/>
  <c r="X27" i="12"/>
  <c r="AC27" i="12" s="1"/>
  <c r="G34" i="20"/>
  <c r="W21" i="20"/>
  <c r="AB21" i="20" s="1"/>
  <c r="S29" i="3"/>
  <c r="U29" i="3" s="1"/>
  <c r="G36" i="9"/>
  <c r="H36" i="9" s="1"/>
  <c r="T34" i="9"/>
  <c r="T32" i="9"/>
  <c r="X29" i="9"/>
  <c r="X25" i="9"/>
  <c r="AC25" i="9" s="1"/>
  <c r="T21" i="4"/>
  <c r="T34" i="4"/>
  <c r="T30" i="4"/>
  <c r="L22" i="4"/>
  <c r="Q24" i="4"/>
  <c r="T29" i="15"/>
  <c r="T27" i="15"/>
  <c r="X32" i="12"/>
  <c r="AC32" i="12" s="1"/>
  <c r="X26" i="12"/>
  <c r="AC26" i="12" s="1"/>
  <c r="Q30" i="20"/>
  <c r="W22" i="20"/>
  <c r="AB22" i="20" s="1"/>
  <c r="Q23" i="20"/>
  <c r="L31" i="19"/>
  <c r="Q28" i="3"/>
  <c r="S37" i="19"/>
  <c r="L31" i="11"/>
  <c r="M31" i="11" s="1"/>
  <c r="P26" i="10"/>
  <c r="L26" i="10"/>
  <c r="M26" i="10" s="1"/>
  <c r="P38" i="10"/>
  <c r="Q38" i="10" s="1"/>
  <c r="Y26" i="11"/>
  <c r="L29" i="11"/>
  <c r="M29" i="11" s="1"/>
  <c r="T31" i="19"/>
  <c r="T35" i="19"/>
  <c r="T30" i="19"/>
  <c r="T23" i="19"/>
  <c r="U23" i="19" s="1"/>
  <c r="T29" i="19"/>
  <c r="X26" i="19"/>
  <c r="AC26" i="19" s="1"/>
  <c r="T22" i="19"/>
  <c r="X37" i="19"/>
  <c r="AC37" i="19" s="1"/>
  <c r="Z28" i="19"/>
  <c r="T26" i="19"/>
  <c r="Q26" i="19"/>
  <c r="R26" i="19" s="1"/>
  <c r="X38" i="19"/>
  <c r="X34" i="19"/>
  <c r="AC34" i="19" s="1"/>
  <c r="T38" i="19"/>
  <c r="U38" i="19" s="1"/>
  <c r="T25" i="19"/>
  <c r="X29" i="19"/>
  <c r="AC29" i="19" s="1"/>
  <c r="T37" i="19"/>
  <c r="T33" i="19"/>
  <c r="P29" i="10"/>
  <c r="T28" i="7"/>
  <c r="Q25" i="9"/>
  <c r="R25" i="9" s="1"/>
  <c r="X28" i="7"/>
  <c r="X24" i="7"/>
  <c r="X22" i="6"/>
  <c r="AC22" i="6" s="1"/>
  <c r="T25" i="9"/>
  <c r="X22" i="9"/>
  <c r="AC22" i="9" s="1"/>
  <c r="Q32" i="19"/>
  <c r="R32" i="19" s="1"/>
  <c r="P35" i="10"/>
  <c r="X21" i="6"/>
  <c r="AC21" i="6" s="1"/>
  <c r="T29" i="9"/>
  <c r="T29" i="6"/>
  <c r="T21" i="19"/>
  <c r="X30" i="19"/>
  <c r="AC30" i="19" s="1"/>
  <c r="L22" i="11"/>
  <c r="M22" i="11" s="1"/>
  <c r="Q29" i="9"/>
  <c r="R29" i="9" s="1"/>
  <c r="Q23" i="19"/>
  <c r="R23" i="19" s="1"/>
  <c r="X26" i="6"/>
  <c r="X23" i="19"/>
  <c r="AC23" i="19" s="1"/>
  <c r="AD23" i="19" s="1"/>
  <c r="X23" i="7"/>
  <c r="Z23" i="7" s="1"/>
  <c r="Q26" i="6"/>
  <c r="R26" i="6" s="1"/>
  <c r="Q21" i="19"/>
  <c r="R21" i="19" s="1"/>
  <c r="L28" i="11"/>
  <c r="M28" i="11" s="1"/>
  <c r="L30" i="11"/>
  <c r="M30" i="11" s="1"/>
  <c r="L26" i="11"/>
  <c r="M26" i="11" s="1"/>
  <c r="Y29" i="11"/>
  <c r="G28" i="11"/>
  <c r="H28" i="11" s="1"/>
  <c r="P28" i="11"/>
  <c r="AC27" i="3"/>
  <c r="T25" i="3"/>
  <c r="X21" i="3"/>
  <c r="T37" i="3"/>
  <c r="T31" i="3"/>
  <c r="L35" i="3"/>
  <c r="L31" i="3"/>
  <c r="L27" i="3"/>
  <c r="L33" i="3"/>
  <c r="X23" i="3"/>
  <c r="AC23" i="3" s="1"/>
  <c r="X37" i="3"/>
  <c r="T35" i="3"/>
  <c r="X33" i="19"/>
  <c r="L33" i="19"/>
  <c r="L37" i="19"/>
  <c r="X35" i="19"/>
  <c r="AC35" i="19" s="1"/>
  <c r="X22" i="12"/>
  <c r="AC22" i="12" s="1"/>
  <c r="T28" i="12"/>
  <c r="U28" i="12" s="1"/>
  <c r="L26" i="12"/>
  <c r="L32" i="12"/>
  <c r="T32" i="12"/>
  <c r="T26" i="12"/>
  <c r="X28" i="12"/>
  <c r="X35" i="12"/>
  <c r="T22" i="12"/>
  <c r="X27" i="15"/>
  <c r="AC27" i="15" s="1"/>
  <c r="L29" i="15"/>
  <c r="X31" i="15"/>
  <c r="AC31" i="15" s="1"/>
  <c r="X23" i="15"/>
  <c r="AC23" i="15" s="1"/>
  <c r="AD23" i="15" s="1"/>
  <c r="T25" i="15"/>
  <c r="X29" i="15"/>
  <c r="AC29" i="15" s="1"/>
  <c r="X25" i="15"/>
  <c r="L21" i="4"/>
  <c r="L27" i="4"/>
  <c r="X34" i="4"/>
  <c r="AC34" i="4" s="1"/>
  <c r="AD34" i="4" s="1"/>
  <c r="T31" i="4"/>
  <c r="L31" i="4"/>
  <c r="L29" i="4"/>
  <c r="T35" i="4"/>
  <c r="X29" i="4"/>
  <c r="AC29" i="4" s="1"/>
  <c r="L28" i="4"/>
  <c r="X26" i="4"/>
  <c r="AC26" i="4" s="1"/>
  <c r="X36" i="6"/>
  <c r="AC36" i="6" s="1"/>
  <c r="L35" i="6"/>
  <c r="T21" i="6"/>
  <c r="U21" i="6" s="1"/>
  <c r="T25" i="6"/>
  <c r="X25" i="6"/>
  <c r="AC25" i="6" s="1"/>
  <c r="L21" i="6"/>
  <c r="AC34" i="3"/>
  <c r="AD34" i="3" s="1"/>
  <c r="Y34" i="3"/>
  <c r="AC32" i="3"/>
  <c r="T23" i="3"/>
  <c r="G22" i="20"/>
  <c r="X31" i="20"/>
  <c r="AC31" i="20" s="1"/>
  <c r="X25" i="20"/>
  <c r="AC25" i="20" s="1"/>
  <c r="X32" i="20"/>
  <c r="AC32" i="20" s="1"/>
  <c r="X28" i="20"/>
  <c r="G31" i="20"/>
  <c r="X24" i="19"/>
  <c r="AC24" i="19" s="1"/>
  <c r="X39" i="19"/>
  <c r="AC39" i="19" s="1"/>
  <c r="AD39" i="19" s="1"/>
  <c r="T36" i="19"/>
  <c r="G31" i="12"/>
  <c r="H31" i="12" s="1"/>
  <c r="G27" i="12"/>
  <c r="H27" i="12" s="1"/>
  <c r="T24" i="12"/>
  <c r="G36" i="12"/>
  <c r="H36" i="12" s="1"/>
  <c r="G24" i="12"/>
  <c r="H24" i="12" s="1"/>
  <c r="T32" i="15"/>
  <c r="X34" i="15"/>
  <c r="G32" i="15"/>
  <c r="G30" i="15"/>
  <c r="G23" i="15"/>
  <c r="AC28" i="4"/>
  <c r="Z28" i="4"/>
  <c r="G28" i="4"/>
  <c r="G31" i="4"/>
  <c r="T28" i="4"/>
  <c r="X32" i="4"/>
  <c r="AC32" i="4" s="1"/>
  <c r="T32" i="4"/>
  <c r="Q21" i="20"/>
  <c r="T21" i="20"/>
  <c r="T33" i="20"/>
  <c r="Q33" i="20"/>
  <c r="X33" i="20"/>
  <c r="AC33" i="20" s="1"/>
  <c r="X26" i="3"/>
  <c r="T26" i="3"/>
  <c r="Y23" i="20"/>
  <c r="AC23" i="20"/>
  <c r="AD23" i="20" s="1"/>
  <c r="T23" i="4"/>
  <c r="X23" i="4"/>
  <c r="X35" i="15"/>
  <c r="T35" i="15"/>
  <c r="Q30" i="15"/>
  <c r="X30" i="15"/>
  <c r="X26" i="15"/>
  <c r="Q26" i="15"/>
  <c r="T26" i="15"/>
  <c r="T35" i="12"/>
  <c r="U35" i="12" s="1"/>
  <c r="Q35" i="12"/>
  <c r="R35" i="12" s="1"/>
  <c r="T30" i="12"/>
  <c r="X30" i="12"/>
  <c r="AC30" i="12" s="1"/>
  <c r="Q22" i="20"/>
  <c r="T22" i="20"/>
  <c r="Z34" i="3"/>
  <c r="X21" i="20"/>
  <c r="T39" i="19"/>
  <c r="X30" i="4"/>
  <c r="Q30" i="4"/>
  <c r="X29" i="20"/>
  <c r="T29" i="20"/>
  <c r="T27" i="12"/>
  <c r="Q27" i="12"/>
  <c r="R27" i="12" s="1"/>
  <c r="Q23" i="12"/>
  <c r="R23" i="12" s="1"/>
  <c r="X23" i="12"/>
  <c r="T23" i="12"/>
  <c r="Q31" i="19"/>
  <c r="R31" i="19" s="1"/>
  <c r="X31" i="19"/>
  <c r="AC31" i="19" s="1"/>
  <c r="T27" i="19"/>
  <c r="X27" i="19"/>
  <c r="Z27" i="19" s="1"/>
  <c r="Q24" i="19"/>
  <c r="R24" i="19" s="1"/>
  <c r="T24" i="19"/>
  <c r="X33" i="3"/>
  <c r="Q33" i="3"/>
  <c r="T29" i="3"/>
  <c r="X29" i="3"/>
  <c r="AC29" i="3" s="1"/>
  <c r="Z23" i="20"/>
  <c r="Q23" i="4"/>
  <c r="Q26" i="3"/>
  <c r="Q31" i="20"/>
  <c r="Q36" i="19"/>
  <c r="R36" i="19" s="1"/>
  <c r="Q30" i="12"/>
  <c r="R30" i="12" s="1"/>
  <c r="Q29" i="20"/>
  <c r="G23" i="6"/>
  <c r="H23" i="6" s="1"/>
  <c r="T28" i="6"/>
  <c r="G34" i="6"/>
  <c r="H34" i="6" s="1"/>
  <c r="X23" i="6"/>
  <c r="X28" i="6"/>
  <c r="AC28" i="6" s="1"/>
  <c r="T34" i="6"/>
  <c r="X32" i="9"/>
  <c r="AC32" i="9" s="1"/>
  <c r="X23" i="9"/>
  <c r="AC23" i="9" s="1"/>
  <c r="G34" i="9"/>
  <c r="H34" i="9" s="1"/>
  <c r="T23" i="9"/>
  <c r="X36" i="9"/>
  <c r="AC36" i="9" s="1"/>
  <c r="X34" i="9"/>
  <c r="AC34" i="9" s="1"/>
  <c r="X31" i="9"/>
  <c r="AC31" i="9" s="1"/>
  <c r="T36" i="9"/>
  <c r="U36" i="9" s="1"/>
  <c r="Q34" i="9"/>
  <c r="R34" i="9" s="1"/>
  <c r="Q21" i="9"/>
  <c r="R21" i="9" s="1"/>
  <c r="T21" i="7"/>
  <c r="U21" i="7" s="1"/>
  <c r="G31" i="7"/>
  <c r="H31" i="7" s="1"/>
  <c r="X34" i="7"/>
  <c r="AC34" i="7" s="1"/>
  <c r="G27" i="7"/>
  <c r="H27" i="7" s="1"/>
  <c r="G25" i="7"/>
  <c r="H25" i="7" s="1"/>
  <c r="X32" i="7"/>
  <c r="T31" i="7"/>
  <c r="U31" i="7" s="1"/>
  <c r="X37" i="7"/>
  <c r="AC37" i="7" s="1"/>
  <c r="X29" i="7"/>
  <c r="AC29" i="7" s="1"/>
  <c r="T32" i="7"/>
  <c r="P32" i="10"/>
  <c r="P24" i="10"/>
  <c r="G31" i="10"/>
  <c r="H31" i="10" s="1"/>
  <c r="P36" i="10"/>
  <c r="Q36" i="10" s="1"/>
  <c r="L33" i="10"/>
  <c r="M33" i="10" s="1"/>
  <c r="L27" i="10"/>
  <c r="M27" i="10" s="1"/>
  <c r="L28" i="10"/>
  <c r="M28" i="10" s="1"/>
  <c r="L34" i="10"/>
  <c r="M34" i="10" s="1"/>
  <c r="L36" i="10"/>
  <c r="M36" i="10" s="1"/>
  <c r="L24" i="10"/>
  <c r="M24" i="10" s="1"/>
  <c r="V21" i="11"/>
  <c r="Y22" i="11"/>
  <c r="G32" i="11"/>
  <c r="H32" i="11" s="1"/>
  <c r="Y31" i="11"/>
  <c r="Z31" i="11" s="1"/>
  <c r="P24" i="11"/>
  <c r="Q29" i="11"/>
  <c r="L21" i="11"/>
  <c r="M21" i="11" s="1"/>
  <c r="P31" i="11"/>
  <c r="P21" i="11"/>
  <c r="L32" i="11"/>
  <c r="M32" i="11" s="1"/>
  <c r="O38" i="3"/>
  <c r="P38" i="3"/>
  <c r="P34" i="20"/>
  <c r="O34" i="20"/>
  <c r="O33" i="12"/>
  <c r="P33" i="12"/>
  <c r="S33" i="15"/>
  <c r="U33" i="15" s="1"/>
  <c r="P33" i="4"/>
  <c r="O33" i="4"/>
  <c r="R33" i="4" s="1"/>
  <c r="P37" i="6"/>
  <c r="D34" i="11"/>
  <c r="P36" i="7"/>
  <c r="Q36" i="7" s="1"/>
  <c r="R36" i="7" s="1"/>
  <c r="S38" i="7"/>
  <c r="P38" i="7"/>
  <c r="S30" i="9"/>
  <c r="P30" i="9"/>
  <c r="W27" i="9"/>
  <c r="P27" i="9"/>
  <c r="K31" i="10"/>
  <c r="O23" i="10"/>
  <c r="K23" i="10"/>
  <c r="L23" i="10" s="1"/>
  <c r="M23" i="10" s="1"/>
  <c r="X25" i="11"/>
  <c r="W29" i="7"/>
  <c r="S29" i="7"/>
  <c r="W37" i="7"/>
  <c r="Q37" i="7"/>
  <c r="R37" i="7" s="1"/>
  <c r="S37" i="7"/>
  <c r="Q22" i="6"/>
  <c r="R22" i="6" s="1"/>
  <c r="S22" i="6"/>
  <c r="O29" i="10"/>
  <c r="L29" i="10"/>
  <c r="M29" i="10" s="1"/>
  <c r="L25" i="10"/>
  <c r="M25" i="10" s="1"/>
  <c r="L35" i="10"/>
  <c r="M35" i="10" s="1"/>
  <c r="O35" i="10"/>
  <c r="Q29" i="7"/>
  <c r="R29" i="7" s="1"/>
  <c r="S25" i="7"/>
  <c r="W25" i="7"/>
  <c r="Q25" i="7"/>
  <c r="R25" i="7" s="1"/>
  <c r="Q30" i="19"/>
  <c r="R30" i="19" s="1"/>
  <c r="W30" i="19"/>
  <c r="S22" i="19"/>
  <c r="W22" i="19"/>
  <c r="W36" i="7"/>
  <c r="AB36" i="7" s="1"/>
  <c r="S36" i="7"/>
  <c r="AB27" i="6"/>
  <c r="Q26" i="9"/>
  <c r="R26" i="9" s="1"/>
  <c r="S26" i="9"/>
  <c r="Q24" i="9"/>
  <c r="R24" i="9" s="1"/>
  <c r="S24" i="9"/>
  <c r="Q33" i="6"/>
  <c r="R33" i="6" s="1"/>
  <c r="W33" i="6"/>
  <c r="AB27" i="19"/>
  <c r="X24" i="11"/>
  <c r="W24" i="9"/>
  <c r="O26" i="11"/>
  <c r="Q26" i="11" s="1"/>
  <c r="Q35" i="19"/>
  <c r="R35" i="19" s="1"/>
  <c r="Q27" i="19"/>
  <c r="R27" i="19" s="1"/>
  <c r="Q39" i="19"/>
  <c r="R39" i="19" s="1"/>
  <c r="S23" i="7"/>
  <c r="Q23" i="7"/>
  <c r="R23" i="7" s="1"/>
  <c r="S28" i="19"/>
  <c r="Q28" i="19"/>
  <c r="R28" i="19" s="1"/>
  <c r="S24" i="19"/>
  <c r="W24" i="19"/>
  <c r="L22" i="10"/>
  <c r="M22" i="10" s="1"/>
  <c r="S33" i="9"/>
  <c r="Q33" i="9"/>
  <c r="R33" i="9" s="1"/>
  <c r="W32" i="19"/>
  <c r="AB32" i="19" s="1"/>
  <c r="AD32" i="19" s="1"/>
  <c r="O22" i="10"/>
  <c r="W26" i="9"/>
  <c r="X26" i="11"/>
  <c r="S33" i="6"/>
  <c r="S39" i="19"/>
  <c r="S32" i="19"/>
  <c r="W25" i="6"/>
  <c r="Q23" i="9"/>
  <c r="R23" i="9" s="1"/>
  <c r="W23" i="9"/>
  <c r="Q35" i="6"/>
  <c r="R35" i="6" s="1"/>
  <c r="S35" i="6"/>
  <c r="X21" i="11"/>
  <c r="W21" i="9"/>
  <c r="W35" i="9"/>
  <c r="W33" i="9"/>
  <c r="O21" i="11"/>
  <c r="G24" i="11"/>
  <c r="H24" i="11" s="1"/>
  <c r="O24" i="11"/>
  <c r="W26" i="19"/>
  <c r="S31" i="6"/>
  <c r="W21" i="19"/>
  <c r="Q29" i="19"/>
  <c r="R29" i="19" s="1"/>
  <c r="AB33" i="7"/>
  <c r="Y21" i="4"/>
  <c r="L23" i="11"/>
  <c r="M23" i="11" s="1"/>
  <c r="W26" i="12"/>
  <c r="S26" i="12"/>
  <c r="G26" i="12"/>
  <c r="H26" i="12" s="1"/>
  <c r="W35" i="20"/>
  <c r="S35" i="20"/>
  <c r="U35" i="20" s="1"/>
  <c r="G32" i="10"/>
  <c r="H32" i="10" s="1"/>
  <c r="O32" i="10"/>
  <c r="G28" i="10"/>
  <c r="H28" i="10" s="1"/>
  <c r="O24" i="10"/>
  <c r="AB37" i="19"/>
  <c r="AB34" i="19"/>
  <c r="AB23" i="7"/>
  <c r="AB32" i="9"/>
  <c r="X32" i="11"/>
  <c r="Q32" i="4"/>
  <c r="S32" i="4"/>
  <c r="U32" i="4" s="1"/>
  <c r="L38" i="10"/>
  <c r="M38" i="10" s="1"/>
  <c r="W31" i="4"/>
  <c r="W29" i="12"/>
  <c r="S31" i="20"/>
  <c r="U31" i="20" s="1"/>
  <c r="W31" i="20"/>
  <c r="Q27" i="20"/>
  <c r="W27" i="20"/>
  <c r="S27" i="20"/>
  <c r="U27" i="20" s="1"/>
  <c r="S36" i="19"/>
  <c r="L36" i="19"/>
  <c r="S33" i="20"/>
  <c r="U33" i="20" s="1"/>
  <c r="W33" i="20"/>
  <c r="W23" i="3"/>
  <c r="S23" i="3"/>
  <c r="U23" i="3" s="1"/>
  <c r="S22" i="15"/>
  <c r="U22" i="15" s="1"/>
  <c r="W22" i="15"/>
  <c r="Q26" i="20"/>
  <c r="W26" i="20"/>
  <c r="S28" i="6"/>
  <c r="W28" i="6"/>
  <c r="AB32" i="15"/>
  <c r="W29" i="15"/>
  <c r="S29" i="15"/>
  <c r="U29" i="15" s="1"/>
  <c r="W34" i="12"/>
  <c r="W22" i="6"/>
  <c r="W22" i="12"/>
  <c r="S22" i="20"/>
  <c r="U22" i="20" s="1"/>
  <c r="O28" i="11"/>
  <c r="W31" i="15"/>
  <c r="W27" i="15"/>
  <c r="W34" i="7"/>
  <c r="S34" i="7"/>
  <c r="Q30" i="3"/>
  <c r="W30" i="3"/>
  <c r="S32" i="6"/>
  <c r="W32" i="6"/>
  <c r="O31" i="11"/>
  <c r="O22" i="11"/>
  <c r="Q22" i="11" s="1"/>
  <c r="S32" i="7"/>
  <c r="Z34" i="6" l="1"/>
  <c r="Q37" i="12"/>
  <c r="R37" i="12" s="1"/>
  <c r="T37" i="12"/>
  <c r="U37" i="12" s="1"/>
  <c r="X28" i="9"/>
  <c r="AD34" i="9"/>
  <c r="AD22" i="9"/>
  <c r="P35" i="7"/>
  <c r="S34" i="20"/>
  <c r="U34" i="20" s="1"/>
  <c r="R34" i="20"/>
  <c r="U24" i="12"/>
  <c r="Q26" i="10"/>
  <c r="U29" i="6"/>
  <c r="U27" i="6"/>
  <c r="U25" i="6"/>
  <c r="U36" i="6"/>
  <c r="Y35" i="15"/>
  <c r="Y28" i="7"/>
  <c r="P21" i="15"/>
  <c r="O21" i="15"/>
  <c r="W28" i="9"/>
  <c r="AB28" i="9" s="1"/>
  <c r="Z22" i="7"/>
  <c r="Y28" i="4"/>
  <c r="U24" i="7"/>
  <c r="AD32" i="12"/>
  <c r="AD27" i="12"/>
  <c r="U22" i="6"/>
  <c r="U29" i="9"/>
  <c r="Z29" i="9"/>
  <c r="Q32" i="11"/>
  <c r="S28" i="9"/>
  <c r="U28" i="9" s="1"/>
  <c r="Y35" i="4"/>
  <c r="Z21" i="9"/>
  <c r="Y36" i="12"/>
  <c r="AD27" i="7"/>
  <c r="Q30" i="11"/>
  <c r="Q34" i="10"/>
  <c r="AC22" i="7"/>
  <c r="AD22" i="7" s="1"/>
  <c r="U24" i="6"/>
  <c r="Y22" i="7"/>
  <c r="U30" i="6"/>
  <c r="Q27" i="11"/>
  <c r="Y32" i="3"/>
  <c r="W38" i="3"/>
  <c r="AB38" i="3" s="1"/>
  <c r="R38" i="3"/>
  <c r="Z32" i="3"/>
  <c r="U33" i="9"/>
  <c r="U23" i="9"/>
  <c r="U26" i="9"/>
  <c r="Z37" i="12"/>
  <c r="Y24" i="12"/>
  <c r="AC24" i="12"/>
  <c r="AD24" i="12" s="1"/>
  <c r="AC28" i="19"/>
  <c r="AD28" i="19" s="1"/>
  <c r="U21" i="12"/>
  <c r="AC36" i="12"/>
  <c r="AD36" i="12" s="1"/>
  <c r="AD34" i="19"/>
  <c r="Z35" i="3"/>
  <c r="U28" i="19"/>
  <c r="Z36" i="12"/>
  <c r="AD30" i="6"/>
  <c r="Z34" i="19"/>
  <c r="Z21" i="12"/>
  <c r="Y32" i="9"/>
  <c r="X33" i="15"/>
  <c r="Y33" i="15" s="1"/>
  <c r="Y30" i="20"/>
  <c r="Y32" i="11"/>
  <c r="Z32" i="11" s="1"/>
  <c r="Y35" i="3"/>
  <c r="Z22" i="3"/>
  <c r="Z28" i="3"/>
  <c r="Q33" i="15"/>
  <c r="Q22" i="10"/>
  <c r="AC37" i="12"/>
  <c r="AD37" i="12" s="1"/>
  <c r="Z27" i="7"/>
  <c r="U22" i="7"/>
  <c r="Z30" i="20"/>
  <c r="Z27" i="12"/>
  <c r="U29" i="7"/>
  <c r="U32" i="11"/>
  <c r="Y21" i="12"/>
  <c r="U24" i="11"/>
  <c r="Z25" i="9"/>
  <c r="Z34" i="4"/>
  <c r="Z22" i="4"/>
  <c r="Z31" i="3"/>
  <c r="Y34" i="4"/>
  <c r="Y31" i="3"/>
  <c r="Y21" i="9"/>
  <c r="Y22" i="4"/>
  <c r="Y22" i="3"/>
  <c r="Y28" i="15"/>
  <c r="AD28" i="4"/>
  <c r="Y25" i="4"/>
  <c r="AD26" i="4"/>
  <c r="Q38" i="7"/>
  <c r="R38" i="7" s="1"/>
  <c r="W34" i="20"/>
  <c r="AB34" i="20" s="1"/>
  <c r="AD37" i="19"/>
  <c r="U23" i="7"/>
  <c r="Z24" i="11"/>
  <c r="U35" i="6"/>
  <c r="AD31" i="6"/>
  <c r="Q37" i="10"/>
  <c r="Q32" i="10"/>
  <c r="V24" i="11"/>
  <c r="AD36" i="19"/>
  <c r="Y36" i="19"/>
  <c r="U33" i="7"/>
  <c r="Z21" i="7"/>
  <c r="AD21" i="7"/>
  <c r="U21" i="11"/>
  <c r="Z36" i="19"/>
  <c r="U30" i="7"/>
  <c r="U33" i="6"/>
  <c r="Y34" i="6"/>
  <c r="Q33" i="10"/>
  <c r="Y22" i="9"/>
  <c r="Z22" i="9"/>
  <c r="AD33" i="7"/>
  <c r="Y29" i="9"/>
  <c r="AD36" i="6"/>
  <c r="Z31" i="9"/>
  <c r="AC29" i="9"/>
  <c r="AD29" i="9" s="1"/>
  <c r="Z31" i="12"/>
  <c r="AC34" i="6"/>
  <c r="AD34" i="6" s="1"/>
  <c r="Z32" i="15"/>
  <c r="U34" i="12"/>
  <c r="U21" i="19"/>
  <c r="AD24" i="6"/>
  <c r="U26" i="7"/>
  <c r="U34" i="7"/>
  <c r="U24" i="9"/>
  <c r="Z24" i="4"/>
  <c r="Z34" i="9"/>
  <c r="U32" i="19"/>
  <c r="Q29" i="10"/>
  <c r="AC24" i="4"/>
  <c r="AD24" i="4" s="1"/>
  <c r="AD30" i="7"/>
  <c r="U32" i="9"/>
  <c r="Z25" i="19"/>
  <c r="U26" i="19"/>
  <c r="Z27" i="4"/>
  <c r="Y31" i="12"/>
  <c r="U23" i="6"/>
  <c r="Z28" i="11"/>
  <c r="Y23" i="7"/>
  <c r="Z26" i="11"/>
  <c r="U22" i="12"/>
  <c r="Y26" i="7"/>
  <c r="Y28" i="12"/>
  <c r="U35" i="9"/>
  <c r="Z21" i="6"/>
  <c r="Y26" i="6"/>
  <c r="U35" i="19"/>
  <c r="Y31" i="6"/>
  <c r="Y24" i="7"/>
  <c r="V28" i="11"/>
  <c r="Y23" i="6"/>
  <c r="S27" i="9"/>
  <c r="Z31" i="7"/>
  <c r="Q27" i="9"/>
  <c r="R27" i="9" s="1"/>
  <c r="U31" i="9"/>
  <c r="U28" i="11"/>
  <c r="U31" i="19"/>
  <c r="Y27" i="7"/>
  <c r="U21" i="9"/>
  <c r="Y21" i="7"/>
  <c r="U28" i="7"/>
  <c r="Z33" i="19"/>
  <c r="U30" i="11"/>
  <c r="U29" i="19"/>
  <c r="Y32" i="19"/>
  <c r="Z29" i="11"/>
  <c r="Z25" i="3"/>
  <c r="AD29" i="4"/>
  <c r="U30" i="19"/>
  <c r="Z30" i="7"/>
  <c r="AD29" i="6"/>
  <c r="Z21" i="4"/>
  <c r="Y24" i="3"/>
  <c r="U25" i="19"/>
  <c r="AD25" i="3"/>
  <c r="U33" i="19"/>
  <c r="Y25" i="19"/>
  <c r="Z25" i="12"/>
  <c r="Y25" i="3"/>
  <c r="Z29" i="4"/>
  <c r="U22" i="9"/>
  <c r="U27" i="7"/>
  <c r="AB25" i="9"/>
  <c r="AD25" i="9" s="1"/>
  <c r="AB25" i="19"/>
  <c r="AD25" i="19" s="1"/>
  <c r="AD25" i="20"/>
  <c r="AD24" i="3"/>
  <c r="U34" i="9"/>
  <c r="Z24" i="3"/>
  <c r="AB21" i="6"/>
  <c r="AD21" i="6" s="1"/>
  <c r="X30" i="11"/>
  <c r="Z30" i="11" s="1"/>
  <c r="U27" i="19"/>
  <c r="Y35" i="12"/>
  <c r="U32" i="12"/>
  <c r="Z26" i="6"/>
  <c r="Z31" i="6"/>
  <c r="Y32" i="12"/>
  <c r="AB21" i="9"/>
  <c r="AD21" i="9" s="1"/>
  <c r="AB22" i="3"/>
  <c r="AD22" i="3" s="1"/>
  <c r="Z30" i="6"/>
  <c r="AB26" i="7"/>
  <c r="AD26" i="7" s="1"/>
  <c r="Z26" i="7"/>
  <c r="Y23" i="12"/>
  <c r="Y24" i="20"/>
  <c r="Z28" i="20"/>
  <c r="Z32" i="12"/>
  <c r="U31" i="12"/>
  <c r="Z24" i="20"/>
  <c r="Y28" i="3"/>
  <c r="Y30" i="6"/>
  <c r="U36" i="12"/>
  <c r="Z24" i="6"/>
  <c r="AB28" i="12"/>
  <c r="AD24" i="20"/>
  <c r="S38" i="3"/>
  <c r="U38" i="3" s="1"/>
  <c r="AD32" i="4"/>
  <c r="U25" i="9"/>
  <c r="Z27" i="6"/>
  <c r="Z28" i="15"/>
  <c r="W38" i="7"/>
  <c r="AB38" i="7" s="1"/>
  <c r="U27" i="12"/>
  <c r="AD32" i="3"/>
  <c r="U37" i="19"/>
  <c r="AD24" i="15"/>
  <c r="Z37" i="19"/>
  <c r="Y37" i="19"/>
  <c r="Z33" i="7"/>
  <c r="Y31" i="7"/>
  <c r="Y33" i="7"/>
  <c r="AB25" i="4"/>
  <c r="AD25" i="4" s="1"/>
  <c r="U32" i="6"/>
  <c r="Z36" i="9"/>
  <c r="U34" i="6"/>
  <c r="AC27" i="6"/>
  <c r="AD27" i="6" s="1"/>
  <c r="AC26" i="6"/>
  <c r="AD26" i="6" s="1"/>
  <c r="AD27" i="4"/>
  <c r="Y29" i="4"/>
  <c r="Z27" i="3"/>
  <c r="Z36" i="3"/>
  <c r="Z25" i="4"/>
  <c r="AD27" i="3"/>
  <c r="Y27" i="3"/>
  <c r="Y24" i="6"/>
  <c r="AB28" i="3"/>
  <c r="AD28" i="3" s="1"/>
  <c r="U31" i="6"/>
  <c r="Z25" i="20"/>
  <c r="Z35" i="4"/>
  <c r="AC35" i="4"/>
  <c r="AD35" i="4" s="1"/>
  <c r="Y34" i="9"/>
  <c r="Y31" i="9"/>
  <c r="U28" i="6"/>
  <c r="AD32" i="9"/>
  <c r="Z30" i="12"/>
  <c r="U24" i="19"/>
  <c r="L25" i="11"/>
  <c r="M25" i="11" s="1"/>
  <c r="Q38" i="3"/>
  <c r="Y36" i="9"/>
  <c r="U23" i="12"/>
  <c r="AC25" i="12"/>
  <c r="AD25" i="12" s="1"/>
  <c r="Y25" i="12"/>
  <c r="Y27" i="4"/>
  <c r="AD32" i="20"/>
  <c r="Y21" i="6"/>
  <c r="Z25" i="15"/>
  <c r="U25" i="12"/>
  <c r="AD35" i="6"/>
  <c r="Y25" i="15"/>
  <c r="AD36" i="3"/>
  <c r="Y32" i="15"/>
  <c r="AD22" i="20"/>
  <c r="Z24" i="15"/>
  <c r="Y24" i="15"/>
  <c r="AD30" i="12"/>
  <c r="AD36" i="9"/>
  <c r="Z23" i="15"/>
  <c r="Y25" i="9"/>
  <c r="Z36" i="6"/>
  <c r="AC23" i="7"/>
  <c r="AD23" i="7" s="1"/>
  <c r="Y36" i="6"/>
  <c r="Y27" i="6"/>
  <c r="AD29" i="3"/>
  <c r="Y32" i="20"/>
  <c r="AC25" i="15"/>
  <c r="AD25" i="15" s="1"/>
  <c r="U30" i="12"/>
  <c r="Z22" i="20"/>
  <c r="AD35" i="19"/>
  <c r="Z35" i="6"/>
  <c r="Y29" i="6"/>
  <c r="Y22" i="20"/>
  <c r="U25" i="7"/>
  <c r="Y30" i="7"/>
  <c r="Z32" i="19"/>
  <c r="Y23" i="15"/>
  <c r="U26" i="12"/>
  <c r="Y27" i="12"/>
  <c r="Z29" i="6"/>
  <c r="U37" i="7"/>
  <c r="Q34" i="20"/>
  <c r="AC28" i="9"/>
  <c r="Y35" i="6"/>
  <c r="Z32" i="20"/>
  <c r="Y36" i="3"/>
  <c r="Q35" i="10"/>
  <c r="Q24" i="10"/>
  <c r="V31" i="11"/>
  <c r="U22" i="19"/>
  <c r="Z23" i="19"/>
  <c r="Z35" i="19"/>
  <c r="Y23" i="19"/>
  <c r="Y34" i="19"/>
  <c r="AD29" i="19"/>
  <c r="Z31" i="19"/>
  <c r="AC38" i="19"/>
  <c r="AD38" i="19" s="1"/>
  <c r="Y38" i="19"/>
  <c r="Z38" i="19"/>
  <c r="Y29" i="19"/>
  <c r="Y35" i="19"/>
  <c r="Z39" i="19"/>
  <c r="Z29" i="19"/>
  <c r="AC24" i="7"/>
  <c r="AD24" i="7" s="1"/>
  <c r="Z24" i="7"/>
  <c r="Z32" i="9"/>
  <c r="AC28" i="7"/>
  <c r="AD28" i="7" s="1"/>
  <c r="Z28" i="7"/>
  <c r="Y21" i="11"/>
  <c r="Z21" i="11" s="1"/>
  <c r="U29" i="11"/>
  <c r="V29" i="11"/>
  <c r="Q31" i="11"/>
  <c r="Q28" i="11"/>
  <c r="Q21" i="11"/>
  <c r="U31" i="11"/>
  <c r="AC21" i="3"/>
  <c r="AD21" i="3" s="1"/>
  <c r="Y21" i="3"/>
  <c r="Z21" i="3"/>
  <c r="Z37" i="3"/>
  <c r="Y37" i="3"/>
  <c r="AC37" i="3"/>
  <c r="AD37" i="3" s="1"/>
  <c r="U39" i="19"/>
  <c r="Z24" i="19"/>
  <c r="Y33" i="19"/>
  <c r="AC33" i="19"/>
  <c r="AD33" i="19" s="1"/>
  <c r="Y25" i="20"/>
  <c r="AC35" i="12"/>
  <c r="AD35" i="12" s="1"/>
  <c r="Z35" i="12"/>
  <c r="Z28" i="12"/>
  <c r="AC28" i="12"/>
  <c r="Y32" i="4"/>
  <c r="Z32" i="4"/>
  <c r="Y26" i="4"/>
  <c r="Z26" i="4"/>
  <c r="U32" i="7"/>
  <c r="U36" i="19"/>
  <c r="Y29" i="3"/>
  <c r="Y31" i="19"/>
  <c r="Y39" i="19"/>
  <c r="AC28" i="20"/>
  <c r="AD28" i="20" s="1"/>
  <c r="Y28" i="20"/>
  <c r="AD31" i="19"/>
  <c r="Y30" i="12"/>
  <c r="AC34" i="15"/>
  <c r="AD34" i="15" s="1"/>
  <c r="Y34" i="15"/>
  <c r="AD32" i="15"/>
  <c r="Z34" i="15"/>
  <c r="AC33" i="3"/>
  <c r="AD33" i="3" s="1"/>
  <c r="Y33" i="3"/>
  <c r="Z33" i="3"/>
  <c r="AC23" i="12"/>
  <c r="AD23" i="12" s="1"/>
  <c r="Z23" i="12"/>
  <c r="Z29" i="3"/>
  <c r="AC30" i="4"/>
  <c r="AD30" i="4" s="1"/>
  <c r="Y30" i="4"/>
  <c r="Z30" i="4"/>
  <c r="Y21" i="20"/>
  <c r="AC21" i="20"/>
  <c r="AD21" i="20" s="1"/>
  <c r="Z21" i="20"/>
  <c r="Z26" i="15"/>
  <c r="AC26" i="15"/>
  <c r="AD26" i="15" s="1"/>
  <c r="Y26" i="15"/>
  <c r="Z35" i="15"/>
  <c r="AC35" i="15"/>
  <c r="AD35" i="15" s="1"/>
  <c r="AC30" i="15"/>
  <c r="AD30" i="15" s="1"/>
  <c r="Y30" i="15"/>
  <c r="Z30" i="15"/>
  <c r="Y23" i="4"/>
  <c r="AC23" i="4"/>
  <c r="AD23" i="4" s="1"/>
  <c r="Z23" i="4"/>
  <c r="AC26" i="3"/>
  <c r="AD26" i="3" s="1"/>
  <c r="Z26" i="3"/>
  <c r="Y26" i="3"/>
  <c r="Y27" i="19"/>
  <c r="AC27" i="19"/>
  <c r="AD27" i="19" s="1"/>
  <c r="Z29" i="20"/>
  <c r="Y29" i="20"/>
  <c r="AC29" i="20"/>
  <c r="AD29" i="20" s="1"/>
  <c r="Z23" i="6"/>
  <c r="AC23" i="6"/>
  <c r="AD23" i="6" s="1"/>
  <c r="AD31" i="9"/>
  <c r="Z32" i="7"/>
  <c r="AC32" i="7"/>
  <c r="AD32" i="7" s="1"/>
  <c r="Y32" i="7"/>
  <c r="Q24" i="11"/>
  <c r="V22" i="11"/>
  <c r="X38" i="3"/>
  <c r="T38" i="3"/>
  <c r="X34" i="20"/>
  <c r="AC34" i="20" s="1"/>
  <c r="T34" i="20"/>
  <c r="T33" i="12"/>
  <c r="X33" i="12"/>
  <c r="Q33" i="12"/>
  <c r="R33" i="12" s="1"/>
  <c r="S33" i="12"/>
  <c r="W33" i="12"/>
  <c r="AB33" i="12" s="1"/>
  <c r="S33" i="4"/>
  <c r="U33" i="4" s="1"/>
  <c r="W33" i="4"/>
  <c r="AB33" i="4" s="1"/>
  <c r="Q33" i="4"/>
  <c r="X33" i="4"/>
  <c r="T33" i="4"/>
  <c r="S37" i="6"/>
  <c r="W37" i="6"/>
  <c r="AB37" i="6" s="1"/>
  <c r="Q37" i="6"/>
  <c r="R37" i="6" s="1"/>
  <c r="X37" i="6"/>
  <c r="T37" i="6"/>
  <c r="W30" i="9"/>
  <c r="AB30" i="9" s="1"/>
  <c r="T36" i="7"/>
  <c r="U36" i="7" s="1"/>
  <c r="X36" i="7"/>
  <c r="X38" i="7"/>
  <c r="AC38" i="7" s="1"/>
  <c r="T38" i="7"/>
  <c r="U38" i="7" s="1"/>
  <c r="X30" i="9"/>
  <c r="AC30" i="9" s="1"/>
  <c r="T30" i="9"/>
  <c r="U30" i="9" s="1"/>
  <c r="Q30" i="9"/>
  <c r="R30" i="9" s="1"/>
  <c r="X27" i="9"/>
  <c r="AC27" i="9" s="1"/>
  <c r="T27" i="9"/>
  <c r="L31" i="10"/>
  <c r="M31" i="10" s="1"/>
  <c r="P31" i="10"/>
  <c r="O31" i="10"/>
  <c r="P23" i="10"/>
  <c r="Q23" i="10" s="1"/>
  <c r="P25" i="11"/>
  <c r="AB26" i="9"/>
  <c r="AD26" i="9" s="1"/>
  <c r="Y26" i="9"/>
  <c r="Z26" i="9"/>
  <c r="Z29" i="7"/>
  <c r="AB29" i="7"/>
  <c r="AD29" i="7" s="1"/>
  <c r="Y29" i="7"/>
  <c r="AB23" i="9"/>
  <c r="AD23" i="9" s="1"/>
  <c r="Y23" i="9"/>
  <c r="Z23" i="9"/>
  <c r="AB33" i="6"/>
  <c r="AD33" i="6" s="1"/>
  <c r="Z33" i="6"/>
  <c r="Y33" i="6"/>
  <c r="X22" i="11"/>
  <c r="Z22" i="11" s="1"/>
  <c r="AB35" i="9"/>
  <c r="AD35" i="9" s="1"/>
  <c r="Y35" i="9"/>
  <c r="Z35" i="9"/>
  <c r="AB22" i="19"/>
  <c r="AD22" i="19" s="1"/>
  <c r="Y22" i="19"/>
  <c r="Z22" i="19"/>
  <c r="AB27" i="9"/>
  <c r="Y37" i="7"/>
  <c r="Z37" i="7"/>
  <c r="AB37" i="7"/>
  <c r="AD37" i="7" s="1"/>
  <c r="Y24" i="19"/>
  <c r="AB24" i="19"/>
  <c r="AD24" i="19" s="1"/>
  <c r="Z24" i="9"/>
  <c r="AB24" i="9"/>
  <c r="AD24" i="9" s="1"/>
  <c r="Y24" i="9"/>
  <c r="Y30" i="19"/>
  <c r="Z30" i="19"/>
  <c r="AB30" i="19"/>
  <c r="AD30" i="19" s="1"/>
  <c r="Z21" i="19"/>
  <c r="Y21" i="19"/>
  <c r="AB21" i="19"/>
  <c r="AD21" i="19" s="1"/>
  <c r="AB33" i="9"/>
  <c r="AD33" i="9" s="1"/>
  <c r="Y33" i="9"/>
  <c r="Z33" i="9"/>
  <c r="U22" i="11"/>
  <c r="AB26" i="19"/>
  <c r="AD26" i="19" s="1"/>
  <c r="Z26" i="19"/>
  <c r="Y26" i="19"/>
  <c r="AB25" i="6"/>
  <c r="AD25" i="6" s="1"/>
  <c r="Y25" i="6"/>
  <c r="Z25" i="6"/>
  <c r="V26" i="11"/>
  <c r="U26" i="11"/>
  <c r="Y25" i="7"/>
  <c r="AB25" i="7"/>
  <c r="AD25" i="7" s="1"/>
  <c r="Z25" i="7"/>
  <c r="AB26" i="20"/>
  <c r="AD26" i="20" s="1"/>
  <c r="Z26" i="20"/>
  <c r="Y26" i="20"/>
  <c r="AB33" i="20"/>
  <c r="AD33" i="20" s="1"/>
  <c r="Z33" i="20"/>
  <c r="Y33" i="20"/>
  <c r="AB31" i="20"/>
  <c r="AD31" i="20" s="1"/>
  <c r="Y31" i="20"/>
  <c r="Z31" i="20"/>
  <c r="Y34" i="7"/>
  <c r="AB34" i="7"/>
  <c r="AD34" i="7" s="1"/>
  <c r="Z34" i="7"/>
  <c r="AB22" i="12"/>
  <c r="AD22" i="12" s="1"/>
  <c r="Z22" i="12"/>
  <c r="Y22" i="12"/>
  <c r="Y34" i="12"/>
  <c r="AB34" i="12"/>
  <c r="AD34" i="12" s="1"/>
  <c r="Z34" i="12"/>
  <c r="Y32" i="6"/>
  <c r="Z32" i="6"/>
  <c r="AB32" i="6"/>
  <c r="AD32" i="6" s="1"/>
  <c r="AB30" i="3"/>
  <c r="AD30" i="3" s="1"/>
  <c r="Y30" i="3"/>
  <c r="Z30" i="3"/>
  <c r="AB27" i="15"/>
  <c r="AD27" i="15" s="1"/>
  <c r="Y27" i="15"/>
  <c r="Z27" i="15"/>
  <c r="AB22" i="6"/>
  <c r="AD22" i="6" s="1"/>
  <c r="Y22" i="6"/>
  <c r="Z22" i="6"/>
  <c r="AB28" i="6"/>
  <c r="AD28" i="6" s="1"/>
  <c r="Y28" i="6"/>
  <c r="Z28" i="6"/>
  <c r="Z22" i="15"/>
  <c r="AB22" i="15"/>
  <c r="AD22" i="15" s="1"/>
  <c r="Y22" i="15"/>
  <c r="X27" i="11"/>
  <c r="Z27" i="11" s="1"/>
  <c r="U27" i="11"/>
  <c r="V27" i="11"/>
  <c r="AB27" i="20"/>
  <c r="AD27" i="20" s="1"/>
  <c r="Y27" i="20"/>
  <c r="Z27" i="20"/>
  <c r="AB29" i="12"/>
  <c r="AD29" i="12" s="1"/>
  <c r="Z29" i="12"/>
  <c r="Y29" i="12"/>
  <c r="AB26" i="12"/>
  <c r="AD26" i="12" s="1"/>
  <c r="Y26" i="12"/>
  <c r="Z26" i="12"/>
  <c r="V23" i="11"/>
  <c r="X23" i="11"/>
  <c r="Z23" i="11" s="1"/>
  <c r="U23" i="11"/>
  <c r="AB31" i="15"/>
  <c r="AD31" i="15" s="1"/>
  <c r="Z31" i="15"/>
  <c r="Y31" i="15"/>
  <c r="AB29" i="15"/>
  <c r="AD29" i="15" s="1"/>
  <c r="Y29" i="15"/>
  <c r="Z29" i="15"/>
  <c r="AB23" i="3"/>
  <c r="AD23" i="3" s="1"/>
  <c r="Y23" i="3"/>
  <c r="Z23" i="3"/>
  <c r="AB31" i="4"/>
  <c r="AD31" i="4" s="1"/>
  <c r="Z31" i="4"/>
  <c r="Y31" i="4"/>
  <c r="AB35" i="20"/>
  <c r="AD35" i="20" s="1"/>
  <c r="Z35" i="20"/>
  <c r="Y35" i="20"/>
  <c r="R21" i="15" l="1"/>
  <c r="S21" i="15"/>
  <c r="U21" i="15" s="1"/>
  <c r="W21" i="15"/>
  <c r="AB21" i="15" s="1"/>
  <c r="AD28" i="9"/>
  <c r="Y28" i="9"/>
  <c r="T21" i="15"/>
  <c r="Q21" i="15"/>
  <c r="X21" i="15"/>
  <c r="Z28" i="9"/>
  <c r="Q35" i="7"/>
  <c r="R35" i="7" s="1"/>
  <c r="T35" i="7"/>
  <c r="X35" i="7"/>
  <c r="W35" i="7"/>
  <c r="AB35" i="7" s="1"/>
  <c r="S35" i="7"/>
  <c r="Z33" i="15"/>
  <c r="AC33" i="15"/>
  <c r="AD33" i="15" s="1"/>
  <c r="AD27" i="9"/>
  <c r="U27" i="9"/>
  <c r="U37" i="6"/>
  <c r="AD28" i="12"/>
  <c r="Y27" i="9"/>
  <c r="Q25" i="11"/>
  <c r="U33" i="12"/>
  <c r="Y38" i="7"/>
  <c r="Y34" i="20"/>
  <c r="AD30" i="9"/>
  <c r="AD38" i="7"/>
  <c r="Z38" i="7"/>
  <c r="Z38" i="3"/>
  <c r="AC38" i="3"/>
  <c r="AD38" i="3" s="1"/>
  <c r="Y38" i="3"/>
  <c r="Z34" i="20"/>
  <c r="AD34" i="20"/>
  <c r="AC33" i="12"/>
  <c r="AD33" i="12" s="1"/>
  <c r="Z33" i="12"/>
  <c r="Y33" i="12"/>
  <c r="AC33" i="4"/>
  <c r="AD33" i="4" s="1"/>
  <c r="Z33" i="4"/>
  <c r="Y33" i="4"/>
  <c r="Y37" i="6"/>
  <c r="AC37" i="6"/>
  <c r="AD37" i="6" s="1"/>
  <c r="Z37" i="6"/>
  <c r="Z27" i="9"/>
  <c r="Q31" i="10"/>
  <c r="AC36" i="7"/>
  <c r="AD36" i="7" s="1"/>
  <c r="Y36" i="7"/>
  <c r="Z36" i="7"/>
  <c r="Y30" i="9"/>
  <c r="Z30" i="9"/>
  <c r="Y25" i="11"/>
  <c r="Z25" i="11" s="1"/>
  <c r="V25" i="11"/>
  <c r="U25" i="11"/>
  <c r="AC21" i="15" l="1"/>
  <c r="Z21" i="15"/>
  <c r="Y21" i="15"/>
  <c r="AC35" i="7"/>
  <c r="AD35" i="7" s="1"/>
  <c r="Z35" i="7"/>
  <c r="Y35" i="7"/>
  <c r="U35" i="7"/>
  <c r="AD21" i="15"/>
</calcChain>
</file>

<file path=xl/comments1.xml><?xml version="1.0" encoding="utf-8"?>
<comments xmlns="http://schemas.openxmlformats.org/spreadsheetml/2006/main">
  <authors>
    <author>Siegler \ Judith \ L</author>
  </authors>
  <commentList>
    <comment ref="O21" authorId="0" shapeId="0">
      <text>
        <r>
          <rPr>
            <b/>
            <sz val="9"/>
            <color indexed="81"/>
            <rFont val="Tahoma"/>
            <family val="2"/>
          </rPr>
          <t>Siegler \ Judith \ L:</t>
        </r>
        <r>
          <rPr>
            <sz val="9"/>
            <color indexed="81"/>
            <rFont val="Tahoma"/>
            <family val="2"/>
          </rPr>
          <t xml:space="preserve">
0.0469 per tariff</t>
        </r>
      </text>
    </comment>
  </commentList>
</comments>
</file>

<file path=xl/sharedStrings.xml><?xml version="1.0" encoding="utf-8"?>
<sst xmlns="http://schemas.openxmlformats.org/spreadsheetml/2006/main" count="1736" uniqueCount="153">
  <si>
    <t xml:space="preserve">Case No. </t>
  </si>
  <si>
    <t>Witness:</t>
  </si>
  <si>
    <t>Input area:</t>
  </si>
  <si>
    <t>Current Rates</t>
  </si>
  <si>
    <t>Proposed Rates</t>
  </si>
  <si>
    <t>Current Rates - Block Size (MCF)</t>
  </si>
  <si>
    <t>Proposed Rates - Block Size (MCF)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</si>
  <si>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</si>
  <si>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</si>
  <si>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</si>
  <si>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</si>
  <si>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</si>
  <si>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</si>
  <si>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</si>
  <si>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</si>
  <si>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Demand</t>
  </si>
  <si>
    <t>Transportation Service</t>
  </si>
  <si>
    <t>GTR</t>
  </si>
  <si>
    <t xml:space="preserve">GTS Choice - Residential </t>
  </si>
  <si>
    <t>GTO</t>
  </si>
  <si>
    <t>GTS Choice - Commercial</t>
  </si>
  <si>
    <t>GTS Choice - Industrial</t>
  </si>
  <si>
    <t>GTS Interruptible Service - Commercial</t>
  </si>
  <si>
    <t>GTS Interruptible Service -  Industrial</t>
  </si>
  <si>
    <t>GTS Special Rate - Industrial</t>
  </si>
  <si>
    <t>GTS General Service - Commercial</t>
  </si>
  <si>
    <t>GTS General Service - Industrial</t>
  </si>
  <si>
    <t>DS3</t>
  </si>
  <si>
    <t>GTS Main Line Service - Industrial</t>
  </si>
  <si>
    <t>FX1</t>
  </si>
  <si>
    <t>GTS Flex Rate - Commercial</t>
  </si>
  <si>
    <t>FX2</t>
  </si>
  <si>
    <t>GTS Flex Rate - Industrial</t>
  </si>
  <si>
    <t>FX5</t>
  </si>
  <si>
    <t>SC3</t>
  </si>
  <si>
    <t>COLUMBIA GAS OF KENTUCKY, INC.</t>
  </si>
  <si>
    <t>TYPICAL BILL COMPARISON</t>
  </si>
  <si>
    <t>Schedule N</t>
  </si>
  <si>
    <t>Work Paper Reference No(s):</t>
  </si>
  <si>
    <t>Total</t>
  </si>
  <si>
    <t>Line</t>
  </si>
  <si>
    <t>Rate</t>
  </si>
  <si>
    <t>Level of</t>
  </si>
  <si>
    <t>Current</t>
  </si>
  <si>
    <t>Proposed</t>
  </si>
  <si>
    <t>Increase</t>
  </si>
  <si>
    <t>Percent</t>
  </si>
  <si>
    <t>No.</t>
  </si>
  <si>
    <t>Code</t>
  </si>
  <si>
    <t>Bill</t>
  </si>
  <si>
    <t>(D - C)</t>
  </si>
  <si>
    <t>(E/C)</t>
  </si>
  <si>
    <t>(MCF)</t>
  </si>
  <si>
    <t>($)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</si>
  <si>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</si>
  <si>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</si>
  <si>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</si>
  <si>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</si>
  <si>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</si>
  <si>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</si>
  <si>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</si>
  <si>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</si>
  <si>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</si>
  <si>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</si>
  <si>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</si>
  <si>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Not</t>
  </si>
  <si>
    <t>Residential</t>
  </si>
  <si>
    <t>Applicable</t>
  </si>
  <si>
    <t>Customer</t>
  </si>
  <si>
    <t>GTS</t>
  </si>
  <si>
    <t>Choice</t>
  </si>
  <si>
    <t>Monthly</t>
  </si>
  <si>
    <t>Transp</t>
  </si>
  <si>
    <t>Volume</t>
  </si>
  <si>
    <t>Charge</t>
  </si>
  <si>
    <t>Dollar</t>
  </si>
  <si>
    <t>(Decrease)</t>
  </si>
  <si>
    <t>Monthly Customer Charge</t>
  </si>
  <si>
    <t>Transportation Commodity Charge</t>
  </si>
  <si>
    <t>Commodity</t>
  </si>
  <si>
    <t>(H - G)</t>
  </si>
  <si>
    <t>(I/G)</t>
  </si>
  <si>
    <t>(K)</t>
  </si>
  <si>
    <t>(L)</t>
  </si>
  <si>
    <t>(M)</t>
  </si>
  <si>
    <t>EFFECT OF PROPOSED TRANSPORTATION SERVICE RATES</t>
  </si>
  <si>
    <t>Commercial</t>
  </si>
  <si>
    <t>and</t>
  </si>
  <si>
    <t>Industrial</t>
  </si>
  <si>
    <t>Interruptible</t>
  </si>
  <si>
    <t>Service</t>
  </si>
  <si>
    <t>Special</t>
  </si>
  <si>
    <t>General</t>
  </si>
  <si>
    <t>Main</t>
  </si>
  <si>
    <t>Flex</t>
  </si>
  <si>
    <t>Test Year</t>
  </si>
  <si>
    <t>Average</t>
  </si>
  <si>
    <t>Bills</t>
  </si>
  <si>
    <t xml:space="preserve">Average monthly bill = </t>
  </si>
  <si>
    <t>(Commercial)</t>
  </si>
  <si>
    <t>(Industrial)</t>
  </si>
  <si>
    <t>EAP</t>
  </si>
  <si>
    <t>R&amp;D</t>
  </si>
  <si>
    <t>Admin Chg</t>
  </si>
  <si>
    <t>FX7</t>
  </si>
  <si>
    <t>SAS</t>
  </si>
  <si>
    <t>GTS Special Agency Service</t>
  </si>
  <si>
    <t>Test year:</t>
  </si>
  <si>
    <t>MCF</t>
  </si>
  <si>
    <t>Administrative</t>
  </si>
  <si>
    <t>(N)</t>
  </si>
  <si>
    <t>(O)</t>
  </si>
  <si>
    <t>(P)</t>
  </si>
  <si>
    <t>(Q)</t>
  </si>
  <si>
    <t>(L - K)</t>
  </si>
  <si>
    <t>(M/K)</t>
  </si>
  <si>
    <t>(C + G + K)</t>
  </si>
  <si>
    <t>(D + H + L)</t>
  </si>
  <si>
    <t>(P - O)/O</t>
  </si>
  <si>
    <t>Monthly Administrative Charge</t>
  </si>
  <si>
    <t>Banking &amp; Bal.</t>
  </si>
  <si>
    <t>DS</t>
  </si>
  <si>
    <t>GDS</t>
  </si>
  <si>
    <t>Data: __  Base Period _X_ Forecasted Period</t>
  </si>
  <si>
    <t>Type of Filing: _X_ Original __ Update __Revised</t>
  </si>
  <si>
    <t xml:space="preserve"> </t>
  </si>
  <si>
    <t>AMRP</t>
  </si>
  <si>
    <t>EECP</t>
  </si>
  <si>
    <t>Page 15 of 25</t>
  </si>
  <si>
    <t>Page 16 of 25</t>
  </si>
  <si>
    <t>Page 17 of 25</t>
  </si>
  <si>
    <t>Page 18 of 25</t>
  </si>
  <si>
    <t>Page 19 of 25</t>
  </si>
  <si>
    <t>Page 20 of 25</t>
  </si>
  <si>
    <t>Page 21 of 25</t>
  </si>
  <si>
    <t>Page 22 of 25</t>
  </si>
  <si>
    <t>Page 23 of 25</t>
  </si>
  <si>
    <t>Page 24 of 25</t>
  </si>
  <si>
    <t>Page 25 of 25</t>
  </si>
  <si>
    <t>Gas</t>
  </si>
  <si>
    <t>(M - L)/L</t>
  </si>
  <si>
    <t>(D + H+ K)</t>
  </si>
  <si>
    <t>Cost*</t>
  </si>
  <si>
    <t>(I - K)/K</t>
  </si>
  <si>
    <t>Second Format</t>
  </si>
  <si>
    <t>* Gas supplied by marketers.</t>
  </si>
  <si>
    <t>Excl. Finals</t>
  </si>
  <si>
    <t>TWELVE MONTHS ENDING DECEMBER 31, 2022</t>
  </si>
  <si>
    <t>Witness: Judith L. Siegler</t>
  </si>
  <si>
    <t>CASE NO. 2021-00183</t>
  </si>
  <si>
    <t>Note: There are no customers currently on this rate.</t>
  </si>
  <si>
    <t>Note:  Customers electing Standby Service pay an additional $11.9517/Mcf per contracted volumes per month.  Standby rate is as of March 1, 2021.</t>
  </si>
  <si>
    <t>Tax Act Adj 11/27/19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</si>
</sst>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"/>
    <numFmt numFmtId="166" formatCode="_(* #,##0.0_);_(* \(#,##0.0\);_(* &quot;-&quot;??_);_(@_)"/>
    <numFmt numFmtId="167" formatCode="&quot;$&quot;#,##0"/>
    <numFmt numFmtId="168" formatCode="0.0%"/>
    <numFmt numFmtId="169" formatCode="&quot;$&quot;#,##0.0000_);\(&quot;$&quot;#,##0.0000\)"/>
    <numFmt numFmtId="170" formatCode="#,##0.0_);\(#,##0.0\)"/>
    <numFmt numFmtId="171" formatCode="0.0"/>
    <numFmt numFmtId="172" formatCode="#,##0.0"/>
    <numFmt numFmtId="173" formatCode="#,##0.0000"/>
    <numFmt numFmtId="174" formatCode="#,##0.0000_);\(#,##0.0000\)"/>
  </numFmts>
  <fonts count="19" x14ac:knownFonts="1">
    <font>
      <sz val="9"/>
      <name val="Helv"/>
    </font>
    <font>
      <sz val="10"/>
      <name val="Arial"/>
      <family val="2"/>
    </font>
    <font>
      <sz val="9"/>
      <name val="Helv"/>
    </font>
    <font>
      <sz val="9"/>
      <color indexed="20"/>
      <name val="Helv"/>
    </font>
    <font>
      <b/>
      <sz val="11"/>
      <name val="Helv"/>
    </font>
    <font>
      <sz val="10"/>
      <color indexed="2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4" fillId="0" borderId="0" applyFill="0" applyBorder="0" applyAlignment="0"/>
    <xf numFmtId="0" fontId="2" fillId="0" borderId="0" applyNumberFormat="0" applyFill="0" applyBorder="0" applyAlignment="0"/>
    <xf numFmtId="0" fontId="3" fillId="0" borderId="0" applyNumberFormat="0" applyFill="0" applyBorder="0" applyAlignment="0"/>
    <xf numFmtId="0" fontId="5" fillId="0" borderId="0" applyNumberFormat="0" applyFill="0" applyBorder="0" applyAlignment="0"/>
  </cellStyleXfs>
  <cellXfs count="95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quotePrefix="1" applyFont="1" applyFill="1"/>
    <xf numFmtId="0" fontId="7" fillId="0" borderId="0" xfId="0" applyFont="1"/>
    <xf numFmtId="0" fontId="8" fillId="0" borderId="0" xfId="0" applyFont="1" applyFill="1"/>
    <xf numFmtId="0" fontId="7" fillId="0" borderId="0" xfId="2" applyFont="1" applyFill="1"/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/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37" fontId="11" fillId="0" borderId="0" xfId="4" applyNumberFormat="1" applyFont="1" applyFill="1"/>
    <xf numFmtId="37" fontId="12" fillId="0" borderId="0" xfId="4" applyNumberFormat="1" applyFont="1" applyFill="1"/>
    <xf numFmtId="37" fontId="6" fillId="0" borderId="0" xfId="0" applyNumberFormat="1" applyFont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1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quotePrefix="1" applyFont="1" applyFill="1"/>
    <xf numFmtId="37" fontId="11" fillId="0" borderId="0" xfId="0" applyNumberFormat="1" applyFont="1" applyFill="1"/>
    <xf numFmtId="15" fontId="13" fillId="0" borderId="0" xfId="5" applyNumberFormat="1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  <xf numFmtId="0" fontId="7" fillId="3" borderId="0" xfId="0" applyFont="1" applyFill="1"/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37" fontId="6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164" fontId="11" fillId="0" borderId="0" xfId="3" applyNumberFormat="1" applyFont="1" applyFill="1"/>
    <xf numFmtId="2" fontId="11" fillId="0" borderId="0" xfId="3" applyNumberFormat="1" applyFont="1" applyFill="1"/>
    <xf numFmtId="39" fontId="11" fillId="0" borderId="0" xfId="3" applyNumberFormat="1" applyFont="1" applyFill="1"/>
    <xf numFmtId="164" fontId="6" fillId="0" borderId="0" xfId="3" applyNumberFormat="1" applyFont="1" applyFill="1"/>
    <xf numFmtId="164" fontId="6" fillId="0" borderId="0" xfId="0" applyNumberFormat="1" applyFont="1" applyFill="1"/>
    <xf numFmtId="169" fontId="11" fillId="0" borderId="0" xfId="3" applyNumberFormat="1" applyFont="1" applyFill="1"/>
    <xf numFmtId="37" fontId="11" fillId="3" borderId="0" xfId="4" applyNumberFormat="1" applyFont="1" applyFill="1"/>
    <xf numFmtId="0" fontId="9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1" fontId="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73" fontId="15" fillId="0" borderId="0" xfId="0" applyNumberFormat="1" applyFont="1"/>
    <xf numFmtId="173" fontId="15" fillId="0" borderId="0" xfId="0" applyNumberFormat="1" applyFont="1" applyFill="1"/>
    <xf numFmtId="173" fontId="1" fillId="0" borderId="0" xfId="0" applyNumberFormat="1" applyFont="1" applyFill="1"/>
    <xf numFmtId="174" fontId="16" fillId="0" borderId="0" xfId="5" applyNumberFormat="1" applyFont="1" applyFill="1"/>
    <xf numFmtId="174" fontId="11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</cellXfs>
  <cellStyles count="6">
    <cellStyle name="Comma" xfId="1" builtinId="3"/>
    <cellStyle name="Helv 11 Bold" xfId="2"/>
    <cellStyle name="Helv 9" xfId="3"/>
    <cellStyle name="Helv 9 Purple" xfId="4"/>
    <cellStyle name="Normal" xfId="0" builtinId="0"/>
    <cellStyle name="purp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S136"/>
  <sheetViews>
    <sheetView topLeftCell="A10" zoomScale="99" zoomScaleNormal="99" workbookViewId="0">
      <pane xSplit="1" ySplit="4" topLeftCell="B14" activePane="bottomRight" state="frozen"/>
      <selection activeCell="A10" sqref="A10"/>
      <selection pane="topRight" activeCell="B10" sqref="B10"/>
      <selection pane="bottomLeft" activeCell="A14" sqref="A14"/>
      <selection pane="bottomRight" activeCell="O21" sqref="O21"/>
    </sheetView>
  </sheetViews>
  <sheetFormatPr defaultColWidth="7.296875" defaultRowHeight="13" x14ac:dyDescent="0.3"/>
  <cols>
    <col min="1" max="1" width="12.8984375" style="1" customWidth="1"/>
    <col min="2" max="2" width="36.09765625" style="1" customWidth="1"/>
    <col min="3" max="3" width="12.8984375" style="1" customWidth="1"/>
    <col min="4" max="4" width="18.8984375" style="1" bestFit="1" customWidth="1"/>
    <col min="5" max="5" width="15.69921875" style="1" bestFit="1" customWidth="1"/>
    <col min="6" max="6" width="16.8984375" style="1" bestFit="1" customWidth="1"/>
    <col min="7" max="7" width="14.296875" style="1" bestFit="1" customWidth="1"/>
    <col min="8" max="8" width="13" style="1" bestFit="1" customWidth="1"/>
    <col min="9" max="9" width="14.69921875" style="1" bestFit="1" customWidth="1"/>
    <col min="10" max="12" width="14.69921875" style="1" customWidth="1"/>
    <col min="13" max="14" width="10.296875" style="1" customWidth="1"/>
    <col min="15" max="15" width="18.69921875" style="1" bestFit="1" customWidth="1"/>
    <col min="16" max="16" width="1.3984375" style="1" customWidth="1"/>
    <col min="17" max="17" width="14.3984375" style="1" customWidth="1"/>
    <col min="18" max="18" width="18.8984375" style="1" customWidth="1"/>
    <col min="19" max="19" width="15.69921875" style="1" customWidth="1"/>
    <col min="20" max="20" width="16.8984375" style="1" customWidth="1"/>
    <col min="21" max="21" width="14.296875" style="1" customWidth="1"/>
    <col min="22" max="22" width="13" style="1" customWidth="1"/>
    <col min="23" max="24" width="14.69921875" style="1" customWidth="1"/>
    <col min="25" max="26" width="10.296875" style="1" customWidth="1"/>
    <col min="27" max="27" width="19" style="1" bestFit="1" customWidth="1"/>
    <col min="28" max="28" width="2.8984375" style="1" customWidth="1"/>
    <col min="29" max="29" width="14.3984375" style="1" bestFit="1" customWidth="1"/>
    <col min="30" max="30" width="18.8984375" style="1" bestFit="1" customWidth="1"/>
    <col min="31" max="31" width="15.69921875" style="1" bestFit="1" customWidth="1"/>
    <col min="32" max="32" width="16.8984375" style="1" bestFit="1" customWidth="1"/>
    <col min="33" max="33" width="14.296875" style="1" bestFit="1" customWidth="1"/>
    <col min="34" max="34" width="9.8984375" style="1" customWidth="1"/>
    <col min="35" max="35" width="3" style="1" customWidth="1"/>
    <col min="36" max="36" width="14.3984375" style="1" bestFit="1" customWidth="1"/>
    <col min="37" max="37" width="18.8984375" style="1" bestFit="1" customWidth="1"/>
    <col min="38" max="38" width="15.69921875" style="1" bestFit="1" customWidth="1"/>
    <col min="39" max="39" width="16.8984375" style="1" bestFit="1" customWidth="1"/>
    <col min="40" max="40" width="14.296875" style="1" bestFit="1" customWidth="1"/>
    <col min="41" max="41" width="9.8984375" style="1" customWidth="1"/>
    <col min="42" max="42" width="1.8984375" style="1" customWidth="1"/>
    <col min="43" max="44" width="13.3984375" style="1" bestFit="1" customWidth="1"/>
    <col min="45" max="45" width="12" style="1" bestFit="1" customWidth="1"/>
    <col min="46" max="16384" width="7.296875" style="1"/>
  </cols>
  <sheetData>
    <row r="1" spans="1:45" x14ac:dyDescent="0.3">
      <c r="A1" s="2" t="s">
        <v>0</v>
      </c>
      <c r="B1" s="3" t="s">
        <v>149</v>
      </c>
      <c r="C1" s="4"/>
    </row>
    <row r="2" spans="1:45" x14ac:dyDescent="0.3">
      <c r="A2" s="2"/>
      <c r="B2" s="5"/>
      <c r="C2" s="2"/>
    </row>
    <row r="3" spans="1:45" x14ac:dyDescent="0.3">
      <c r="A3" s="2" t="s">
        <v>1</v>
      </c>
      <c r="B3" s="5" t="s">
        <v>148</v>
      </c>
      <c r="C3" s="4"/>
    </row>
    <row r="4" spans="1:45" x14ac:dyDescent="0.3">
      <c r="A4" s="2"/>
      <c r="B4" s="5"/>
      <c r="C4" s="4"/>
    </row>
    <row r="5" spans="1:45" ht="15" x14ac:dyDescent="0.3">
      <c r="A5" s="6" t="s">
        <v>107</v>
      </c>
      <c r="B5" s="45" t="s">
        <v>147</v>
      </c>
      <c r="C5" s="4"/>
    </row>
    <row r="6" spans="1:45" x14ac:dyDescent="0.3">
      <c r="A6" s="2"/>
      <c r="B6" s="2"/>
      <c r="C6" s="2"/>
    </row>
    <row r="7" spans="1:45" ht="12" customHeight="1" x14ac:dyDescent="0.3">
      <c r="A7" s="7"/>
      <c r="B7" s="8"/>
      <c r="C7" s="9"/>
    </row>
    <row r="8" spans="1:45" x14ac:dyDescent="0.3">
      <c r="A8" s="2"/>
      <c r="B8" s="2"/>
      <c r="C8" s="3"/>
    </row>
    <row r="9" spans="1:45" x14ac:dyDescent="0.3">
      <c r="A9" s="8"/>
      <c r="B9" s="8"/>
      <c r="C9" s="8"/>
      <c r="D9" s="8"/>
      <c r="E9" s="8"/>
      <c r="F9" s="8"/>
      <c r="G9" s="8"/>
    </row>
    <row r="10" spans="1:45" ht="12.9" customHeight="1" x14ac:dyDescent="0.3">
      <c r="A10" s="2" t="s">
        <v>2</v>
      </c>
      <c r="B10" s="2"/>
      <c r="C10" s="2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56"/>
      <c r="AB10" s="57"/>
      <c r="AI10" s="11"/>
    </row>
    <row r="11" spans="1:45" ht="12.9" customHeight="1" x14ac:dyDescent="0.3">
      <c r="A11" s="2"/>
      <c r="C11" s="88" t="s">
        <v>3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56"/>
      <c r="Q11" s="88" t="s">
        <v>4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57"/>
      <c r="AC11" s="88" t="s">
        <v>5</v>
      </c>
      <c r="AD11" s="88"/>
      <c r="AE11" s="88"/>
      <c r="AF11" s="88"/>
      <c r="AG11" s="88"/>
      <c r="AH11" s="88"/>
      <c r="AI11" s="10"/>
      <c r="AJ11" s="88" t="s">
        <v>6</v>
      </c>
      <c r="AK11" s="88"/>
      <c r="AL11" s="88"/>
      <c r="AM11" s="88"/>
      <c r="AN11" s="88"/>
      <c r="AO11" s="88"/>
      <c r="AP11" s="11"/>
      <c r="AQ11" s="13" t="s">
        <v>95</v>
      </c>
      <c r="AR11" s="13" t="s">
        <v>95</v>
      </c>
      <c r="AS11" s="13" t="s">
        <v>96</v>
      </c>
    </row>
    <row r="12" spans="1:45" ht="12.9" customHeight="1" x14ac:dyDescent="0.3">
      <c r="A12" s="2"/>
      <c r="B12" s="14" t="s">
        <v>16</v>
      </c>
      <c r="C12" s="12"/>
      <c r="D12" s="12"/>
      <c r="E12" s="12"/>
      <c r="F12" s="12"/>
      <c r="G12" s="12"/>
      <c r="H12" s="12"/>
      <c r="I12" s="12"/>
      <c r="J12" s="75"/>
      <c r="K12" s="12"/>
      <c r="L12" s="12"/>
      <c r="M12" s="12"/>
      <c r="N12" s="12"/>
      <c r="O12" s="12"/>
      <c r="P12" s="5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57"/>
      <c r="AC12" s="12"/>
      <c r="AD12" s="12"/>
      <c r="AE12" s="12"/>
      <c r="AF12" s="12"/>
      <c r="AG12" s="12"/>
      <c r="AH12" s="12"/>
      <c r="AI12" s="10"/>
      <c r="AJ12" s="12"/>
      <c r="AK12" s="12"/>
      <c r="AL12" s="12"/>
      <c r="AM12" s="12"/>
      <c r="AN12" s="12"/>
      <c r="AO12" s="12"/>
      <c r="AP12" s="11"/>
      <c r="AQ12" s="13" t="s">
        <v>146</v>
      </c>
      <c r="AR12" s="13"/>
      <c r="AS12" s="13"/>
    </row>
    <row r="13" spans="1:45" x14ac:dyDescent="0.3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6" t="s">
        <v>14</v>
      </c>
      <c r="I13" s="16" t="s">
        <v>103</v>
      </c>
      <c r="J13" s="77" t="s">
        <v>152</v>
      </c>
      <c r="K13" s="68" t="s">
        <v>126</v>
      </c>
      <c r="L13" s="16" t="s">
        <v>127</v>
      </c>
      <c r="M13" s="16" t="s">
        <v>101</v>
      </c>
      <c r="N13" s="16" t="s">
        <v>102</v>
      </c>
      <c r="O13" s="16" t="s">
        <v>120</v>
      </c>
      <c r="P13" s="57"/>
      <c r="Q13" s="16" t="s">
        <v>9</v>
      </c>
      <c r="R13" s="16" t="s">
        <v>10</v>
      </c>
      <c r="S13" s="16" t="s">
        <v>11</v>
      </c>
      <c r="T13" s="16" t="s">
        <v>12</v>
      </c>
      <c r="U13" s="16" t="s">
        <v>13</v>
      </c>
      <c r="V13" s="16" t="s">
        <v>14</v>
      </c>
      <c r="W13" s="16" t="s">
        <v>103</v>
      </c>
      <c r="X13" s="16" t="s">
        <v>127</v>
      </c>
      <c r="Y13" s="16" t="s">
        <v>101</v>
      </c>
      <c r="Z13" s="16" t="s">
        <v>102</v>
      </c>
      <c r="AA13" s="16" t="s">
        <v>120</v>
      </c>
      <c r="AB13" s="57"/>
      <c r="AC13" s="16" t="s">
        <v>9</v>
      </c>
      <c r="AD13" s="16" t="s">
        <v>10</v>
      </c>
      <c r="AE13" s="16" t="s">
        <v>11</v>
      </c>
      <c r="AF13" s="16" t="s">
        <v>12</v>
      </c>
      <c r="AG13" s="16" t="s">
        <v>13</v>
      </c>
      <c r="AI13" s="11"/>
      <c r="AJ13" s="16" t="s">
        <v>9</v>
      </c>
      <c r="AK13" s="16" t="s">
        <v>10</v>
      </c>
      <c r="AL13" s="16" t="s">
        <v>11</v>
      </c>
      <c r="AM13" s="16" t="s">
        <v>12</v>
      </c>
      <c r="AN13" s="16" t="s">
        <v>13</v>
      </c>
      <c r="AP13" s="11"/>
      <c r="AQ13" s="16" t="s">
        <v>97</v>
      </c>
      <c r="AR13" s="15" t="s">
        <v>108</v>
      </c>
      <c r="AS13" s="16" t="s">
        <v>49</v>
      </c>
    </row>
    <row r="14" spans="1:45" x14ac:dyDescent="0.3">
      <c r="A14" s="1" t="s">
        <v>17</v>
      </c>
      <c r="B14" s="1" t="s">
        <v>18</v>
      </c>
      <c r="C14" s="18">
        <v>3.5665</v>
      </c>
      <c r="D14" s="18"/>
      <c r="E14" s="19"/>
      <c r="F14" s="19"/>
      <c r="G14" s="20"/>
      <c r="H14" s="21">
        <v>16</v>
      </c>
      <c r="I14" s="21"/>
      <c r="J14" s="78">
        <v>-0.28249999999999997</v>
      </c>
      <c r="K14" s="21">
        <v>6.63</v>
      </c>
      <c r="L14" s="21">
        <v>0.28999999999999998</v>
      </c>
      <c r="M14" s="19">
        <v>0.3</v>
      </c>
      <c r="N14" s="19">
        <v>1.44E-2</v>
      </c>
      <c r="O14" s="19"/>
      <c r="P14" s="57"/>
      <c r="Q14" s="61">
        <v>4.2263000000000002</v>
      </c>
      <c r="R14" s="61"/>
      <c r="S14" s="61"/>
      <c r="T14" s="61"/>
      <c r="U14" s="61"/>
      <c r="V14" s="63">
        <v>29.2</v>
      </c>
      <c r="W14" s="63"/>
      <c r="X14" s="62">
        <v>0.28999999999999998</v>
      </c>
      <c r="Y14" s="19">
        <v>0.3</v>
      </c>
      <c r="Z14" s="19">
        <v>1.44E-2</v>
      </c>
      <c r="AA14" s="66"/>
      <c r="AB14" s="57"/>
      <c r="AC14" s="22" t="s">
        <v>125</v>
      </c>
      <c r="AD14" s="22"/>
      <c r="AE14" s="22"/>
      <c r="AF14" s="22"/>
      <c r="AG14" s="22"/>
      <c r="AH14" s="23"/>
      <c r="AI14" s="11"/>
      <c r="AJ14" s="22"/>
      <c r="AK14" s="22"/>
      <c r="AL14" s="22"/>
      <c r="AM14" s="22"/>
      <c r="AN14" s="22"/>
      <c r="AO14" s="22"/>
      <c r="AP14" s="11"/>
      <c r="AQ14" s="44">
        <v>165946</v>
      </c>
      <c r="AR14" s="44">
        <v>1022609.6999999998</v>
      </c>
      <c r="AS14" s="24">
        <f>+ROUND(AR14/AQ14,1)</f>
        <v>6.2</v>
      </c>
    </row>
    <row r="15" spans="1:45" x14ac:dyDescent="0.3">
      <c r="A15" s="1" t="s">
        <v>19</v>
      </c>
      <c r="B15" s="1" t="s">
        <v>20</v>
      </c>
      <c r="C15" s="18">
        <v>3.0181</v>
      </c>
      <c r="D15" s="18">
        <v>2.3294999999999999</v>
      </c>
      <c r="E15" s="19">
        <v>2.2143000000000002</v>
      </c>
      <c r="F15" s="19">
        <v>2.0143</v>
      </c>
      <c r="G15" s="19"/>
      <c r="H15" s="21">
        <v>44.69</v>
      </c>
      <c r="I15" s="21"/>
      <c r="J15" s="79">
        <v>-0.16800000000000001</v>
      </c>
      <c r="K15" s="21">
        <v>24.31</v>
      </c>
      <c r="L15" s="21"/>
      <c r="M15" s="19"/>
      <c r="N15" s="19">
        <v>1.44E-2</v>
      </c>
      <c r="O15" s="19"/>
      <c r="P15" s="57"/>
      <c r="Q15" s="61">
        <v>3.5621999999999998</v>
      </c>
      <c r="R15" s="61">
        <v>2.7494000000000001</v>
      </c>
      <c r="S15" s="61">
        <v>2.6135000000000002</v>
      </c>
      <c r="T15" s="61">
        <v>2.3782000000000001</v>
      </c>
      <c r="U15" s="61"/>
      <c r="V15" s="63">
        <v>87.149999999999991</v>
      </c>
      <c r="W15" s="63"/>
      <c r="X15" s="62"/>
      <c r="Y15" s="19"/>
      <c r="Z15" s="19">
        <v>1.44E-2</v>
      </c>
      <c r="AA15" s="66"/>
      <c r="AB15" s="57"/>
      <c r="AC15" s="22">
        <v>50</v>
      </c>
      <c r="AD15" s="22">
        <v>350</v>
      </c>
      <c r="AE15" s="22">
        <v>600</v>
      </c>
      <c r="AF15" s="22">
        <v>1000</v>
      </c>
      <c r="AG15" s="22" t="s">
        <v>125</v>
      </c>
      <c r="AH15" s="23"/>
      <c r="AI15" s="11"/>
      <c r="AJ15" s="22">
        <v>50</v>
      </c>
      <c r="AK15" s="22">
        <v>350</v>
      </c>
      <c r="AL15" s="22">
        <v>600</v>
      </c>
      <c r="AM15" s="22">
        <v>1000</v>
      </c>
      <c r="AN15" s="22"/>
      <c r="AO15" s="22"/>
      <c r="AP15" s="11"/>
      <c r="AQ15" s="44">
        <v>38204</v>
      </c>
      <c r="AR15" s="44">
        <v>1476267.6</v>
      </c>
      <c r="AS15" s="24">
        <f t="shared" ref="AS15:AS21" si="0">+ROUND(AR15/AQ15,1)</f>
        <v>38.6</v>
      </c>
    </row>
    <row r="16" spans="1:45" x14ac:dyDescent="0.3">
      <c r="A16" s="1" t="s">
        <v>19</v>
      </c>
      <c r="B16" s="1" t="s">
        <v>21</v>
      </c>
      <c r="C16" s="18">
        <v>3.0181</v>
      </c>
      <c r="D16" s="18">
        <v>2.3294999999999999</v>
      </c>
      <c r="E16" s="19">
        <v>2.2143000000000002</v>
      </c>
      <c r="F16" s="19">
        <v>2.0143</v>
      </c>
      <c r="G16" s="19"/>
      <c r="H16" s="21">
        <v>44.69</v>
      </c>
      <c r="I16" s="21"/>
      <c r="J16" s="80">
        <f>J15</f>
        <v>-0.16800000000000001</v>
      </c>
      <c r="K16" s="21">
        <v>24.31</v>
      </c>
      <c r="L16" s="21"/>
      <c r="M16" s="19"/>
      <c r="N16" s="19">
        <v>1.44E-2</v>
      </c>
      <c r="O16" s="19"/>
      <c r="P16" s="57"/>
      <c r="Q16" s="61">
        <v>3.5621999999999998</v>
      </c>
      <c r="R16" s="61">
        <v>2.7494000000000001</v>
      </c>
      <c r="S16" s="61">
        <v>2.6135000000000002</v>
      </c>
      <c r="T16" s="61">
        <v>2.3782000000000001</v>
      </c>
      <c r="U16" s="61"/>
      <c r="V16" s="63">
        <v>87.149999999999991</v>
      </c>
      <c r="W16" s="63"/>
      <c r="X16" s="62"/>
      <c r="Y16" s="19"/>
      <c r="Z16" s="19">
        <v>1.44E-2</v>
      </c>
      <c r="AA16" s="66"/>
      <c r="AB16" s="57"/>
      <c r="AC16" s="22">
        <v>50</v>
      </c>
      <c r="AD16" s="22">
        <v>350</v>
      </c>
      <c r="AE16" s="22">
        <v>600</v>
      </c>
      <c r="AF16" s="22">
        <v>1000</v>
      </c>
      <c r="AG16" s="22" t="s">
        <v>125</v>
      </c>
      <c r="AH16" s="23"/>
      <c r="AI16" s="11"/>
      <c r="AJ16" s="22">
        <v>50</v>
      </c>
      <c r="AK16" s="22">
        <v>350</v>
      </c>
      <c r="AL16" s="22">
        <v>600</v>
      </c>
      <c r="AM16" s="22">
        <v>1000</v>
      </c>
      <c r="AN16" s="22"/>
      <c r="AO16" s="22"/>
      <c r="AP16" s="11"/>
      <c r="AQ16" s="44">
        <v>144</v>
      </c>
      <c r="AR16" s="44">
        <v>45086.799999999996</v>
      </c>
      <c r="AS16" s="24">
        <f t="shared" si="0"/>
        <v>313.10000000000002</v>
      </c>
    </row>
    <row r="17" spans="1:45" ht="15.5" x14ac:dyDescent="0.35">
      <c r="A17" s="1" t="s">
        <v>121</v>
      </c>
      <c r="B17" s="1" t="s">
        <v>22</v>
      </c>
      <c r="C17" s="18">
        <v>0.62849999999999995</v>
      </c>
      <c r="D17" s="18">
        <v>0.37369999999999998</v>
      </c>
      <c r="E17" s="19">
        <v>0.32469999999999999</v>
      </c>
      <c r="F17" s="19"/>
      <c r="G17" s="19"/>
      <c r="H17" s="21">
        <v>2007</v>
      </c>
      <c r="I17" s="21">
        <v>0</v>
      </c>
      <c r="J17" s="81">
        <v>-2.5999999999999999E-2</v>
      </c>
      <c r="K17" s="21">
        <v>1221.21</v>
      </c>
      <c r="L17" s="21"/>
      <c r="M17" s="19"/>
      <c r="N17" s="19">
        <v>1.44E-2</v>
      </c>
      <c r="O17" s="19"/>
      <c r="P17" s="57"/>
      <c r="Q17" s="61">
        <v>0.77010000000000001</v>
      </c>
      <c r="R17" s="61">
        <v>0.45789999999999997</v>
      </c>
      <c r="S17" s="61">
        <v>0.39749999999999996</v>
      </c>
      <c r="T17" s="61"/>
      <c r="U17" s="61"/>
      <c r="V17" s="63">
        <v>4151</v>
      </c>
      <c r="W17" s="63">
        <v>0</v>
      </c>
      <c r="X17" s="62"/>
      <c r="Y17" s="19"/>
      <c r="Z17" s="19">
        <v>1.44E-2</v>
      </c>
      <c r="AA17" s="19"/>
      <c r="AB17" s="57"/>
      <c r="AC17" s="22">
        <v>30000</v>
      </c>
      <c r="AD17" s="67">
        <v>70000</v>
      </c>
      <c r="AE17" s="67">
        <v>100000</v>
      </c>
      <c r="AF17" s="22"/>
      <c r="AG17" s="22"/>
      <c r="AH17" s="23"/>
      <c r="AI17" s="11"/>
      <c r="AJ17" s="22">
        <v>30000</v>
      </c>
      <c r="AK17" s="67">
        <v>70000</v>
      </c>
      <c r="AL17" s="67">
        <v>100000</v>
      </c>
      <c r="AM17" s="22"/>
      <c r="AN17" s="22"/>
      <c r="AO17" s="22"/>
      <c r="AP17" s="11"/>
      <c r="AQ17" s="44">
        <v>336</v>
      </c>
      <c r="AR17" s="44">
        <v>2851457</v>
      </c>
      <c r="AS17" s="24">
        <f t="shared" si="0"/>
        <v>8486.5</v>
      </c>
    </row>
    <row r="18" spans="1:45" ht="15.5" x14ac:dyDescent="0.35">
      <c r="A18" s="1" t="s">
        <v>121</v>
      </c>
      <c r="B18" s="1" t="s">
        <v>23</v>
      </c>
      <c r="C18" s="18">
        <v>0.62849999999999995</v>
      </c>
      <c r="D18" s="18">
        <v>0.37369999999999998</v>
      </c>
      <c r="E18" s="19">
        <v>0.32469999999999999</v>
      </c>
      <c r="F18" s="19"/>
      <c r="G18" s="19"/>
      <c r="H18" s="21">
        <v>2007</v>
      </c>
      <c r="I18" s="21">
        <v>0</v>
      </c>
      <c r="J18" s="81">
        <v>-2.5999999999999999E-2</v>
      </c>
      <c r="K18" s="21">
        <v>1221.21</v>
      </c>
      <c r="L18" s="21"/>
      <c r="M18" s="19"/>
      <c r="N18" s="19">
        <v>1.44E-2</v>
      </c>
      <c r="O18" s="19"/>
      <c r="P18" s="57"/>
      <c r="Q18" s="61">
        <v>0.77010000000000001</v>
      </c>
      <c r="R18" s="61">
        <v>0.45789999999999997</v>
      </c>
      <c r="S18" s="61">
        <v>0.39749999999999996</v>
      </c>
      <c r="T18" s="61"/>
      <c r="U18" s="61"/>
      <c r="V18" s="63">
        <v>4151</v>
      </c>
      <c r="W18" s="63">
        <v>0</v>
      </c>
      <c r="X18" s="62"/>
      <c r="Y18" s="19"/>
      <c r="Z18" s="19">
        <v>1.44E-2</v>
      </c>
      <c r="AA18" s="19"/>
      <c r="AB18" s="57"/>
      <c r="AC18" s="22">
        <v>30000</v>
      </c>
      <c r="AD18" s="67">
        <v>70000</v>
      </c>
      <c r="AE18" s="67">
        <v>100000</v>
      </c>
      <c r="AF18" s="22"/>
      <c r="AG18" s="22"/>
      <c r="AH18" s="23"/>
      <c r="AI18" s="11"/>
      <c r="AJ18" s="22">
        <v>30000</v>
      </c>
      <c r="AK18" s="67">
        <v>70000</v>
      </c>
      <c r="AL18" s="67">
        <v>100000</v>
      </c>
      <c r="AM18" s="22"/>
      <c r="AN18" s="22"/>
      <c r="AO18" s="22"/>
      <c r="AP18" s="11"/>
      <c r="AQ18" s="44">
        <v>492</v>
      </c>
      <c r="AR18" s="44">
        <v>5839895.8000000007</v>
      </c>
      <c r="AS18" s="24">
        <f t="shared" si="0"/>
        <v>11869.7</v>
      </c>
    </row>
    <row r="19" spans="1:45" x14ac:dyDescent="0.3">
      <c r="A19" s="1" t="s">
        <v>122</v>
      </c>
      <c r="B19" s="1" t="s">
        <v>25</v>
      </c>
      <c r="C19" s="18">
        <v>3.0181</v>
      </c>
      <c r="D19" s="18">
        <v>2.3294999999999999</v>
      </c>
      <c r="E19" s="19">
        <v>2.2143000000000002</v>
      </c>
      <c r="F19" s="19">
        <v>2.0143</v>
      </c>
      <c r="G19" s="19"/>
      <c r="H19" s="21">
        <v>44.69</v>
      </c>
      <c r="I19" s="21">
        <v>0</v>
      </c>
      <c r="J19" s="82">
        <v>-0.16800000000000001</v>
      </c>
      <c r="K19" s="21">
        <v>24.31</v>
      </c>
      <c r="L19" s="21"/>
      <c r="M19" s="19"/>
      <c r="N19" s="19">
        <v>1.44E-2</v>
      </c>
      <c r="O19" s="19"/>
      <c r="P19" s="57"/>
      <c r="Q19" s="61">
        <v>3.5621999999999998</v>
      </c>
      <c r="R19" s="61">
        <v>2.7494000000000001</v>
      </c>
      <c r="S19" s="61">
        <v>2.6135000000000002</v>
      </c>
      <c r="T19" s="61">
        <v>2.3782000000000001</v>
      </c>
      <c r="U19" s="61"/>
      <c r="V19" s="63">
        <v>87.149999999999991</v>
      </c>
      <c r="W19" s="63">
        <v>0</v>
      </c>
      <c r="X19" s="62"/>
      <c r="Y19" s="19"/>
      <c r="Z19" s="19">
        <v>1.44E-2</v>
      </c>
      <c r="AA19" s="19"/>
      <c r="AB19" s="57"/>
      <c r="AC19" s="22">
        <v>50</v>
      </c>
      <c r="AD19" s="22">
        <v>350</v>
      </c>
      <c r="AE19" s="22">
        <v>600</v>
      </c>
      <c r="AF19" s="22">
        <v>1000</v>
      </c>
      <c r="AG19" s="22"/>
      <c r="AH19" s="23"/>
      <c r="AI19" s="11"/>
      <c r="AJ19" s="22">
        <v>50</v>
      </c>
      <c r="AK19" s="22">
        <v>350</v>
      </c>
      <c r="AL19" s="22">
        <v>600</v>
      </c>
      <c r="AM19" s="22">
        <v>1000</v>
      </c>
      <c r="AN19" s="22"/>
      <c r="AO19" s="22"/>
      <c r="AP19" s="11"/>
      <c r="AQ19" s="44">
        <v>156</v>
      </c>
      <c r="AR19" s="44">
        <v>380827.49999999988</v>
      </c>
      <c r="AS19" s="24">
        <f t="shared" si="0"/>
        <v>2441.1999999999998</v>
      </c>
    </row>
    <row r="20" spans="1:45" x14ac:dyDescent="0.3">
      <c r="A20" s="1" t="s">
        <v>122</v>
      </c>
      <c r="B20" s="1" t="s">
        <v>26</v>
      </c>
      <c r="C20" s="18">
        <v>3.0181</v>
      </c>
      <c r="D20" s="18">
        <v>2.3294999999999999</v>
      </c>
      <c r="E20" s="19">
        <v>2.2143000000000002</v>
      </c>
      <c r="F20" s="19">
        <v>2.0143</v>
      </c>
      <c r="G20" s="19"/>
      <c r="H20" s="21">
        <v>44.69</v>
      </c>
      <c r="I20" s="21">
        <v>0</v>
      </c>
      <c r="J20" s="82">
        <v>-0.16800000000000001</v>
      </c>
      <c r="K20" s="21">
        <v>24.31</v>
      </c>
      <c r="L20" s="21"/>
      <c r="M20" s="19"/>
      <c r="N20" s="19">
        <v>1.44E-2</v>
      </c>
      <c r="O20" s="19"/>
      <c r="P20" s="57"/>
      <c r="Q20" s="61">
        <v>3.5621999999999998</v>
      </c>
      <c r="R20" s="61">
        <v>2.7494000000000001</v>
      </c>
      <c r="S20" s="61">
        <v>2.6135000000000002</v>
      </c>
      <c r="T20" s="61">
        <v>2.3782000000000001</v>
      </c>
      <c r="U20" s="61"/>
      <c r="V20" s="63">
        <v>87.149999999999991</v>
      </c>
      <c r="W20" s="63">
        <v>0</v>
      </c>
      <c r="X20" s="62"/>
      <c r="Y20" s="19"/>
      <c r="Z20" s="19">
        <v>1.44E-2</v>
      </c>
      <c r="AA20" s="19"/>
      <c r="AB20" s="57"/>
      <c r="AC20" s="22">
        <v>50</v>
      </c>
      <c r="AD20" s="22">
        <v>350</v>
      </c>
      <c r="AE20" s="22">
        <v>600</v>
      </c>
      <c r="AF20" s="22">
        <v>1000</v>
      </c>
      <c r="AG20" s="22"/>
      <c r="AH20" s="23"/>
      <c r="AI20" s="11"/>
      <c r="AJ20" s="22">
        <v>50</v>
      </c>
      <c r="AK20" s="22">
        <v>350</v>
      </c>
      <c r="AL20" s="22">
        <v>600</v>
      </c>
      <c r="AM20" s="22">
        <v>1000</v>
      </c>
      <c r="AN20" s="22"/>
      <c r="AO20" s="22"/>
      <c r="AP20" s="11"/>
      <c r="AQ20" s="44">
        <v>84</v>
      </c>
      <c r="AR20" s="44">
        <v>67061.8</v>
      </c>
      <c r="AS20" s="24">
        <f t="shared" si="0"/>
        <v>798.4</v>
      </c>
    </row>
    <row r="21" spans="1:45" x14ac:dyDescent="0.3">
      <c r="A21" s="1" t="s">
        <v>27</v>
      </c>
      <c r="B21" s="1" t="s">
        <v>28</v>
      </c>
      <c r="C21" s="18">
        <v>8.5800000000000001E-2</v>
      </c>
      <c r="D21" s="18"/>
      <c r="E21" s="19"/>
      <c r="F21" s="19"/>
      <c r="G21" s="19"/>
      <c r="H21" s="21">
        <v>255.9</v>
      </c>
      <c r="I21" s="21">
        <v>0</v>
      </c>
      <c r="J21" s="21"/>
      <c r="K21" s="21"/>
      <c r="L21" s="21"/>
      <c r="M21" s="19"/>
      <c r="N21" s="19">
        <v>1.44E-2</v>
      </c>
      <c r="O21" s="19"/>
      <c r="P21" s="57"/>
      <c r="Q21" s="61">
        <v>9.4600000000000004E-2</v>
      </c>
      <c r="R21" s="64"/>
      <c r="S21" s="65"/>
      <c r="T21" s="61"/>
      <c r="U21" s="61"/>
      <c r="V21" s="63">
        <v>282.2</v>
      </c>
      <c r="W21" s="63">
        <v>0</v>
      </c>
      <c r="X21" s="62"/>
      <c r="Y21" s="19"/>
      <c r="Z21" s="19">
        <v>1.44E-2</v>
      </c>
      <c r="AA21" s="19"/>
      <c r="AB21" s="57"/>
      <c r="AC21" s="22"/>
      <c r="AD21" s="22"/>
      <c r="AE21" s="22"/>
      <c r="AF21" s="22"/>
      <c r="AG21" s="22"/>
      <c r="AH21" s="23"/>
      <c r="AI21" s="11"/>
      <c r="AJ21" s="22"/>
      <c r="AK21" s="22"/>
      <c r="AL21" s="22"/>
      <c r="AM21" s="22"/>
      <c r="AN21" s="22"/>
      <c r="AO21" s="22"/>
      <c r="AP21" s="11"/>
      <c r="AQ21" s="44">
        <v>36</v>
      </c>
      <c r="AR21" s="44">
        <v>602100</v>
      </c>
      <c r="AS21" s="24">
        <f t="shared" si="0"/>
        <v>16725</v>
      </c>
    </row>
    <row r="22" spans="1:45" x14ac:dyDescent="0.3">
      <c r="A22" s="1" t="s">
        <v>29</v>
      </c>
      <c r="B22" s="1" t="s">
        <v>30</v>
      </c>
      <c r="C22" s="18">
        <v>0</v>
      </c>
      <c r="D22" s="18"/>
      <c r="E22" s="19"/>
      <c r="F22" s="19"/>
      <c r="G22" s="19"/>
      <c r="H22" s="21">
        <v>0</v>
      </c>
      <c r="I22" s="21">
        <v>0</v>
      </c>
      <c r="J22" s="21"/>
      <c r="K22" s="21"/>
      <c r="L22" s="21"/>
      <c r="M22" s="19"/>
      <c r="N22" s="19"/>
      <c r="O22" s="19"/>
      <c r="P22" s="57"/>
      <c r="Q22" s="18">
        <v>0</v>
      </c>
      <c r="R22" s="18"/>
      <c r="S22" s="61"/>
      <c r="T22" s="61"/>
      <c r="U22" s="61"/>
      <c r="V22" s="63">
        <v>0</v>
      </c>
      <c r="W22" s="63">
        <v>0</v>
      </c>
      <c r="X22" s="62"/>
      <c r="Y22" s="64"/>
      <c r="Z22" s="19"/>
      <c r="AA22" s="19"/>
      <c r="AB22" s="57"/>
      <c r="AC22" s="22"/>
      <c r="AD22" s="22"/>
      <c r="AE22" s="22"/>
      <c r="AF22" s="22"/>
      <c r="AG22" s="22"/>
      <c r="AH22" s="23"/>
      <c r="AI22" s="11"/>
      <c r="AJ22" s="22"/>
      <c r="AK22" s="22"/>
      <c r="AL22" s="22"/>
      <c r="AM22" s="22"/>
      <c r="AN22" s="22"/>
      <c r="AO22" s="22"/>
      <c r="AP22" s="11"/>
      <c r="AQ22" s="44">
        <v>0</v>
      </c>
      <c r="AR22" s="44">
        <v>0</v>
      </c>
      <c r="AS22" s="24">
        <f>+IF(AQ22=0,0,ROUND(AR22/AQ22,2))</f>
        <v>0</v>
      </c>
    </row>
    <row r="23" spans="1:45" x14ac:dyDescent="0.3">
      <c r="A23" s="1" t="s">
        <v>31</v>
      </c>
      <c r="B23" s="1" t="s">
        <v>32</v>
      </c>
      <c r="C23" s="18">
        <v>0</v>
      </c>
      <c r="D23" s="18"/>
      <c r="E23" s="19"/>
      <c r="F23" s="19"/>
      <c r="G23" s="19"/>
      <c r="H23" s="21">
        <v>0</v>
      </c>
      <c r="I23" s="21">
        <v>0</v>
      </c>
      <c r="J23" s="21"/>
      <c r="K23" s="21"/>
      <c r="L23" s="21"/>
      <c r="M23" s="19"/>
      <c r="N23" s="19"/>
      <c r="O23" s="19"/>
      <c r="P23" s="57"/>
      <c r="Q23" s="18">
        <v>0</v>
      </c>
      <c r="R23" s="18"/>
      <c r="S23" s="61"/>
      <c r="T23" s="61"/>
      <c r="U23" s="61"/>
      <c r="V23" s="63">
        <v>0</v>
      </c>
      <c r="W23" s="63">
        <v>0</v>
      </c>
      <c r="X23" s="62"/>
      <c r="Y23" s="64"/>
      <c r="Z23" s="19"/>
      <c r="AA23" s="19"/>
      <c r="AB23" s="57"/>
      <c r="AC23" s="22"/>
      <c r="AD23" s="22"/>
      <c r="AE23" s="22"/>
      <c r="AF23" s="22"/>
      <c r="AG23" s="22"/>
      <c r="AH23" s="23"/>
      <c r="AI23" s="11"/>
      <c r="AJ23" s="22"/>
      <c r="AK23" s="22"/>
      <c r="AL23" s="22"/>
      <c r="AM23" s="22"/>
      <c r="AN23" s="22"/>
      <c r="AO23" s="22"/>
      <c r="AP23" s="11"/>
      <c r="AQ23" s="44">
        <v>0</v>
      </c>
      <c r="AR23" s="44">
        <v>0</v>
      </c>
      <c r="AS23" s="24">
        <f>+IF(AQ23=0,0,ROUND(AR23/AQ23,2))</f>
        <v>0</v>
      </c>
    </row>
    <row r="24" spans="1:45" x14ac:dyDescent="0.3">
      <c r="A24" s="1" t="s">
        <v>33</v>
      </c>
      <c r="B24" s="1" t="s">
        <v>32</v>
      </c>
      <c r="C24" s="18">
        <v>8.5800000000000001E-2</v>
      </c>
      <c r="D24" s="18"/>
      <c r="E24" s="19"/>
      <c r="F24" s="19"/>
      <c r="G24" s="19"/>
      <c r="H24" s="21">
        <v>255.9</v>
      </c>
      <c r="I24" s="21">
        <v>0</v>
      </c>
      <c r="J24" s="21"/>
      <c r="K24" s="21"/>
      <c r="L24" s="21"/>
      <c r="M24" s="19"/>
      <c r="N24" s="19"/>
      <c r="O24" s="19"/>
      <c r="P24" s="57"/>
      <c r="Q24" s="18">
        <v>8.5800000000000001E-2</v>
      </c>
      <c r="R24" s="18"/>
      <c r="S24" s="61"/>
      <c r="T24" s="61"/>
      <c r="U24" s="61"/>
      <c r="V24" s="63">
        <v>255.9</v>
      </c>
      <c r="W24" s="63">
        <v>0</v>
      </c>
      <c r="X24" s="62"/>
      <c r="Y24" s="64"/>
      <c r="Z24" s="19"/>
      <c r="AA24" s="19"/>
      <c r="AB24" s="57"/>
      <c r="AC24" s="22"/>
      <c r="AD24" s="22"/>
      <c r="AE24" s="22"/>
      <c r="AF24" s="22"/>
      <c r="AG24" s="22"/>
      <c r="AH24" s="23"/>
      <c r="AI24" s="11"/>
      <c r="AJ24" s="22"/>
      <c r="AK24" s="22"/>
      <c r="AL24" s="22"/>
      <c r="AM24" s="22"/>
      <c r="AN24" s="22"/>
      <c r="AO24" s="22"/>
      <c r="AP24" s="11"/>
      <c r="AQ24" s="44">
        <v>36</v>
      </c>
      <c r="AR24" s="44">
        <v>6711500</v>
      </c>
      <c r="AS24" s="24">
        <f t="shared" ref="AS24" si="1">+ROUND(AR24/AQ24,1)</f>
        <v>186430.6</v>
      </c>
    </row>
    <row r="25" spans="1:45" ht="12" customHeight="1" x14ac:dyDescent="0.3">
      <c r="A25" s="1" t="s">
        <v>104</v>
      </c>
      <c r="B25" s="1" t="s">
        <v>32</v>
      </c>
      <c r="C25" s="18">
        <v>0</v>
      </c>
      <c r="D25" s="18">
        <v>0</v>
      </c>
      <c r="E25" s="19"/>
      <c r="F25" s="19"/>
      <c r="G25" s="19"/>
      <c r="H25" s="21">
        <v>0</v>
      </c>
      <c r="I25" s="21">
        <v>0</v>
      </c>
      <c r="J25" s="21"/>
      <c r="K25" s="21"/>
      <c r="L25" s="21"/>
      <c r="M25" s="19"/>
      <c r="N25" s="19"/>
      <c r="O25" s="19"/>
      <c r="P25" s="57"/>
      <c r="Q25" s="18">
        <v>0</v>
      </c>
      <c r="R25" s="18">
        <v>0</v>
      </c>
      <c r="S25" s="61"/>
      <c r="T25" s="61"/>
      <c r="U25" s="61"/>
      <c r="V25" s="63">
        <v>0</v>
      </c>
      <c r="W25" s="63">
        <v>0</v>
      </c>
      <c r="X25" s="62"/>
      <c r="Y25" s="61"/>
      <c r="Z25" s="19"/>
      <c r="AA25" s="66"/>
      <c r="AB25" s="57"/>
      <c r="AC25" s="22">
        <v>25000</v>
      </c>
      <c r="AD25" s="22"/>
      <c r="AE25" s="22"/>
      <c r="AF25" s="22"/>
      <c r="AG25" s="22"/>
      <c r="AH25" s="23"/>
      <c r="AI25" s="11"/>
      <c r="AJ25" s="22">
        <v>25000</v>
      </c>
      <c r="AK25" s="22"/>
      <c r="AL25" s="22"/>
      <c r="AM25" s="22"/>
      <c r="AN25" s="22"/>
      <c r="AO25" s="22"/>
      <c r="AP25" s="11"/>
      <c r="AQ25" s="44">
        <v>0</v>
      </c>
      <c r="AR25" s="44">
        <v>0</v>
      </c>
      <c r="AS25" s="24">
        <f t="shared" ref="AS25:AS27" si="2">+IF(AQ25=0,0,ROUND(AR25/AQ25,2))</f>
        <v>0</v>
      </c>
    </row>
    <row r="26" spans="1:45" x14ac:dyDescent="0.3">
      <c r="A26" s="1" t="s">
        <v>105</v>
      </c>
      <c r="B26" s="1" t="s">
        <v>106</v>
      </c>
      <c r="C26" s="18">
        <v>0.62849999999999995</v>
      </c>
      <c r="D26" s="18">
        <v>0.37369999999999998</v>
      </c>
      <c r="E26" s="19">
        <v>0.32469999999999999</v>
      </c>
      <c r="F26" s="19"/>
      <c r="G26" s="19"/>
      <c r="H26" s="21">
        <v>2007</v>
      </c>
      <c r="I26" s="21">
        <v>0</v>
      </c>
      <c r="J26" s="21"/>
      <c r="K26" s="21">
        <v>1221.21</v>
      </c>
      <c r="L26" s="21"/>
      <c r="M26" s="19"/>
      <c r="N26" s="19">
        <v>1.44E-2</v>
      </c>
      <c r="O26" s="19"/>
      <c r="P26" s="57"/>
      <c r="Q26" s="18">
        <v>0.77010000000000001</v>
      </c>
      <c r="R26" s="18">
        <v>0.45789999999999997</v>
      </c>
      <c r="S26" s="61"/>
      <c r="T26" s="61"/>
      <c r="U26" s="61"/>
      <c r="V26" s="63">
        <v>4151</v>
      </c>
      <c r="W26" s="63">
        <v>0</v>
      </c>
      <c r="X26" s="62"/>
      <c r="Y26" s="64"/>
      <c r="Z26" s="19">
        <v>1.44E-2</v>
      </c>
      <c r="AA26" s="66"/>
      <c r="AB26" s="57"/>
      <c r="AC26" s="22">
        <v>30000</v>
      </c>
      <c r="AD26" s="22"/>
      <c r="AE26" s="22"/>
      <c r="AF26" s="22"/>
      <c r="AG26" s="22"/>
      <c r="AH26" s="23"/>
      <c r="AI26" s="11"/>
      <c r="AJ26" s="22">
        <v>30000</v>
      </c>
      <c r="AK26" s="22"/>
      <c r="AL26" s="22"/>
      <c r="AM26" s="22"/>
      <c r="AN26" s="22"/>
      <c r="AO26" s="22"/>
      <c r="AP26" s="11"/>
      <c r="AQ26" s="44">
        <v>0</v>
      </c>
      <c r="AR26" s="44">
        <v>0</v>
      </c>
      <c r="AS26" s="24">
        <f t="shared" si="2"/>
        <v>0</v>
      </c>
    </row>
    <row r="27" spans="1:45" x14ac:dyDescent="0.3">
      <c r="A27" s="1" t="s">
        <v>34</v>
      </c>
      <c r="B27" s="1" t="s">
        <v>24</v>
      </c>
      <c r="C27" s="18">
        <v>0</v>
      </c>
      <c r="D27" s="18">
        <v>0</v>
      </c>
      <c r="E27" s="19"/>
      <c r="F27" s="19"/>
      <c r="G27" s="19"/>
      <c r="H27" s="21">
        <v>0</v>
      </c>
      <c r="I27" s="21">
        <v>0</v>
      </c>
      <c r="J27" s="21"/>
      <c r="K27" s="21"/>
      <c r="L27" s="21"/>
      <c r="M27" s="19"/>
      <c r="N27" s="19"/>
      <c r="O27" s="19"/>
      <c r="P27" s="57"/>
      <c r="Q27" s="18">
        <v>0</v>
      </c>
      <c r="R27" s="18">
        <v>0</v>
      </c>
      <c r="S27" s="61"/>
      <c r="T27" s="61"/>
      <c r="U27" s="61"/>
      <c r="V27" s="63">
        <v>0</v>
      </c>
      <c r="W27" s="63">
        <v>0</v>
      </c>
      <c r="X27" s="62"/>
      <c r="Y27" s="64"/>
      <c r="Z27" s="61"/>
      <c r="AA27" s="19"/>
      <c r="AB27" s="57"/>
      <c r="AC27" s="22">
        <v>150000</v>
      </c>
      <c r="AD27" s="23"/>
      <c r="AE27" s="23"/>
      <c r="AF27" s="23"/>
      <c r="AG27" s="23"/>
      <c r="AH27" s="23"/>
      <c r="AI27" s="11"/>
      <c r="AJ27" s="22">
        <v>150000</v>
      </c>
      <c r="AK27" s="23"/>
      <c r="AL27" s="23"/>
      <c r="AM27" s="23"/>
      <c r="AN27" s="23"/>
      <c r="AO27" s="23"/>
      <c r="AP27" s="11"/>
      <c r="AQ27" s="44">
        <v>0</v>
      </c>
      <c r="AR27" s="44">
        <v>0</v>
      </c>
      <c r="AS27" s="24">
        <f t="shared" si="2"/>
        <v>0</v>
      </c>
    </row>
    <row r="28" spans="1:45" x14ac:dyDescent="0.3">
      <c r="M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8"/>
      <c r="AD28" s="8"/>
      <c r="AE28" s="8"/>
      <c r="AF28" s="8"/>
      <c r="AQ28" s="8"/>
      <c r="AR28" s="8"/>
    </row>
    <row r="29" spans="1:45" x14ac:dyDescent="0.3">
      <c r="AR29" s="55"/>
    </row>
    <row r="30" spans="1:45" x14ac:dyDescent="0.3">
      <c r="AR30" s="55"/>
    </row>
    <row r="48" ht="0.9" customHeight="1" x14ac:dyDescent="0.3"/>
    <row r="49" ht="0.9" customHeight="1" x14ac:dyDescent="0.3"/>
    <row r="50" ht="0.9" customHeight="1" x14ac:dyDescent="0.3"/>
    <row r="79" spans="33:33" x14ac:dyDescent="0.3">
      <c r="AG79" s="11"/>
    </row>
    <row r="113" ht="5.15" customHeight="1" x14ac:dyDescent="0.3"/>
    <row r="115" ht="5.15" customHeight="1" x14ac:dyDescent="0.3"/>
    <row r="117" ht="5.15" customHeight="1" x14ac:dyDescent="0.3"/>
    <row r="119" ht="5.15" customHeight="1" x14ac:dyDescent="0.3"/>
    <row r="122" ht="0.9" customHeight="1" x14ac:dyDescent="0.3"/>
    <row r="135" ht="5.15" customHeight="1" x14ac:dyDescent="0.3"/>
    <row r="136" ht="0.9" customHeight="1" x14ac:dyDescent="0.3"/>
  </sheetData>
  <mergeCells count="4">
    <mergeCell ref="C11:O11"/>
    <mergeCell ref="Q11:AA11"/>
    <mergeCell ref="AC11:AH11"/>
    <mergeCell ref="AJ11:AO11"/>
  </mergeCells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1" max="16383" man="1"/>
  </rowBreaks>
  <colBreaks count="1" manualBreakCount="1">
    <brk id="2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2"/>
  <sheetViews>
    <sheetView zoomScaleNormal="100" workbookViewId="0">
      <selection sqref="A1:U1"/>
    </sheetView>
  </sheetViews>
  <sheetFormatPr defaultColWidth="9.296875" defaultRowHeight="13" x14ac:dyDescent="0.3"/>
  <cols>
    <col min="1" max="1" width="4.3984375" style="8" customWidth="1"/>
    <col min="2" max="2" width="10.8984375" style="8" customWidth="1"/>
    <col min="3" max="3" width="11.69921875" style="8" bestFit="1" customWidth="1"/>
    <col min="4" max="4" width="11.8984375" style="8" bestFit="1" customWidth="1"/>
    <col min="5" max="5" width="11.39843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8" width="12.09765625" style="8" bestFit="1" customWidth="1"/>
    <col min="19" max="19" width="13.09765625" style="69" bestFit="1" customWidth="1"/>
    <col min="20" max="20" width="13" style="69" bestFit="1" customWidth="1"/>
    <col min="21" max="21" width="12.09765625" style="69" customWidth="1"/>
    <col min="22" max="22" width="9.296875" style="8"/>
    <col min="23" max="23" width="14.8984375" style="8" hidden="1" customWidth="1"/>
    <col min="24" max="24" width="10.09765625" style="8" hidden="1" customWidth="1"/>
    <col min="25" max="27" width="0" style="8" hidden="1" customWidth="1"/>
    <col min="28" max="29" width="10.09765625" style="8" hidden="1" customWidth="1"/>
    <col min="30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136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104</v>
      </c>
      <c r="C21" s="69" t="s">
        <v>65</v>
      </c>
      <c r="D21" s="51">
        <f>+D37</f>
        <v>0</v>
      </c>
      <c r="E21" s="28">
        <f>Input!$H$25</f>
        <v>0</v>
      </c>
      <c r="F21" s="28">
        <f>Input!$V$25</f>
        <v>0</v>
      </c>
      <c r="G21" s="58">
        <f t="shared" ref="G21:G35" si="0">F21-E21</f>
        <v>0</v>
      </c>
      <c r="H21" s="29">
        <f>IF(E21=0,0,ROUND(G21/E21,3))</f>
        <v>0</v>
      </c>
      <c r="I21" s="29"/>
      <c r="J21" s="28">
        <f>Input!$I$25</f>
        <v>0</v>
      </c>
      <c r="K21" s="28">
        <f>Input!$W$25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ROUND((D21*Input!$C$25),2)</f>
        <v>0</v>
      </c>
      <c r="P21" s="28">
        <f>ROUND((D21*Input!$Q$25),2)</f>
        <v>0</v>
      </c>
      <c r="Q21" s="28">
        <f t="shared" ref="Q21:Q34" si="1">P21-O21</f>
        <v>0</v>
      </c>
      <c r="R21" s="29">
        <f>IF(O21=0,0,ROUND(Q21/O21,3))</f>
        <v>0</v>
      </c>
      <c r="S21" s="28">
        <f>E21+J21+O21</f>
        <v>0</v>
      </c>
      <c r="T21" s="28">
        <f>F21+K21+P21</f>
        <v>0</v>
      </c>
      <c r="U21" s="29">
        <f>IF(S21=0,0,ROUND((T21-S21)/S21,3))</f>
        <v>0</v>
      </c>
      <c r="V21" s="31"/>
      <c r="W21" s="47">
        <f t="shared" ref="W21:W35" si="2">E21+J21+O21</f>
        <v>0</v>
      </c>
      <c r="X21" s="47">
        <f t="shared" ref="X21:X35" si="3">F21+K21+P21</f>
        <v>0</v>
      </c>
      <c r="Y21" s="47">
        <f>X21-W21</f>
        <v>0</v>
      </c>
      <c r="Z21" s="29" t="e">
        <f>(X21-W21)/W21</f>
        <v>#DIV/0!</v>
      </c>
      <c r="AA21" s="47">
        <v>0</v>
      </c>
      <c r="AB21" s="47">
        <f>W21+AA21</f>
        <v>0</v>
      </c>
      <c r="AC21" s="47">
        <f>X21+AA21</f>
        <v>0</v>
      </c>
      <c r="AD21" s="29" t="e">
        <f>(AC21-AB21)/AB21</f>
        <v>#DIV/0!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100</v>
      </c>
      <c r="E22" s="28">
        <f>Input!$H$25</f>
        <v>0</v>
      </c>
      <c r="F22" s="28">
        <f>Input!$V$25</f>
        <v>0</v>
      </c>
      <c r="G22" s="58">
        <f t="shared" si="0"/>
        <v>0</v>
      </c>
      <c r="H22" s="29">
        <f t="shared" ref="H22:H35" si="4">IF(E22=0,0,ROUND(G22/E22,3))</f>
        <v>0</v>
      </c>
      <c r="I22" s="29"/>
      <c r="J22" s="28">
        <f>Input!$I$25</f>
        <v>0</v>
      </c>
      <c r="K22" s="28">
        <f>Input!$W$25</f>
        <v>0</v>
      </c>
      <c r="L22" s="28">
        <f t="shared" ref="L22:L35" si="5">K22-J22</f>
        <v>0</v>
      </c>
      <c r="M22" s="29">
        <f t="shared" ref="M22:M35" si="6">IF(J22=0,0,ROUND(L22/J22,3))</f>
        <v>0</v>
      </c>
      <c r="N22" s="30"/>
      <c r="O22" s="28">
        <f>ROUND((D22*Input!$C$25),2)</f>
        <v>0</v>
      </c>
      <c r="P22" s="28">
        <f>ROUND((D22*Input!$Q$25),2)</f>
        <v>0</v>
      </c>
      <c r="Q22" s="28">
        <f t="shared" si="1"/>
        <v>0</v>
      </c>
      <c r="R22" s="29">
        <f t="shared" ref="R22:R35" si="7">IF(O22=0,0,ROUND(Q22/O22,3))</f>
        <v>0</v>
      </c>
      <c r="S22" s="28">
        <f t="shared" ref="S22:S34" si="8">E22+J22+O22</f>
        <v>0</v>
      </c>
      <c r="T22" s="28">
        <f t="shared" ref="T22:T34" si="9">F22+K22+P22</f>
        <v>0</v>
      </c>
      <c r="U22" s="29">
        <f t="shared" ref="U22:U35" si="10">IF(S22=0,0,ROUND((T22-S22)/S22,3))</f>
        <v>0</v>
      </c>
      <c r="V22" s="31"/>
      <c r="W22" s="47">
        <f t="shared" si="2"/>
        <v>0</v>
      </c>
      <c r="X22" s="47">
        <f t="shared" si="3"/>
        <v>0</v>
      </c>
      <c r="Y22" s="47">
        <f t="shared" ref="Y22:Y35" si="11">X22-W22</f>
        <v>0</v>
      </c>
      <c r="Z22" s="29" t="e">
        <f t="shared" ref="Z22:Z35" si="12">(X22-W22)/W22</f>
        <v>#DIV/0!</v>
      </c>
      <c r="AA22" s="47">
        <v>0</v>
      </c>
      <c r="AB22" s="47">
        <f t="shared" ref="AB22:AB35" si="13">W22+AA22</f>
        <v>0</v>
      </c>
      <c r="AC22" s="47">
        <f t="shared" ref="AC22:AC35" si="14">X22+AA22</f>
        <v>0</v>
      </c>
      <c r="AD22" s="29" t="e">
        <f t="shared" ref="AD22:AD35" si="15">(AC22-AB22)/AB22</f>
        <v>#DIV/0!</v>
      </c>
    </row>
    <row r="23" spans="1:30" x14ac:dyDescent="0.3">
      <c r="A23" s="69">
        <v>3</v>
      </c>
      <c r="B23" s="69" t="s">
        <v>94</v>
      </c>
      <c r="D23" s="51">
        <v>150</v>
      </c>
      <c r="E23" s="28">
        <f>Input!$H$25</f>
        <v>0</v>
      </c>
      <c r="F23" s="28">
        <f>Input!$V$25</f>
        <v>0</v>
      </c>
      <c r="G23" s="58">
        <f t="shared" si="0"/>
        <v>0</v>
      </c>
      <c r="H23" s="29">
        <f t="shared" si="4"/>
        <v>0</v>
      </c>
      <c r="I23" s="29"/>
      <c r="J23" s="28">
        <f>Input!$I$25</f>
        <v>0</v>
      </c>
      <c r="K23" s="28">
        <f>Input!$W$25</f>
        <v>0</v>
      </c>
      <c r="L23" s="28">
        <f t="shared" si="5"/>
        <v>0</v>
      </c>
      <c r="M23" s="29">
        <f t="shared" si="6"/>
        <v>0</v>
      </c>
      <c r="N23" s="30"/>
      <c r="O23" s="28">
        <f>ROUND((D23*Input!$C$25),2)</f>
        <v>0</v>
      </c>
      <c r="P23" s="28">
        <f>ROUND((D23*Input!$Q$25),2)</f>
        <v>0</v>
      </c>
      <c r="Q23" s="28">
        <f t="shared" si="1"/>
        <v>0</v>
      </c>
      <c r="R23" s="29">
        <f t="shared" si="7"/>
        <v>0</v>
      </c>
      <c r="S23" s="28">
        <f t="shared" si="8"/>
        <v>0</v>
      </c>
      <c r="T23" s="28">
        <f t="shared" si="9"/>
        <v>0</v>
      </c>
      <c r="U23" s="29">
        <f t="shared" si="10"/>
        <v>0</v>
      </c>
      <c r="V23" s="31"/>
      <c r="W23" s="47">
        <f t="shared" si="2"/>
        <v>0</v>
      </c>
      <c r="X23" s="47">
        <f t="shared" si="3"/>
        <v>0</v>
      </c>
      <c r="Y23" s="47">
        <f t="shared" si="11"/>
        <v>0</v>
      </c>
      <c r="Z23" s="29" t="e">
        <f t="shared" si="12"/>
        <v>#DIV/0!</v>
      </c>
      <c r="AA23" s="47">
        <v>0</v>
      </c>
      <c r="AB23" s="47">
        <f t="shared" si="13"/>
        <v>0</v>
      </c>
      <c r="AC23" s="47">
        <f t="shared" si="14"/>
        <v>0</v>
      </c>
      <c r="AD23" s="29" t="e">
        <f t="shared" si="15"/>
        <v>#DIV/0!</v>
      </c>
    </row>
    <row r="24" spans="1:30" x14ac:dyDescent="0.3">
      <c r="A24" s="69">
        <v>4</v>
      </c>
      <c r="B24" s="69" t="s">
        <v>41</v>
      </c>
      <c r="D24" s="51">
        <v>300</v>
      </c>
      <c r="E24" s="28">
        <f>Input!$H$25</f>
        <v>0</v>
      </c>
      <c r="F24" s="28">
        <f>Input!$V$25</f>
        <v>0</v>
      </c>
      <c r="G24" s="58">
        <f t="shared" si="0"/>
        <v>0</v>
      </c>
      <c r="H24" s="29">
        <f t="shared" si="4"/>
        <v>0</v>
      </c>
      <c r="I24" s="29"/>
      <c r="J24" s="28">
        <f>Input!$I$25</f>
        <v>0</v>
      </c>
      <c r="K24" s="28">
        <f>Input!$W$25</f>
        <v>0</v>
      </c>
      <c r="L24" s="28">
        <f t="shared" si="5"/>
        <v>0</v>
      </c>
      <c r="M24" s="29">
        <f t="shared" si="6"/>
        <v>0</v>
      </c>
      <c r="N24" s="30"/>
      <c r="O24" s="28">
        <f>ROUND((D24*Input!$C$25),2)</f>
        <v>0</v>
      </c>
      <c r="P24" s="28">
        <f>ROUND((D24*Input!$Q$25),2)</f>
        <v>0</v>
      </c>
      <c r="Q24" s="28">
        <f t="shared" si="1"/>
        <v>0</v>
      </c>
      <c r="R24" s="29">
        <f t="shared" si="7"/>
        <v>0</v>
      </c>
      <c r="S24" s="28">
        <f t="shared" si="8"/>
        <v>0</v>
      </c>
      <c r="T24" s="28">
        <f t="shared" si="9"/>
        <v>0</v>
      </c>
      <c r="U24" s="29">
        <f t="shared" si="10"/>
        <v>0</v>
      </c>
      <c r="V24" s="31"/>
      <c r="W24" s="47">
        <f t="shared" si="2"/>
        <v>0</v>
      </c>
      <c r="X24" s="47">
        <f t="shared" si="3"/>
        <v>0</v>
      </c>
      <c r="Y24" s="47">
        <f t="shared" si="11"/>
        <v>0</v>
      </c>
      <c r="Z24" s="29" t="e">
        <f t="shared" si="12"/>
        <v>#DIV/0!</v>
      </c>
      <c r="AA24" s="47">
        <v>0</v>
      </c>
      <c r="AB24" s="47">
        <f t="shared" si="13"/>
        <v>0</v>
      </c>
      <c r="AC24" s="47">
        <f t="shared" si="14"/>
        <v>0</v>
      </c>
      <c r="AD24" s="29" t="e">
        <f t="shared" si="15"/>
        <v>#DIV/0!</v>
      </c>
    </row>
    <row r="25" spans="1:30" x14ac:dyDescent="0.3">
      <c r="A25" s="69">
        <v>5</v>
      </c>
      <c r="B25" s="69" t="s">
        <v>88</v>
      </c>
      <c r="D25" s="51">
        <v>500</v>
      </c>
      <c r="E25" s="28">
        <f>Input!$H$25</f>
        <v>0</v>
      </c>
      <c r="F25" s="28">
        <f>Input!$V$25</f>
        <v>0</v>
      </c>
      <c r="G25" s="58">
        <f t="shared" si="0"/>
        <v>0</v>
      </c>
      <c r="H25" s="29">
        <f t="shared" si="4"/>
        <v>0</v>
      </c>
      <c r="I25" s="29"/>
      <c r="J25" s="28">
        <f>Input!$I$25</f>
        <v>0</v>
      </c>
      <c r="K25" s="28">
        <f>Input!$W$25</f>
        <v>0</v>
      </c>
      <c r="L25" s="28">
        <f t="shared" si="5"/>
        <v>0</v>
      </c>
      <c r="M25" s="29">
        <f t="shared" si="6"/>
        <v>0</v>
      </c>
      <c r="N25" s="30"/>
      <c r="O25" s="28">
        <f>ROUND((D25*Input!$C$25),2)</f>
        <v>0</v>
      </c>
      <c r="P25" s="28">
        <f>ROUND((D25*Input!$Q$25),2)</f>
        <v>0</v>
      </c>
      <c r="Q25" s="28">
        <f t="shared" si="1"/>
        <v>0</v>
      </c>
      <c r="R25" s="29">
        <f t="shared" si="7"/>
        <v>0</v>
      </c>
      <c r="S25" s="28">
        <f t="shared" si="8"/>
        <v>0</v>
      </c>
      <c r="T25" s="28">
        <f t="shared" si="9"/>
        <v>0</v>
      </c>
      <c r="U25" s="29">
        <f t="shared" si="10"/>
        <v>0</v>
      </c>
      <c r="V25" s="31"/>
      <c r="W25" s="47">
        <f t="shared" si="2"/>
        <v>0</v>
      </c>
      <c r="X25" s="47">
        <f t="shared" si="3"/>
        <v>0</v>
      </c>
      <c r="Y25" s="47">
        <f t="shared" si="11"/>
        <v>0</v>
      </c>
      <c r="Z25" s="29" t="e">
        <f t="shared" si="12"/>
        <v>#DIV/0!</v>
      </c>
      <c r="AA25" s="47">
        <v>0</v>
      </c>
      <c r="AB25" s="47">
        <f t="shared" si="13"/>
        <v>0</v>
      </c>
      <c r="AC25" s="47">
        <f t="shared" si="14"/>
        <v>0</v>
      </c>
      <c r="AD25" s="29" t="e">
        <f t="shared" si="15"/>
        <v>#DIV/0!</v>
      </c>
    </row>
    <row r="26" spans="1:30" x14ac:dyDescent="0.3">
      <c r="A26" s="69">
        <v>6</v>
      </c>
      <c r="D26" s="51">
        <v>1000</v>
      </c>
      <c r="E26" s="28">
        <f>Input!$H$25</f>
        <v>0</v>
      </c>
      <c r="F26" s="28">
        <f>Input!$V$25</f>
        <v>0</v>
      </c>
      <c r="G26" s="58">
        <f t="shared" si="0"/>
        <v>0</v>
      </c>
      <c r="H26" s="29">
        <f t="shared" si="4"/>
        <v>0</v>
      </c>
      <c r="I26" s="29"/>
      <c r="J26" s="28">
        <f>Input!$I$25</f>
        <v>0</v>
      </c>
      <c r="K26" s="28">
        <f>Input!$W$25</f>
        <v>0</v>
      </c>
      <c r="L26" s="28">
        <f t="shared" si="5"/>
        <v>0</v>
      </c>
      <c r="M26" s="29">
        <f t="shared" si="6"/>
        <v>0</v>
      </c>
      <c r="N26" s="30"/>
      <c r="O26" s="28">
        <f>ROUND((D26*Input!$C$25),2)</f>
        <v>0</v>
      </c>
      <c r="P26" s="28">
        <f>ROUND((D26*Input!$Q$25),2)</f>
        <v>0</v>
      </c>
      <c r="Q26" s="28">
        <f t="shared" si="1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2"/>
        <v>0</v>
      </c>
      <c r="X26" s="47">
        <f t="shared" si="3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3">
      <c r="A27" s="69">
        <v>7</v>
      </c>
      <c r="D27" s="51">
        <v>3000</v>
      </c>
      <c r="E27" s="28">
        <f>Input!$H$25</f>
        <v>0</v>
      </c>
      <c r="F27" s="28">
        <f>Input!$V$25</f>
        <v>0</v>
      </c>
      <c r="G27" s="58">
        <f t="shared" si="0"/>
        <v>0</v>
      </c>
      <c r="H27" s="29">
        <f t="shared" si="4"/>
        <v>0</v>
      </c>
      <c r="I27" s="29"/>
      <c r="J27" s="28">
        <f>Input!$I$25</f>
        <v>0</v>
      </c>
      <c r="K27" s="28">
        <f>Input!$W$25</f>
        <v>0</v>
      </c>
      <c r="L27" s="28">
        <f t="shared" si="5"/>
        <v>0</v>
      </c>
      <c r="M27" s="29">
        <f t="shared" si="6"/>
        <v>0</v>
      </c>
      <c r="N27" s="30"/>
      <c r="O27" s="28">
        <f>ROUND((D27*Input!$C$25),2)</f>
        <v>0</v>
      </c>
      <c r="P27" s="28">
        <f>ROUND((D27*Input!$Q$25),2)</f>
        <v>0</v>
      </c>
      <c r="Q27" s="28">
        <f t="shared" si="1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2"/>
        <v>0</v>
      </c>
      <c r="X27" s="47">
        <f t="shared" si="3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3">
      <c r="A28" s="69">
        <v>8</v>
      </c>
      <c r="B28" s="69"/>
      <c r="D28" s="51">
        <v>5000</v>
      </c>
      <c r="E28" s="28">
        <f>Input!$H$25</f>
        <v>0</v>
      </c>
      <c r="F28" s="28">
        <f>Input!$V$25</f>
        <v>0</v>
      </c>
      <c r="G28" s="58">
        <f t="shared" si="0"/>
        <v>0</v>
      </c>
      <c r="H28" s="29">
        <f t="shared" si="4"/>
        <v>0</v>
      </c>
      <c r="I28" s="29"/>
      <c r="J28" s="28">
        <f>Input!$I$25</f>
        <v>0</v>
      </c>
      <c r="K28" s="28">
        <f>Input!$W$25</f>
        <v>0</v>
      </c>
      <c r="L28" s="28">
        <f t="shared" si="5"/>
        <v>0</v>
      </c>
      <c r="M28" s="29">
        <f t="shared" si="6"/>
        <v>0</v>
      </c>
      <c r="N28" s="30"/>
      <c r="O28" s="28">
        <f>ROUND((D28*Input!$C$25),2)</f>
        <v>0</v>
      </c>
      <c r="P28" s="28">
        <f>ROUND((D28*Input!$Q$25),2)</f>
        <v>0</v>
      </c>
      <c r="Q28" s="28">
        <f t="shared" si="1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2"/>
        <v>0</v>
      </c>
      <c r="X28" s="47">
        <f t="shared" si="3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3">
      <c r="A29" s="69">
        <v>9</v>
      </c>
      <c r="B29" s="69"/>
      <c r="D29" s="51">
        <v>10000</v>
      </c>
      <c r="E29" s="28">
        <f>Input!$H$25</f>
        <v>0</v>
      </c>
      <c r="F29" s="28">
        <f>Input!$V$25</f>
        <v>0</v>
      </c>
      <c r="G29" s="58">
        <f t="shared" si="0"/>
        <v>0</v>
      </c>
      <c r="H29" s="29">
        <f t="shared" si="4"/>
        <v>0</v>
      </c>
      <c r="I29" s="29"/>
      <c r="J29" s="28">
        <f>Input!$I$25</f>
        <v>0</v>
      </c>
      <c r="K29" s="28">
        <f>Input!$W$25</f>
        <v>0</v>
      </c>
      <c r="L29" s="28">
        <f t="shared" si="5"/>
        <v>0</v>
      </c>
      <c r="M29" s="29">
        <f t="shared" si="6"/>
        <v>0</v>
      </c>
      <c r="N29" s="30"/>
      <c r="O29" s="28">
        <f>ROUND((D29*Input!$C$25),2)</f>
        <v>0</v>
      </c>
      <c r="P29" s="28">
        <f>ROUND((D29*Input!$Q$25),2)</f>
        <v>0</v>
      </c>
      <c r="Q29" s="28">
        <f t="shared" si="1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2"/>
        <v>0</v>
      </c>
      <c r="X29" s="47">
        <f t="shared" si="3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3">
      <c r="A30" s="69">
        <v>10</v>
      </c>
      <c r="D30" s="51">
        <v>15000</v>
      </c>
      <c r="E30" s="28">
        <f>Input!$H$25</f>
        <v>0</v>
      </c>
      <c r="F30" s="28">
        <f>Input!$V$25</f>
        <v>0</v>
      </c>
      <c r="G30" s="58">
        <f t="shared" si="0"/>
        <v>0</v>
      </c>
      <c r="H30" s="29">
        <f t="shared" si="4"/>
        <v>0</v>
      </c>
      <c r="I30" s="29"/>
      <c r="J30" s="28">
        <f>Input!$I$25</f>
        <v>0</v>
      </c>
      <c r="K30" s="28">
        <f>Input!$W$25</f>
        <v>0</v>
      </c>
      <c r="L30" s="28">
        <f t="shared" si="5"/>
        <v>0</v>
      </c>
      <c r="M30" s="29">
        <f t="shared" si="6"/>
        <v>0</v>
      </c>
      <c r="N30" s="30"/>
      <c r="O30" s="28">
        <f>ROUND((D30*Input!$C$25),2)</f>
        <v>0</v>
      </c>
      <c r="P30" s="28">
        <f>ROUND((D30*Input!$Q$25),2)</f>
        <v>0</v>
      </c>
      <c r="Q30" s="28">
        <f t="shared" si="1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2"/>
        <v>0</v>
      </c>
      <c r="X30" s="47">
        <f t="shared" si="3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3">
      <c r="A31" s="69">
        <v>11</v>
      </c>
      <c r="D31" s="51">
        <v>20000</v>
      </c>
      <c r="E31" s="28">
        <f>Input!$H$25</f>
        <v>0</v>
      </c>
      <c r="F31" s="28">
        <f>Input!$V$25</f>
        <v>0</v>
      </c>
      <c r="G31" s="58">
        <f t="shared" si="0"/>
        <v>0</v>
      </c>
      <c r="H31" s="29">
        <f t="shared" si="4"/>
        <v>0</v>
      </c>
      <c r="I31" s="29"/>
      <c r="J31" s="28">
        <f>Input!$I$25</f>
        <v>0</v>
      </c>
      <c r="K31" s="28">
        <f>Input!$W$25</f>
        <v>0</v>
      </c>
      <c r="L31" s="28">
        <f t="shared" si="5"/>
        <v>0</v>
      </c>
      <c r="M31" s="29">
        <f t="shared" si="6"/>
        <v>0</v>
      </c>
      <c r="N31" s="30"/>
      <c r="O31" s="28">
        <f>ROUND((D31*Input!$C$25),2)</f>
        <v>0</v>
      </c>
      <c r="P31" s="28">
        <f>ROUND((D31*Input!$Q$25),2)</f>
        <v>0</v>
      </c>
      <c r="Q31" s="28">
        <f t="shared" si="1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2"/>
        <v>0</v>
      </c>
      <c r="X31" s="47">
        <f t="shared" si="3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3">
      <c r="A32" s="69">
        <v>12</v>
      </c>
      <c r="D32" s="51">
        <v>25000</v>
      </c>
      <c r="E32" s="28">
        <f>Input!$H$25</f>
        <v>0</v>
      </c>
      <c r="F32" s="28">
        <f>Input!$V$25</f>
        <v>0</v>
      </c>
      <c r="G32" s="58">
        <f t="shared" si="0"/>
        <v>0</v>
      </c>
      <c r="H32" s="29">
        <f t="shared" si="4"/>
        <v>0</v>
      </c>
      <c r="I32" s="29"/>
      <c r="J32" s="28">
        <f>Input!$I$25</f>
        <v>0</v>
      </c>
      <c r="K32" s="28">
        <f>Input!$W$25</f>
        <v>0</v>
      </c>
      <c r="L32" s="28">
        <f t="shared" si="5"/>
        <v>0</v>
      </c>
      <c r="M32" s="29">
        <f t="shared" si="6"/>
        <v>0</v>
      </c>
      <c r="N32" s="31"/>
      <c r="O32" s="28">
        <f>ROUND((Input!$C$25*Input!$AC$25),2)+ROUND(((D32-Input!$AC$25)*Input!$D$25),2)</f>
        <v>0</v>
      </c>
      <c r="P32" s="28">
        <f>ROUND((Input!$Q$25*Input!$AJ$25),2)+ROUND(((D32-Input!$AJ$25)*Input!$R$25),2)</f>
        <v>0</v>
      </c>
      <c r="Q32" s="28">
        <f t="shared" si="1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2"/>
        <v>0</v>
      </c>
      <c r="X32" s="47">
        <f t="shared" si="3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3">
      <c r="A33" s="69">
        <v>13</v>
      </c>
      <c r="D33" s="51">
        <v>30000</v>
      </c>
      <c r="E33" s="28">
        <f>Input!$H$25</f>
        <v>0</v>
      </c>
      <c r="F33" s="28">
        <f>Input!$V$25</f>
        <v>0</v>
      </c>
      <c r="G33" s="58">
        <f t="shared" si="0"/>
        <v>0</v>
      </c>
      <c r="H33" s="29">
        <f t="shared" si="4"/>
        <v>0</v>
      </c>
      <c r="I33" s="29"/>
      <c r="J33" s="28">
        <f>Input!$I$25</f>
        <v>0</v>
      </c>
      <c r="K33" s="28">
        <f>Input!$W$25</f>
        <v>0</v>
      </c>
      <c r="L33" s="28">
        <f t="shared" si="5"/>
        <v>0</v>
      </c>
      <c r="M33" s="29">
        <f t="shared" si="6"/>
        <v>0</v>
      </c>
      <c r="N33" s="31"/>
      <c r="O33" s="28">
        <f>ROUND((Input!$C$25*Input!$AC$25),2)+ROUND(((D33-Input!$AC$25)*Input!$D$25),2)</f>
        <v>0</v>
      </c>
      <c r="P33" s="28">
        <f>ROUND((Input!$Q$25*Input!$AJ$25),2)+ROUND(((D33-Input!$AJ$25)*Input!$R$25),2)</f>
        <v>0</v>
      </c>
      <c r="Q33" s="28">
        <f t="shared" si="1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2"/>
        <v>0</v>
      </c>
      <c r="X33" s="47">
        <f t="shared" si="3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3">
      <c r="A34" s="69">
        <v>14</v>
      </c>
      <c r="D34" s="51">
        <v>35000</v>
      </c>
      <c r="E34" s="28">
        <f>Input!$H$25</f>
        <v>0</v>
      </c>
      <c r="F34" s="28">
        <f>Input!$V$25</f>
        <v>0</v>
      </c>
      <c r="G34" s="58">
        <f t="shared" si="0"/>
        <v>0</v>
      </c>
      <c r="H34" s="29">
        <f t="shared" si="4"/>
        <v>0</v>
      </c>
      <c r="I34" s="29"/>
      <c r="J34" s="28">
        <f>Input!$I$25</f>
        <v>0</v>
      </c>
      <c r="K34" s="28">
        <f>Input!$W$25</f>
        <v>0</v>
      </c>
      <c r="L34" s="28">
        <f t="shared" si="5"/>
        <v>0</v>
      </c>
      <c r="M34" s="29">
        <f t="shared" si="6"/>
        <v>0</v>
      </c>
      <c r="N34" s="31"/>
      <c r="O34" s="28">
        <f>ROUND((Input!$C$25*Input!$AC$25),2)+ROUND(((D34-Input!$AC$25)*Input!$D$25),2)</f>
        <v>0</v>
      </c>
      <c r="P34" s="28">
        <f>ROUND((Input!$Q$25*Input!$AJ$25),2)+ROUND(((D34-Input!$AJ$25)*Input!$R$25),2)</f>
        <v>0</v>
      </c>
      <c r="Q34" s="28">
        <f t="shared" si="1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2"/>
        <v>0</v>
      </c>
      <c r="X34" s="47">
        <f t="shared" si="3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3">
      <c r="A35" s="69">
        <v>15</v>
      </c>
      <c r="B35" s="69"/>
      <c r="D35" s="51">
        <v>45000</v>
      </c>
      <c r="E35" s="28">
        <f>Input!$H$25</f>
        <v>0</v>
      </c>
      <c r="F35" s="28">
        <f>Input!$V$25</f>
        <v>0</v>
      </c>
      <c r="G35" s="58">
        <f t="shared" si="0"/>
        <v>0</v>
      </c>
      <c r="H35" s="29">
        <f t="shared" si="4"/>
        <v>0</v>
      </c>
      <c r="I35" s="29"/>
      <c r="J35" s="28">
        <f>Input!$I$25</f>
        <v>0</v>
      </c>
      <c r="K35" s="28">
        <f>Input!$W$25</f>
        <v>0</v>
      </c>
      <c r="L35" s="28">
        <f t="shared" si="5"/>
        <v>0</v>
      </c>
      <c r="M35" s="29">
        <f t="shared" si="6"/>
        <v>0</v>
      </c>
      <c r="N35" s="30"/>
      <c r="O35" s="28">
        <f>ROUND((Input!$C$25*Input!$AC$25),2)+ROUND(((D35-Input!$AC$25)*Input!$D$25),2)</f>
        <v>0</v>
      </c>
      <c r="P35" s="28">
        <f>ROUND((Input!$Q$25*Input!$AJ$25),2)+ROUND(((D35-Input!$AJ$25)*Input!$R$25),2)</f>
        <v>0</v>
      </c>
      <c r="Q35" s="28">
        <f>P35-O35</f>
        <v>0</v>
      </c>
      <c r="R35" s="29">
        <f t="shared" si="7"/>
        <v>0</v>
      </c>
      <c r="S35" s="28">
        <f>E35+J35+O35</f>
        <v>0</v>
      </c>
      <c r="T35" s="28">
        <f>F35+K35+P35</f>
        <v>0</v>
      </c>
      <c r="U35" s="29">
        <f t="shared" si="10"/>
        <v>0</v>
      </c>
      <c r="V35" s="31"/>
      <c r="W35" s="47">
        <f t="shared" si="2"/>
        <v>0</v>
      </c>
      <c r="X35" s="47">
        <f t="shared" si="3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3">
      <c r="A36" s="69"/>
      <c r="D36" s="32"/>
      <c r="E36" s="31"/>
      <c r="F36" s="31"/>
      <c r="G36" s="28"/>
      <c r="H36" s="30"/>
      <c r="I36" s="30"/>
      <c r="J36" s="30"/>
      <c r="K36" s="30"/>
      <c r="L36" s="30"/>
      <c r="M36" s="30"/>
      <c r="N36" s="31"/>
      <c r="O36" s="31"/>
      <c r="P36" s="31"/>
      <c r="Q36" s="28"/>
      <c r="R36" s="30"/>
      <c r="S36" s="28"/>
      <c r="T36" s="28"/>
      <c r="U36" s="29"/>
      <c r="V36" s="31"/>
    </row>
    <row r="37" spans="1:30" x14ac:dyDescent="0.3">
      <c r="A37" s="69"/>
      <c r="B37" s="8" t="s">
        <v>98</v>
      </c>
      <c r="D37" s="53">
        <f>ROUND(Input!AS25,0)</f>
        <v>0</v>
      </c>
      <c r="E37" s="31"/>
      <c r="F37" s="31"/>
      <c r="G37" s="28"/>
      <c r="H37" s="30"/>
      <c r="I37" s="30"/>
      <c r="J37" s="30"/>
      <c r="K37" s="30"/>
      <c r="L37" s="30"/>
      <c r="M37" s="30"/>
      <c r="N37" s="31"/>
      <c r="O37" s="31"/>
      <c r="P37" s="31"/>
      <c r="Q37" s="28"/>
      <c r="R37" s="30"/>
      <c r="S37" s="28"/>
      <c r="T37" s="28"/>
      <c r="U37" s="30"/>
      <c r="V37" s="31"/>
    </row>
    <row r="38" spans="1:30" x14ac:dyDescent="0.3">
      <c r="A38" s="69"/>
      <c r="C38" s="8" t="s">
        <v>150</v>
      </c>
    </row>
    <row r="39" spans="1:30" x14ac:dyDescent="0.3">
      <c r="A39" s="69"/>
    </row>
    <row r="40" spans="1:30" x14ac:dyDescent="0.3">
      <c r="A40" s="69"/>
    </row>
    <row r="41" spans="1:30" x14ac:dyDescent="0.3">
      <c r="A41" s="69"/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2"/>
  <sheetViews>
    <sheetView zoomScaleNormal="100" workbookViewId="0">
      <selection sqref="A1:U1"/>
    </sheetView>
  </sheetViews>
  <sheetFormatPr defaultColWidth="9.296875" defaultRowHeight="13" x14ac:dyDescent="0.3"/>
  <cols>
    <col min="1" max="1" width="4.3984375" style="36" customWidth="1"/>
    <col min="2" max="2" width="11.296875" style="36" customWidth="1"/>
    <col min="3" max="3" width="13.296875" style="36" customWidth="1"/>
    <col min="4" max="4" width="11.8984375" style="36" bestFit="1" customWidth="1"/>
    <col min="5" max="6" width="11.3984375" style="36" bestFit="1" customWidth="1"/>
    <col min="7" max="7" width="12.09765625" style="72" bestFit="1" customWidth="1"/>
    <col min="8" max="8" width="12.09765625" style="36" bestFit="1" customWidth="1"/>
    <col min="9" max="9" width="1.8984375" style="36" customWidth="1"/>
    <col min="10" max="11" width="15.69921875" style="36" bestFit="1" customWidth="1"/>
    <col min="12" max="13" width="12.09765625" style="36" bestFit="1" customWidth="1"/>
    <col min="14" max="14" width="1.8984375" style="36" customWidth="1"/>
    <col min="15" max="16" width="12.8984375" style="36" bestFit="1" customWidth="1"/>
    <col min="17" max="18" width="12.09765625" style="36" bestFit="1" customWidth="1"/>
    <col min="19" max="19" width="13.09765625" style="72" bestFit="1" customWidth="1"/>
    <col min="20" max="20" width="13" style="72" bestFit="1" customWidth="1"/>
    <col min="21" max="21" width="12" style="72" customWidth="1"/>
    <col min="22" max="22" width="9.296875" style="36"/>
    <col min="23" max="23" width="12.09765625" style="36" hidden="1" customWidth="1"/>
    <col min="24" max="24" width="10.09765625" style="36" hidden="1" customWidth="1"/>
    <col min="25" max="27" width="0" style="36" hidden="1" customWidth="1"/>
    <col min="28" max="29" width="10.09765625" style="36" hidden="1" customWidth="1"/>
    <col min="30" max="30" width="0" style="36" hidden="1" customWidth="1"/>
    <col min="31" max="16384" width="9.296875" style="36"/>
  </cols>
  <sheetData>
    <row r="1" spans="1:30" x14ac:dyDescent="0.3">
      <c r="A1" s="92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30" x14ac:dyDescent="0.3">
      <c r="A2" s="92" t="str">
        <f>Input!$B$1</f>
        <v>CASE NO. 2021-00183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30" x14ac:dyDescent="0.3">
      <c r="A3" s="92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3">
      <c r="A4" s="92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30" x14ac:dyDescent="0.3">
      <c r="A5" s="92" t="str">
        <f>Input!$B$5</f>
        <v>TWELVE MONTHS ENDING DECEMBER 31, 2022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30" x14ac:dyDescent="0.3">
      <c r="A6" s="72"/>
      <c r="B6" s="73"/>
      <c r="C6" s="73"/>
      <c r="D6" s="73"/>
      <c r="E6" s="73"/>
      <c r="F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30" x14ac:dyDescent="0.3">
      <c r="A7" s="72"/>
      <c r="B7" s="73"/>
      <c r="C7" s="73"/>
      <c r="D7" s="73"/>
      <c r="E7" s="73"/>
      <c r="F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30" x14ac:dyDescent="0.3">
      <c r="A8" s="36" t="s">
        <v>123</v>
      </c>
      <c r="U8" s="40" t="s">
        <v>37</v>
      </c>
    </row>
    <row r="9" spans="1:30" x14ac:dyDescent="0.3">
      <c r="A9" s="36" t="s">
        <v>124</v>
      </c>
      <c r="U9" s="40" t="s">
        <v>137</v>
      </c>
    </row>
    <row r="10" spans="1:30" x14ac:dyDescent="0.3">
      <c r="A10" s="36" t="s">
        <v>38</v>
      </c>
      <c r="U10" s="40" t="str">
        <f>Input!$B$3</f>
        <v>Witness: Judith L. Siegler</v>
      </c>
    </row>
    <row r="12" spans="1:30" x14ac:dyDescent="0.3">
      <c r="A12" s="37"/>
      <c r="B12" s="37"/>
      <c r="C12" s="37"/>
      <c r="D12" s="37"/>
      <c r="E12" s="37"/>
      <c r="F12" s="37"/>
      <c r="G12" s="74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74"/>
      <c r="T12" s="74"/>
      <c r="U12" s="74"/>
    </row>
    <row r="13" spans="1:30" x14ac:dyDescent="0.3">
      <c r="E13" s="94" t="s">
        <v>77</v>
      </c>
      <c r="F13" s="94"/>
      <c r="G13" s="94"/>
      <c r="H13" s="94"/>
      <c r="I13" s="38"/>
      <c r="J13" s="94" t="s">
        <v>119</v>
      </c>
      <c r="K13" s="94"/>
      <c r="L13" s="94"/>
      <c r="M13" s="94"/>
      <c r="N13" s="38"/>
      <c r="O13" s="94" t="s">
        <v>78</v>
      </c>
      <c r="P13" s="94"/>
      <c r="Q13" s="94"/>
      <c r="R13" s="94"/>
      <c r="W13" s="48" t="s">
        <v>144</v>
      </c>
      <c r="X13" s="17"/>
      <c r="Y13" s="8"/>
      <c r="Z13" s="8"/>
      <c r="AA13" s="8"/>
      <c r="AB13" s="8"/>
      <c r="AC13" s="8"/>
      <c r="AD13" s="8"/>
    </row>
    <row r="14" spans="1:30" x14ac:dyDescent="0.3">
      <c r="E14" s="72" t="s">
        <v>43</v>
      </c>
      <c r="F14" s="72" t="s">
        <v>44</v>
      </c>
      <c r="G14" s="72" t="s">
        <v>75</v>
      </c>
      <c r="H14" s="72" t="s">
        <v>46</v>
      </c>
      <c r="I14" s="72"/>
      <c r="J14" s="72" t="s">
        <v>43</v>
      </c>
      <c r="K14" s="72" t="s">
        <v>44</v>
      </c>
      <c r="L14" s="72" t="s">
        <v>75</v>
      </c>
      <c r="M14" s="72" t="s">
        <v>46</v>
      </c>
      <c r="Q14" s="72" t="s">
        <v>75</v>
      </c>
      <c r="R14" s="72" t="s">
        <v>46</v>
      </c>
      <c r="S14" s="72" t="s">
        <v>39</v>
      </c>
      <c r="T14" s="72" t="s">
        <v>39</v>
      </c>
      <c r="U14" s="72" t="s">
        <v>46</v>
      </c>
      <c r="W14" s="8"/>
      <c r="X14" s="8"/>
      <c r="Y14" s="8"/>
      <c r="Z14" s="8"/>
      <c r="AA14" s="8"/>
      <c r="AB14" s="8"/>
      <c r="AC14" s="8"/>
      <c r="AD14" s="69" t="s">
        <v>46</v>
      </c>
    </row>
    <row r="15" spans="1:30" x14ac:dyDescent="0.3">
      <c r="D15" s="72" t="s">
        <v>71</v>
      </c>
      <c r="E15" s="72" t="s">
        <v>71</v>
      </c>
      <c r="F15" s="72" t="s">
        <v>71</v>
      </c>
      <c r="G15" s="72" t="s">
        <v>45</v>
      </c>
      <c r="H15" s="72" t="s">
        <v>45</v>
      </c>
      <c r="I15" s="72"/>
      <c r="J15" s="72" t="s">
        <v>71</v>
      </c>
      <c r="K15" s="72" t="s">
        <v>71</v>
      </c>
      <c r="L15" s="72" t="s">
        <v>45</v>
      </c>
      <c r="M15" s="72" t="s">
        <v>45</v>
      </c>
      <c r="N15" s="72"/>
      <c r="O15" s="72" t="s">
        <v>43</v>
      </c>
      <c r="P15" s="72" t="s">
        <v>44</v>
      </c>
      <c r="Q15" s="72" t="s">
        <v>45</v>
      </c>
      <c r="R15" s="72" t="s">
        <v>45</v>
      </c>
      <c r="S15" s="72" t="s">
        <v>43</v>
      </c>
      <c r="T15" s="72" t="s">
        <v>44</v>
      </c>
      <c r="U15" s="72" t="s">
        <v>45</v>
      </c>
      <c r="W15" s="8"/>
      <c r="X15" s="8"/>
      <c r="Y15" s="8"/>
      <c r="Z15" s="8"/>
      <c r="AA15" s="8"/>
      <c r="AB15" s="69" t="s">
        <v>39</v>
      </c>
      <c r="AC15" s="69" t="s">
        <v>39</v>
      </c>
      <c r="AD15" s="69" t="s">
        <v>45</v>
      </c>
    </row>
    <row r="16" spans="1:30" x14ac:dyDescent="0.3">
      <c r="A16" s="72" t="s">
        <v>40</v>
      </c>
      <c r="B16" s="72" t="s">
        <v>41</v>
      </c>
      <c r="C16" s="72" t="s">
        <v>42</v>
      </c>
      <c r="D16" s="72" t="s">
        <v>72</v>
      </c>
      <c r="E16" s="72" t="s">
        <v>68</v>
      </c>
      <c r="F16" s="72" t="s">
        <v>68</v>
      </c>
      <c r="G16" s="72" t="s">
        <v>76</v>
      </c>
      <c r="H16" s="72" t="s">
        <v>76</v>
      </c>
      <c r="I16" s="72"/>
      <c r="J16" s="72" t="s">
        <v>109</v>
      </c>
      <c r="K16" s="72" t="s">
        <v>109</v>
      </c>
      <c r="L16" s="72" t="s">
        <v>76</v>
      </c>
      <c r="M16" s="72" t="s">
        <v>76</v>
      </c>
      <c r="N16" s="72"/>
      <c r="O16" s="72" t="s">
        <v>79</v>
      </c>
      <c r="P16" s="72" t="s">
        <v>79</v>
      </c>
      <c r="Q16" s="72" t="s">
        <v>76</v>
      </c>
      <c r="R16" s="72" t="s">
        <v>76</v>
      </c>
      <c r="S16" s="72" t="s">
        <v>49</v>
      </c>
      <c r="T16" s="72" t="s">
        <v>49</v>
      </c>
      <c r="U16" s="72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72" t="s">
        <v>47</v>
      </c>
      <c r="B17" s="72" t="s">
        <v>48</v>
      </c>
      <c r="C17" s="72" t="s">
        <v>15</v>
      </c>
      <c r="D17" s="72" t="s">
        <v>73</v>
      </c>
      <c r="E17" s="72" t="s">
        <v>74</v>
      </c>
      <c r="F17" s="72" t="s">
        <v>74</v>
      </c>
      <c r="G17" s="39" t="s">
        <v>50</v>
      </c>
      <c r="H17" s="39" t="s">
        <v>51</v>
      </c>
      <c r="I17" s="39"/>
      <c r="J17" s="72" t="s">
        <v>74</v>
      </c>
      <c r="K17" s="72" t="s">
        <v>74</v>
      </c>
      <c r="L17" s="39" t="s">
        <v>80</v>
      </c>
      <c r="M17" s="39" t="s">
        <v>81</v>
      </c>
      <c r="N17" s="39"/>
      <c r="O17" s="72" t="s">
        <v>74</v>
      </c>
      <c r="P17" s="72" t="s">
        <v>74</v>
      </c>
      <c r="Q17" s="39" t="s">
        <v>114</v>
      </c>
      <c r="R17" s="39" t="s">
        <v>115</v>
      </c>
      <c r="S17" s="39" t="s">
        <v>116</v>
      </c>
      <c r="T17" s="39" t="s">
        <v>117</v>
      </c>
      <c r="U17" s="39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39" t="s">
        <v>52</v>
      </c>
      <c r="E18" s="39" t="s">
        <v>53</v>
      </c>
      <c r="F18" s="39" t="s">
        <v>53</v>
      </c>
      <c r="G18" s="39" t="s">
        <v>53</v>
      </c>
      <c r="H18" s="39" t="s">
        <v>54</v>
      </c>
      <c r="I18" s="39"/>
      <c r="J18" s="39" t="s">
        <v>53</v>
      </c>
      <c r="K18" s="39" t="s">
        <v>53</v>
      </c>
      <c r="L18" s="39" t="s">
        <v>53</v>
      </c>
      <c r="M18" s="39" t="s">
        <v>54</v>
      </c>
      <c r="N18" s="39"/>
      <c r="O18" s="39" t="s">
        <v>53</v>
      </c>
      <c r="P18" s="39" t="s">
        <v>53</v>
      </c>
      <c r="Q18" s="39" t="s">
        <v>53</v>
      </c>
      <c r="R18" s="39" t="s">
        <v>54</v>
      </c>
      <c r="S18" s="39" t="s">
        <v>53</v>
      </c>
      <c r="T18" s="39" t="s">
        <v>53</v>
      </c>
      <c r="U18" s="39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39" t="s">
        <v>55</v>
      </c>
      <c r="D19" s="39" t="s">
        <v>56</v>
      </c>
      <c r="E19" s="39" t="s">
        <v>57</v>
      </c>
      <c r="F19" s="39" t="s">
        <v>58</v>
      </c>
      <c r="G19" s="39" t="s">
        <v>59</v>
      </c>
      <c r="H19" s="39" t="s">
        <v>60</v>
      </c>
      <c r="I19" s="39"/>
      <c r="J19" s="39" t="s">
        <v>61</v>
      </c>
      <c r="K19" s="39" t="s">
        <v>62</v>
      </c>
      <c r="L19" s="39" t="s">
        <v>63</v>
      </c>
      <c r="M19" s="39" t="s">
        <v>64</v>
      </c>
      <c r="N19" s="39"/>
      <c r="O19" s="39" t="s">
        <v>82</v>
      </c>
      <c r="P19" s="39" t="s">
        <v>83</v>
      </c>
      <c r="Q19" s="39" t="s">
        <v>84</v>
      </c>
      <c r="R19" s="39" t="s">
        <v>110</v>
      </c>
      <c r="S19" s="39" t="s">
        <v>111</v>
      </c>
      <c r="T19" s="39" t="s">
        <v>112</v>
      </c>
      <c r="U19" s="39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72"/>
      <c r="E20" s="72"/>
      <c r="F20" s="72"/>
      <c r="H20" s="72"/>
      <c r="I20" s="72"/>
      <c r="J20" s="72"/>
      <c r="K20" s="72"/>
      <c r="L20" s="72"/>
      <c r="M20" s="72"/>
      <c r="N20" s="72"/>
      <c r="O20" s="72"/>
      <c r="P20" s="39"/>
      <c r="Q20" s="39"/>
      <c r="R20" s="39"/>
      <c r="W20" s="8"/>
      <c r="X20" s="8"/>
      <c r="Y20" s="8"/>
      <c r="Z20" s="8"/>
      <c r="AA20" s="8"/>
      <c r="AB20" s="8"/>
      <c r="AC20" s="8"/>
      <c r="AD20" s="8"/>
    </row>
    <row r="21" spans="1:30" x14ac:dyDescent="0.3">
      <c r="A21" s="72">
        <v>1</v>
      </c>
      <c r="B21" s="72" t="s">
        <v>105</v>
      </c>
      <c r="C21" s="72" t="s">
        <v>65</v>
      </c>
      <c r="D21" s="51">
        <v>100</v>
      </c>
      <c r="E21" s="28">
        <f>Input!$H$26+Input!$K$26</f>
        <v>3228.21</v>
      </c>
      <c r="F21" s="28">
        <f>Input!$V$26</f>
        <v>4151</v>
      </c>
      <c r="G21" s="58">
        <f>F21-E21</f>
        <v>922.79</v>
      </c>
      <c r="H21" s="29">
        <f>ROUND(G21/E21,3)</f>
        <v>0.28599999999999998</v>
      </c>
      <c r="I21" s="40"/>
      <c r="J21" s="28">
        <f>Input!$I$26</f>
        <v>0</v>
      </c>
      <c r="K21" s="28">
        <f>Input!$W$26</f>
        <v>0</v>
      </c>
      <c r="L21" s="28">
        <f>K21-J21</f>
        <v>0</v>
      </c>
      <c r="M21" s="29">
        <f>IF(J21=0,0,ROUND(L21/J21,3))</f>
        <v>0</v>
      </c>
      <c r="N21" s="40"/>
      <c r="O21" s="28">
        <f>ROUND((D21*Input!$C$26),2)+ROUND((D21*Input!$N$26),2)</f>
        <v>64.290000000000006</v>
      </c>
      <c r="P21" s="28">
        <f>ROUND((D21*Input!$Q$26),2)+ROUND((D21*Input!$Z$26),2)</f>
        <v>78.45</v>
      </c>
      <c r="Q21" s="28">
        <f>P21-O21</f>
        <v>14.159999999999997</v>
      </c>
      <c r="R21" s="29">
        <f>ROUND(Q21/O21,3)</f>
        <v>0.22</v>
      </c>
      <c r="S21" s="28">
        <f>E21+J21+O21</f>
        <v>3292.5</v>
      </c>
      <c r="T21" s="28">
        <f>F21+K21+P21</f>
        <v>4229.45</v>
      </c>
      <c r="U21" s="29">
        <f>ROUND((T21-S21)/S21,3)</f>
        <v>0.28499999999999998</v>
      </c>
      <c r="V21" s="40"/>
      <c r="W21" s="47">
        <f t="shared" ref="W21:W39" si="0">E21+J21+O21</f>
        <v>3292.5</v>
      </c>
      <c r="X21" s="47">
        <f t="shared" ref="X21:X39" si="1">F21+K21+P21</f>
        <v>4229.45</v>
      </c>
      <c r="Y21" s="47">
        <f>X21-W21</f>
        <v>936.94999999999982</v>
      </c>
      <c r="Z21" s="29">
        <f>(X21-W21)/W21</f>
        <v>0.28457099468488983</v>
      </c>
      <c r="AA21" s="47">
        <v>0</v>
      </c>
      <c r="AB21" s="47">
        <f>W21+AA21</f>
        <v>3292.5</v>
      </c>
      <c r="AC21" s="47">
        <f>X21+AA21</f>
        <v>4229.45</v>
      </c>
      <c r="AD21" s="29">
        <f>(AC21-AB21)/AB21</f>
        <v>0.28457099468488983</v>
      </c>
    </row>
    <row r="22" spans="1:30" x14ac:dyDescent="0.3">
      <c r="A22" s="72">
        <v>2</v>
      </c>
      <c r="B22" s="72" t="s">
        <v>69</v>
      </c>
      <c r="C22" s="72" t="s">
        <v>67</v>
      </c>
      <c r="D22" s="51">
        <v>150</v>
      </c>
      <c r="E22" s="28">
        <f>Input!$H$26+Input!$K$26</f>
        <v>3228.21</v>
      </c>
      <c r="F22" s="28">
        <f>Input!$V$26</f>
        <v>4151</v>
      </c>
      <c r="G22" s="58">
        <f t="shared" ref="G22:G35" si="2">F22-E22</f>
        <v>922.79</v>
      </c>
      <c r="H22" s="29">
        <f t="shared" ref="H22:H39" si="3">ROUND(G22/E22,3)</f>
        <v>0.28599999999999998</v>
      </c>
      <c r="I22" s="40"/>
      <c r="J22" s="28">
        <f>Input!$I$26</f>
        <v>0</v>
      </c>
      <c r="K22" s="28">
        <f>Input!$W$26</f>
        <v>0</v>
      </c>
      <c r="L22" s="28">
        <f t="shared" ref="L22:L39" si="4">K22-J22</f>
        <v>0</v>
      </c>
      <c r="M22" s="29">
        <f t="shared" ref="M22:M39" si="5">IF(J22=0,0,ROUND(L22/J22,3))</f>
        <v>0</v>
      </c>
      <c r="N22" s="40"/>
      <c r="O22" s="28">
        <f>ROUND((D22*Input!$C$26),2)+ROUND((D22*Input!$N$26),2)</f>
        <v>96.44</v>
      </c>
      <c r="P22" s="28">
        <f>ROUND((D22*Input!$Q$26),2)+ROUND((D22*Input!$Z$26),2)</f>
        <v>117.67999999999999</v>
      </c>
      <c r="Q22" s="28">
        <f t="shared" ref="Q22:Q35" si="6">P22-O22</f>
        <v>21.239999999999995</v>
      </c>
      <c r="R22" s="29">
        <f t="shared" ref="R22:R39" si="7">ROUND(Q22/O22,3)</f>
        <v>0.22</v>
      </c>
      <c r="S22" s="28">
        <f t="shared" ref="S22:S39" si="8">E22+J22+O22</f>
        <v>3324.65</v>
      </c>
      <c r="T22" s="28">
        <f t="shared" ref="T22:T39" si="9">F22+K22+P22</f>
        <v>4268.68</v>
      </c>
      <c r="U22" s="29">
        <f t="shared" ref="U22:U39" si="10">ROUND((T22-S22)/S22,3)</f>
        <v>0.28399999999999997</v>
      </c>
      <c r="V22" s="40"/>
      <c r="W22" s="47">
        <f t="shared" si="0"/>
        <v>3324.65</v>
      </c>
      <c r="X22" s="47">
        <f t="shared" si="1"/>
        <v>4268.68</v>
      </c>
      <c r="Y22" s="47">
        <f t="shared" ref="Y22:Y35" si="11">X22-W22</f>
        <v>944.0300000000002</v>
      </c>
      <c r="Z22" s="29">
        <f t="shared" ref="Z22:Z35" si="12">(X22-W22)/W22</f>
        <v>0.28394868632788417</v>
      </c>
      <c r="AA22" s="47">
        <v>0</v>
      </c>
      <c r="AB22" s="47">
        <f t="shared" ref="AB22:AB35" si="13">W22+AA22</f>
        <v>3324.65</v>
      </c>
      <c r="AC22" s="47">
        <f t="shared" ref="AC22:AC35" si="14">X22+AA22</f>
        <v>4268.68</v>
      </c>
      <c r="AD22" s="29">
        <f t="shared" ref="AD22:AD35" si="15">(AC22-AB22)/AB22</f>
        <v>0.28394868632788417</v>
      </c>
    </row>
    <row r="23" spans="1:30" x14ac:dyDescent="0.3">
      <c r="A23" s="72">
        <v>3</v>
      </c>
      <c r="B23" s="72" t="s">
        <v>91</v>
      </c>
      <c r="D23" s="51">
        <v>300</v>
      </c>
      <c r="E23" s="28">
        <f>Input!$H$26+Input!$K$26</f>
        <v>3228.21</v>
      </c>
      <c r="F23" s="28">
        <f>Input!$V$26</f>
        <v>4151</v>
      </c>
      <c r="G23" s="58">
        <f t="shared" si="2"/>
        <v>922.79</v>
      </c>
      <c r="H23" s="29">
        <f t="shared" si="3"/>
        <v>0.28599999999999998</v>
      </c>
      <c r="I23" s="40"/>
      <c r="J23" s="28">
        <f>Input!$I$26</f>
        <v>0</v>
      </c>
      <c r="K23" s="28">
        <f>Input!$W$26</f>
        <v>0</v>
      </c>
      <c r="L23" s="28">
        <f t="shared" si="4"/>
        <v>0</v>
      </c>
      <c r="M23" s="29">
        <f t="shared" si="5"/>
        <v>0</v>
      </c>
      <c r="N23" s="40"/>
      <c r="O23" s="28">
        <f>ROUND((D23*Input!$C$26),2)+ROUND((D23*Input!$N$26),2)</f>
        <v>192.87</v>
      </c>
      <c r="P23" s="28">
        <f>ROUND((D23*Input!$Q$26),2)+ROUND((D23*Input!$Z$26),2)</f>
        <v>235.35</v>
      </c>
      <c r="Q23" s="28">
        <f t="shared" si="6"/>
        <v>42.47999999999999</v>
      </c>
      <c r="R23" s="29">
        <f t="shared" si="7"/>
        <v>0.22</v>
      </c>
      <c r="S23" s="28">
        <f t="shared" si="8"/>
        <v>3421.08</v>
      </c>
      <c r="T23" s="28">
        <f t="shared" si="9"/>
        <v>4386.3500000000004</v>
      </c>
      <c r="U23" s="29">
        <f t="shared" si="10"/>
        <v>0.28199999999999997</v>
      </c>
      <c r="V23" s="40"/>
      <c r="W23" s="47">
        <f t="shared" si="0"/>
        <v>3421.08</v>
      </c>
      <c r="X23" s="47">
        <f t="shared" si="1"/>
        <v>4386.3500000000004</v>
      </c>
      <c r="Y23" s="47">
        <f t="shared" si="11"/>
        <v>965.27000000000044</v>
      </c>
      <c r="Z23" s="29">
        <f t="shared" si="12"/>
        <v>0.28215358892513487</v>
      </c>
      <c r="AA23" s="47">
        <v>0</v>
      </c>
      <c r="AB23" s="47">
        <f t="shared" si="13"/>
        <v>3421.08</v>
      </c>
      <c r="AC23" s="47">
        <f t="shared" si="14"/>
        <v>4386.3500000000004</v>
      </c>
      <c r="AD23" s="29">
        <f t="shared" si="15"/>
        <v>0.28215358892513487</v>
      </c>
    </row>
    <row r="24" spans="1:30" x14ac:dyDescent="0.3">
      <c r="A24" s="72">
        <v>4</v>
      </c>
      <c r="B24" s="72" t="s">
        <v>41</v>
      </c>
      <c r="D24" s="51">
        <v>500</v>
      </c>
      <c r="E24" s="28">
        <f>Input!$H$26+Input!$K$26</f>
        <v>3228.21</v>
      </c>
      <c r="F24" s="28">
        <f>Input!$V$26</f>
        <v>4151</v>
      </c>
      <c r="G24" s="58">
        <f t="shared" si="2"/>
        <v>922.79</v>
      </c>
      <c r="H24" s="29">
        <f t="shared" si="3"/>
        <v>0.28599999999999998</v>
      </c>
      <c r="I24" s="40"/>
      <c r="J24" s="28">
        <f>Input!$I$26</f>
        <v>0</v>
      </c>
      <c r="K24" s="28">
        <f>Input!$W$26</f>
        <v>0</v>
      </c>
      <c r="L24" s="28">
        <f t="shared" si="4"/>
        <v>0</v>
      </c>
      <c r="M24" s="29">
        <f t="shared" si="5"/>
        <v>0</v>
      </c>
      <c r="N24" s="40"/>
      <c r="O24" s="28">
        <f>ROUND((D24*Input!$C$26),2)+ROUND((D24*Input!$N$26),2)</f>
        <v>321.45</v>
      </c>
      <c r="P24" s="28">
        <f>ROUND((D24*Input!$Q$26),2)+ROUND((D24*Input!$Z$26),2)</f>
        <v>392.25</v>
      </c>
      <c r="Q24" s="28">
        <f t="shared" si="6"/>
        <v>70.800000000000011</v>
      </c>
      <c r="R24" s="29">
        <f t="shared" si="7"/>
        <v>0.22</v>
      </c>
      <c r="S24" s="28">
        <f t="shared" si="8"/>
        <v>3549.66</v>
      </c>
      <c r="T24" s="28">
        <f t="shared" si="9"/>
        <v>4543.25</v>
      </c>
      <c r="U24" s="29">
        <f t="shared" si="10"/>
        <v>0.28000000000000003</v>
      </c>
      <c r="V24" s="40"/>
      <c r="W24" s="47">
        <f t="shared" si="0"/>
        <v>3549.66</v>
      </c>
      <c r="X24" s="47">
        <f t="shared" si="1"/>
        <v>4543.25</v>
      </c>
      <c r="Y24" s="47">
        <f t="shared" si="11"/>
        <v>993.59000000000015</v>
      </c>
      <c r="Z24" s="29">
        <f t="shared" si="12"/>
        <v>0.27991131544993048</v>
      </c>
      <c r="AA24" s="47">
        <v>0</v>
      </c>
      <c r="AB24" s="47">
        <f t="shared" si="13"/>
        <v>3549.66</v>
      </c>
      <c r="AC24" s="47">
        <f t="shared" si="14"/>
        <v>4543.25</v>
      </c>
      <c r="AD24" s="29">
        <f t="shared" si="15"/>
        <v>0.27991131544993048</v>
      </c>
    </row>
    <row r="25" spans="1:30" x14ac:dyDescent="0.3">
      <c r="A25" s="72">
        <v>5</v>
      </c>
      <c r="B25" s="72" t="s">
        <v>88</v>
      </c>
      <c r="D25" s="51">
        <v>1000</v>
      </c>
      <c r="E25" s="28">
        <f>Input!$H$26+Input!$K$26</f>
        <v>3228.21</v>
      </c>
      <c r="F25" s="28">
        <f>Input!$V$26</f>
        <v>4151</v>
      </c>
      <c r="G25" s="58">
        <f t="shared" si="2"/>
        <v>922.79</v>
      </c>
      <c r="H25" s="29">
        <f t="shared" si="3"/>
        <v>0.28599999999999998</v>
      </c>
      <c r="I25" s="40"/>
      <c r="J25" s="28">
        <f>Input!$I$26</f>
        <v>0</v>
      </c>
      <c r="K25" s="28">
        <f>Input!$W$26</f>
        <v>0</v>
      </c>
      <c r="L25" s="28">
        <f t="shared" si="4"/>
        <v>0</v>
      </c>
      <c r="M25" s="29">
        <f t="shared" si="5"/>
        <v>0</v>
      </c>
      <c r="N25" s="40"/>
      <c r="O25" s="28">
        <f>ROUND((D25*Input!$C$26),2)+ROUND((D25*Input!$N$26),2)</f>
        <v>642.9</v>
      </c>
      <c r="P25" s="28">
        <f>ROUND((D25*Input!$Q$26),2)+ROUND((D25*Input!$Z$26),2)</f>
        <v>784.5</v>
      </c>
      <c r="Q25" s="28">
        <f t="shared" si="6"/>
        <v>141.60000000000002</v>
      </c>
      <c r="R25" s="29">
        <f t="shared" si="7"/>
        <v>0.22</v>
      </c>
      <c r="S25" s="28">
        <f t="shared" si="8"/>
        <v>3871.11</v>
      </c>
      <c r="T25" s="28">
        <f t="shared" si="9"/>
        <v>4935.5</v>
      </c>
      <c r="U25" s="29">
        <f t="shared" si="10"/>
        <v>0.27500000000000002</v>
      </c>
      <c r="V25" s="40"/>
      <c r="W25" s="47">
        <f t="shared" si="0"/>
        <v>3871.11</v>
      </c>
      <c r="X25" s="47">
        <f t="shared" si="1"/>
        <v>4935.5</v>
      </c>
      <c r="Y25" s="47">
        <f t="shared" si="11"/>
        <v>1064.3899999999999</v>
      </c>
      <c r="Z25" s="29">
        <f t="shared" si="12"/>
        <v>0.27495731198545115</v>
      </c>
      <c r="AA25" s="47">
        <v>0</v>
      </c>
      <c r="AB25" s="47">
        <f t="shared" si="13"/>
        <v>3871.11</v>
      </c>
      <c r="AC25" s="47">
        <f t="shared" si="14"/>
        <v>4935.5</v>
      </c>
      <c r="AD25" s="29">
        <f t="shared" si="15"/>
        <v>0.27495731198545115</v>
      </c>
    </row>
    <row r="26" spans="1:30" x14ac:dyDescent="0.3">
      <c r="A26" s="72">
        <v>6</v>
      </c>
      <c r="D26" s="51">
        <v>3000</v>
      </c>
      <c r="E26" s="28">
        <f>Input!$H$26+Input!$K$26</f>
        <v>3228.21</v>
      </c>
      <c r="F26" s="28">
        <f>Input!$V$26</f>
        <v>4151</v>
      </c>
      <c r="G26" s="58">
        <f t="shared" si="2"/>
        <v>922.79</v>
      </c>
      <c r="H26" s="29">
        <f t="shared" si="3"/>
        <v>0.28599999999999998</v>
      </c>
      <c r="I26" s="40"/>
      <c r="J26" s="28">
        <f>Input!$I$26</f>
        <v>0</v>
      </c>
      <c r="K26" s="28">
        <f>Input!$W$26</f>
        <v>0</v>
      </c>
      <c r="L26" s="28">
        <f t="shared" si="4"/>
        <v>0</v>
      </c>
      <c r="M26" s="29">
        <f t="shared" si="5"/>
        <v>0</v>
      </c>
      <c r="N26" s="40"/>
      <c r="O26" s="28">
        <f>ROUND((D26*Input!$C$26),2)+ROUND((D26*Input!$N$26),2)</f>
        <v>1928.7</v>
      </c>
      <c r="P26" s="28">
        <f>ROUND((D26*Input!$Q$26),2)+ROUND((D26*Input!$Z$26),2)</f>
        <v>2353.5</v>
      </c>
      <c r="Q26" s="28">
        <f t="shared" si="6"/>
        <v>424.79999999999995</v>
      </c>
      <c r="R26" s="29">
        <f t="shared" si="7"/>
        <v>0.22</v>
      </c>
      <c r="S26" s="28">
        <f t="shared" si="8"/>
        <v>5156.91</v>
      </c>
      <c r="T26" s="28">
        <f t="shared" si="9"/>
        <v>6504.5</v>
      </c>
      <c r="U26" s="29">
        <f t="shared" si="10"/>
        <v>0.26100000000000001</v>
      </c>
      <c r="V26" s="40"/>
      <c r="W26" s="47">
        <f t="shared" si="0"/>
        <v>5156.91</v>
      </c>
      <c r="X26" s="47">
        <f t="shared" si="1"/>
        <v>6504.5</v>
      </c>
      <c r="Y26" s="47">
        <f t="shared" si="11"/>
        <v>1347.5900000000001</v>
      </c>
      <c r="Z26" s="29">
        <f t="shared" si="12"/>
        <v>0.26131733925936274</v>
      </c>
      <c r="AA26" s="47">
        <v>0</v>
      </c>
      <c r="AB26" s="47">
        <f t="shared" si="13"/>
        <v>5156.91</v>
      </c>
      <c r="AC26" s="47">
        <f t="shared" si="14"/>
        <v>6504.5</v>
      </c>
      <c r="AD26" s="29">
        <f t="shared" si="15"/>
        <v>0.26131733925936274</v>
      </c>
    </row>
    <row r="27" spans="1:30" x14ac:dyDescent="0.3">
      <c r="A27" s="72">
        <v>7</v>
      </c>
      <c r="D27" s="51">
        <v>4000</v>
      </c>
      <c r="E27" s="28">
        <f>Input!$H$26+Input!$K$26</f>
        <v>3228.21</v>
      </c>
      <c r="F27" s="28">
        <f>Input!$V$26</f>
        <v>4151</v>
      </c>
      <c r="G27" s="58">
        <f>F27-E27</f>
        <v>922.79</v>
      </c>
      <c r="H27" s="29">
        <f t="shared" si="3"/>
        <v>0.28599999999999998</v>
      </c>
      <c r="I27" s="40"/>
      <c r="J27" s="28">
        <f>Input!$I$26</f>
        <v>0</v>
      </c>
      <c r="K27" s="28">
        <f>Input!$W$26</f>
        <v>0</v>
      </c>
      <c r="L27" s="28">
        <f t="shared" si="4"/>
        <v>0</v>
      </c>
      <c r="M27" s="29">
        <f t="shared" si="5"/>
        <v>0</v>
      </c>
      <c r="N27" s="40"/>
      <c r="O27" s="28">
        <f>ROUND((D27*Input!$C$26),2)+ROUND((D27*Input!$N$26),2)</f>
        <v>2571.6</v>
      </c>
      <c r="P27" s="28">
        <f>ROUND((D27*Input!$Q$26),2)+ROUND((D27*Input!$Z$26),2)</f>
        <v>3138</v>
      </c>
      <c r="Q27" s="28">
        <f>P27-O27</f>
        <v>566.40000000000009</v>
      </c>
      <c r="R27" s="29">
        <f t="shared" si="7"/>
        <v>0.22</v>
      </c>
      <c r="S27" s="28">
        <f t="shared" si="8"/>
        <v>5799.8099999999995</v>
      </c>
      <c r="T27" s="28">
        <f t="shared" si="9"/>
        <v>7289</v>
      </c>
      <c r="U27" s="29">
        <f t="shared" si="10"/>
        <v>0.25700000000000001</v>
      </c>
      <c r="V27" s="40"/>
      <c r="W27" s="47">
        <f t="shared" si="0"/>
        <v>5799.8099999999995</v>
      </c>
      <c r="X27" s="47">
        <f t="shared" si="1"/>
        <v>7289</v>
      </c>
      <c r="Y27" s="47">
        <f t="shared" si="11"/>
        <v>1489.1900000000005</v>
      </c>
      <c r="Z27" s="29">
        <f t="shared" si="12"/>
        <v>0.25676530782904966</v>
      </c>
      <c r="AA27" s="47">
        <v>0</v>
      </c>
      <c r="AB27" s="47">
        <f t="shared" si="13"/>
        <v>5799.8099999999995</v>
      </c>
      <c r="AC27" s="47">
        <f t="shared" si="14"/>
        <v>7289</v>
      </c>
      <c r="AD27" s="29">
        <f t="shared" si="15"/>
        <v>0.25676530782904966</v>
      </c>
    </row>
    <row r="28" spans="1:30" x14ac:dyDescent="0.3">
      <c r="A28" s="72">
        <v>8</v>
      </c>
      <c r="D28" s="51">
        <v>5000</v>
      </c>
      <c r="E28" s="28">
        <f>Input!$H$26+Input!$K$26</f>
        <v>3228.21</v>
      </c>
      <c r="F28" s="28">
        <f>Input!$V$26</f>
        <v>4151</v>
      </c>
      <c r="G28" s="58">
        <f t="shared" si="2"/>
        <v>922.79</v>
      </c>
      <c r="H28" s="29">
        <f t="shared" si="3"/>
        <v>0.28599999999999998</v>
      </c>
      <c r="I28" s="40"/>
      <c r="J28" s="28">
        <f>Input!$I$26</f>
        <v>0</v>
      </c>
      <c r="K28" s="28">
        <f>Input!$W$26</f>
        <v>0</v>
      </c>
      <c r="L28" s="28">
        <f t="shared" si="4"/>
        <v>0</v>
      </c>
      <c r="M28" s="29">
        <f t="shared" si="5"/>
        <v>0</v>
      </c>
      <c r="N28" s="40"/>
      <c r="O28" s="28">
        <f>ROUND((D28*Input!$C$26),2)+ROUND((D28*Input!$N$26),2)</f>
        <v>3214.5</v>
      </c>
      <c r="P28" s="28">
        <f>ROUND((D28*Input!$Q$26),2)+ROUND((D28*Input!$Z$26),2)</f>
        <v>3922.5</v>
      </c>
      <c r="Q28" s="28">
        <f t="shared" si="6"/>
        <v>708</v>
      </c>
      <c r="R28" s="29">
        <f t="shared" si="7"/>
        <v>0.22</v>
      </c>
      <c r="S28" s="28">
        <f t="shared" si="8"/>
        <v>6442.71</v>
      </c>
      <c r="T28" s="28">
        <f t="shared" si="9"/>
        <v>8073.5</v>
      </c>
      <c r="U28" s="29">
        <f t="shared" si="10"/>
        <v>0.253</v>
      </c>
      <c r="V28" s="40"/>
      <c r="W28" s="47">
        <f t="shared" si="0"/>
        <v>6442.71</v>
      </c>
      <c r="X28" s="47">
        <f t="shared" si="1"/>
        <v>8073.5</v>
      </c>
      <c r="Y28" s="47">
        <f t="shared" si="11"/>
        <v>1630.79</v>
      </c>
      <c r="Z28" s="29">
        <f t="shared" si="12"/>
        <v>0.25312174535249915</v>
      </c>
      <c r="AA28" s="47">
        <v>0</v>
      </c>
      <c r="AB28" s="47">
        <f t="shared" si="13"/>
        <v>6442.71</v>
      </c>
      <c r="AC28" s="47">
        <f t="shared" si="14"/>
        <v>8073.5</v>
      </c>
      <c r="AD28" s="29">
        <f t="shared" si="15"/>
        <v>0.25312174535249915</v>
      </c>
    </row>
    <row r="29" spans="1:30" x14ac:dyDescent="0.3">
      <c r="A29" s="72">
        <v>9</v>
      </c>
      <c r="B29" s="72"/>
      <c r="D29" s="51">
        <v>10000</v>
      </c>
      <c r="E29" s="28">
        <f>Input!$H$26+Input!$K$26</f>
        <v>3228.21</v>
      </c>
      <c r="F29" s="28">
        <f>Input!$V$26</f>
        <v>4151</v>
      </c>
      <c r="G29" s="58">
        <f t="shared" si="2"/>
        <v>922.79</v>
      </c>
      <c r="H29" s="29">
        <f t="shared" si="3"/>
        <v>0.28599999999999998</v>
      </c>
      <c r="I29" s="40"/>
      <c r="J29" s="28">
        <f>Input!$I$26</f>
        <v>0</v>
      </c>
      <c r="K29" s="28">
        <f>Input!$W$26</f>
        <v>0</v>
      </c>
      <c r="L29" s="28">
        <f t="shared" si="4"/>
        <v>0</v>
      </c>
      <c r="M29" s="29">
        <f t="shared" si="5"/>
        <v>0</v>
      </c>
      <c r="N29" s="40"/>
      <c r="O29" s="28">
        <f>ROUND((D29*Input!$C$26),2)+ROUND((D29*Input!$N$26),2)</f>
        <v>6429</v>
      </c>
      <c r="P29" s="28">
        <f>ROUND((D29*Input!$Q$26),2)+ROUND((D29*Input!$Z$26),2)</f>
        <v>7845</v>
      </c>
      <c r="Q29" s="28">
        <f t="shared" si="6"/>
        <v>1416</v>
      </c>
      <c r="R29" s="29">
        <f t="shared" si="7"/>
        <v>0.22</v>
      </c>
      <c r="S29" s="28">
        <f t="shared" si="8"/>
        <v>9657.2099999999991</v>
      </c>
      <c r="T29" s="28">
        <f t="shared" si="9"/>
        <v>11996</v>
      </c>
      <c r="U29" s="29">
        <f t="shared" si="10"/>
        <v>0.24199999999999999</v>
      </c>
      <c r="V29" s="40"/>
      <c r="W29" s="47">
        <f t="shared" si="0"/>
        <v>9657.2099999999991</v>
      </c>
      <c r="X29" s="47">
        <f t="shared" si="1"/>
        <v>11996</v>
      </c>
      <c r="Y29" s="47">
        <f t="shared" si="11"/>
        <v>2338.7900000000009</v>
      </c>
      <c r="Z29" s="29">
        <f t="shared" si="12"/>
        <v>0.24218071264889146</v>
      </c>
      <c r="AA29" s="47">
        <v>0</v>
      </c>
      <c r="AB29" s="47">
        <f t="shared" si="13"/>
        <v>9657.2099999999991</v>
      </c>
      <c r="AC29" s="47">
        <f t="shared" si="14"/>
        <v>11996</v>
      </c>
      <c r="AD29" s="29">
        <f t="shared" si="15"/>
        <v>0.24218071264889146</v>
      </c>
    </row>
    <row r="30" spans="1:30" x14ac:dyDescent="0.3">
      <c r="A30" s="72">
        <v>10</v>
      </c>
      <c r="B30" s="72"/>
      <c r="D30" s="51">
        <v>15000</v>
      </c>
      <c r="E30" s="28">
        <f>Input!$H$26+Input!$K$26</f>
        <v>3228.21</v>
      </c>
      <c r="F30" s="28">
        <f>Input!$V$26</f>
        <v>4151</v>
      </c>
      <c r="G30" s="58">
        <f t="shared" si="2"/>
        <v>922.79</v>
      </c>
      <c r="H30" s="29">
        <f t="shared" si="3"/>
        <v>0.28599999999999998</v>
      </c>
      <c r="I30" s="40"/>
      <c r="J30" s="28">
        <f>Input!$I$26</f>
        <v>0</v>
      </c>
      <c r="K30" s="28">
        <f>Input!$W$26</f>
        <v>0</v>
      </c>
      <c r="L30" s="28">
        <f t="shared" si="4"/>
        <v>0</v>
      </c>
      <c r="M30" s="29">
        <f t="shared" si="5"/>
        <v>0</v>
      </c>
      <c r="N30" s="40"/>
      <c r="O30" s="28">
        <f>ROUND((D30*Input!$C$26),2)+ROUND((D30*Input!$N$26),2)</f>
        <v>9643.5</v>
      </c>
      <c r="P30" s="28">
        <f>ROUND((D30*Input!$Q$26),2)+ROUND((D30*Input!$Z$26),2)</f>
        <v>11767.5</v>
      </c>
      <c r="Q30" s="28">
        <f t="shared" si="6"/>
        <v>2124</v>
      </c>
      <c r="R30" s="29">
        <f t="shared" si="7"/>
        <v>0.22</v>
      </c>
      <c r="S30" s="28">
        <f t="shared" si="8"/>
        <v>12871.71</v>
      </c>
      <c r="T30" s="28">
        <f t="shared" si="9"/>
        <v>15918.5</v>
      </c>
      <c r="U30" s="29">
        <f t="shared" si="10"/>
        <v>0.23699999999999999</v>
      </c>
      <c r="V30" s="40"/>
      <c r="W30" s="47">
        <f t="shared" si="0"/>
        <v>12871.71</v>
      </c>
      <c r="X30" s="47">
        <f t="shared" si="1"/>
        <v>15918.5</v>
      </c>
      <c r="Y30" s="47">
        <f t="shared" si="11"/>
        <v>3046.7900000000009</v>
      </c>
      <c r="Z30" s="29">
        <f t="shared" si="12"/>
        <v>0.23670436950490659</v>
      </c>
      <c r="AA30" s="47">
        <v>0</v>
      </c>
      <c r="AB30" s="47">
        <f t="shared" si="13"/>
        <v>12871.71</v>
      </c>
      <c r="AC30" s="47">
        <f t="shared" si="14"/>
        <v>15918.5</v>
      </c>
      <c r="AD30" s="29">
        <f t="shared" si="15"/>
        <v>0.23670436950490659</v>
      </c>
    </row>
    <row r="31" spans="1:30" x14ac:dyDescent="0.3">
      <c r="A31" s="72">
        <v>11</v>
      </c>
      <c r="D31" s="51">
        <v>20000</v>
      </c>
      <c r="E31" s="28">
        <f>Input!$H$26+Input!$K$26</f>
        <v>3228.21</v>
      </c>
      <c r="F31" s="28">
        <f>Input!$V$26</f>
        <v>4151</v>
      </c>
      <c r="G31" s="58">
        <f t="shared" si="2"/>
        <v>922.79</v>
      </c>
      <c r="H31" s="29">
        <f t="shared" si="3"/>
        <v>0.28599999999999998</v>
      </c>
      <c r="I31" s="40"/>
      <c r="J31" s="28">
        <f>Input!$I$26</f>
        <v>0</v>
      </c>
      <c r="K31" s="28">
        <f>Input!$W$26</f>
        <v>0</v>
      </c>
      <c r="L31" s="28">
        <f t="shared" si="4"/>
        <v>0</v>
      </c>
      <c r="M31" s="29">
        <f t="shared" si="5"/>
        <v>0</v>
      </c>
      <c r="N31" s="40"/>
      <c r="O31" s="28">
        <f>ROUND((D31*Input!$C$26),2)+ROUND((D31*Input!$N$26),2)</f>
        <v>12858</v>
      </c>
      <c r="P31" s="28">
        <f>ROUND((D31*Input!$Q$26),2)+ROUND((D31*Input!$Z$26),2)</f>
        <v>15690</v>
      </c>
      <c r="Q31" s="28">
        <f t="shared" si="6"/>
        <v>2832</v>
      </c>
      <c r="R31" s="29">
        <f t="shared" si="7"/>
        <v>0.22</v>
      </c>
      <c r="S31" s="28">
        <f t="shared" si="8"/>
        <v>16086.21</v>
      </c>
      <c r="T31" s="28">
        <f t="shared" si="9"/>
        <v>19841</v>
      </c>
      <c r="U31" s="29">
        <f t="shared" si="10"/>
        <v>0.23300000000000001</v>
      </c>
      <c r="V31" s="40"/>
      <c r="W31" s="47">
        <f t="shared" si="0"/>
        <v>16086.21</v>
      </c>
      <c r="X31" s="47">
        <f t="shared" si="1"/>
        <v>19841</v>
      </c>
      <c r="Y31" s="47">
        <f t="shared" si="11"/>
        <v>3754.7900000000009</v>
      </c>
      <c r="Z31" s="29">
        <f t="shared" si="12"/>
        <v>0.23341669666130188</v>
      </c>
      <c r="AA31" s="47">
        <v>0</v>
      </c>
      <c r="AB31" s="47">
        <f t="shared" si="13"/>
        <v>16086.21</v>
      </c>
      <c r="AC31" s="47">
        <f t="shared" si="14"/>
        <v>19841</v>
      </c>
      <c r="AD31" s="29">
        <f t="shared" si="15"/>
        <v>0.23341669666130188</v>
      </c>
    </row>
    <row r="32" spans="1:30" x14ac:dyDescent="0.3">
      <c r="A32" s="72">
        <v>12</v>
      </c>
      <c r="D32" s="51">
        <v>25000</v>
      </c>
      <c r="E32" s="28">
        <f>Input!$H$26+Input!$K$26</f>
        <v>3228.21</v>
      </c>
      <c r="F32" s="28">
        <f>Input!$V$26</f>
        <v>4151</v>
      </c>
      <c r="G32" s="58">
        <f t="shared" si="2"/>
        <v>922.79</v>
      </c>
      <c r="H32" s="29">
        <f t="shared" si="3"/>
        <v>0.28599999999999998</v>
      </c>
      <c r="I32" s="40"/>
      <c r="J32" s="28">
        <f>Input!$I$26</f>
        <v>0</v>
      </c>
      <c r="K32" s="28">
        <f>Input!$W$26</f>
        <v>0</v>
      </c>
      <c r="L32" s="28">
        <f t="shared" si="4"/>
        <v>0</v>
      </c>
      <c r="M32" s="29">
        <f t="shared" si="5"/>
        <v>0</v>
      </c>
      <c r="N32" s="40"/>
      <c r="O32" s="28">
        <f>ROUND((D32*Input!$C$26),2)+ROUND((D32*Input!$N$26),2)</f>
        <v>16072.5</v>
      </c>
      <c r="P32" s="28">
        <f>ROUND((D32*Input!$Q$26),2)+ROUND((D32*Input!$Z$26),2)</f>
        <v>19612.5</v>
      </c>
      <c r="Q32" s="28">
        <f t="shared" si="6"/>
        <v>3540</v>
      </c>
      <c r="R32" s="29">
        <f t="shared" si="7"/>
        <v>0.22</v>
      </c>
      <c r="S32" s="28">
        <f t="shared" si="8"/>
        <v>19300.71</v>
      </c>
      <c r="T32" s="28">
        <f t="shared" si="9"/>
        <v>23763.5</v>
      </c>
      <c r="U32" s="29">
        <f t="shared" si="10"/>
        <v>0.23100000000000001</v>
      </c>
      <c r="V32" s="40"/>
      <c r="W32" s="47">
        <f t="shared" si="0"/>
        <v>19300.71</v>
      </c>
      <c r="X32" s="47">
        <f t="shared" si="1"/>
        <v>23763.5</v>
      </c>
      <c r="Y32" s="47">
        <f t="shared" si="11"/>
        <v>4462.7900000000009</v>
      </c>
      <c r="Z32" s="29">
        <f t="shared" si="12"/>
        <v>0.23122413631415636</v>
      </c>
      <c r="AA32" s="47">
        <v>0</v>
      </c>
      <c r="AB32" s="47">
        <f t="shared" si="13"/>
        <v>19300.71</v>
      </c>
      <c r="AC32" s="47">
        <f t="shared" si="14"/>
        <v>23763.5</v>
      </c>
      <c r="AD32" s="29">
        <f t="shared" si="15"/>
        <v>0.23122413631415636</v>
      </c>
    </row>
    <row r="33" spans="1:30" x14ac:dyDescent="0.3">
      <c r="A33" s="72">
        <v>13</v>
      </c>
      <c r="D33" s="51">
        <v>30000</v>
      </c>
      <c r="E33" s="28">
        <f>Input!$H$26+Input!$K$26</f>
        <v>3228.21</v>
      </c>
      <c r="F33" s="28">
        <f>Input!$V$26</f>
        <v>4151</v>
      </c>
      <c r="G33" s="58">
        <f t="shared" si="2"/>
        <v>922.79</v>
      </c>
      <c r="H33" s="29">
        <f t="shared" si="3"/>
        <v>0.28599999999999998</v>
      </c>
      <c r="I33" s="40"/>
      <c r="J33" s="28">
        <f>Input!$I$26</f>
        <v>0</v>
      </c>
      <c r="K33" s="28">
        <f>Input!$W$26</f>
        <v>0</v>
      </c>
      <c r="L33" s="28">
        <f t="shared" si="4"/>
        <v>0</v>
      </c>
      <c r="M33" s="29">
        <f t="shared" si="5"/>
        <v>0</v>
      </c>
      <c r="N33" s="40"/>
      <c r="O33" s="28">
        <f>ROUND((D33*Input!$C$26),2)+ROUND((D33*Input!$N$26),2)</f>
        <v>19287</v>
      </c>
      <c r="P33" s="28">
        <f>ROUND((D33*Input!$Q$26),2)+ROUND((D33*Input!$Z$26),2)</f>
        <v>23535</v>
      </c>
      <c r="Q33" s="28">
        <f t="shared" si="6"/>
        <v>4248</v>
      </c>
      <c r="R33" s="29">
        <f t="shared" si="7"/>
        <v>0.22</v>
      </c>
      <c r="S33" s="28">
        <f t="shared" si="8"/>
        <v>22515.21</v>
      </c>
      <c r="T33" s="28">
        <f t="shared" si="9"/>
        <v>27686</v>
      </c>
      <c r="U33" s="29">
        <f t="shared" si="10"/>
        <v>0.23</v>
      </c>
      <c r="V33" s="40"/>
      <c r="W33" s="47">
        <f t="shared" si="0"/>
        <v>22515.21</v>
      </c>
      <c r="X33" s="47">
        <f t="shared" si="1"/>
        <v>27686</v>
      </c>
      <c r="Y33" s="47">
        <f t="shared" si="11"/>
        <v>5170.7900000000009</v>
      </c>
      <c r="Z33" s="29">
        <f t="shared" si="12"/>
        <v>0.22965764032402988</v>
      </c>
      <c r="AA33" s="47">
        <v>0</v>
      </c>
      <c r="AB33" s="47">
        <f t="shared" si="13"/>
        <v>22515.21</v>
      </c>
      <c r="AC33" s="47">
        <f t="shared" si="14"/>
        <v>27686</v>
      </c>
      <c r="AD33" s="29">
        <f t="shared" si="15"/>
        <v>0.22965764032402988</v>
      </c>
    </row>
    <row r="34" spans="1:30" x14ac:dyDescent="0.3">
      <c r="A34" s="72">
        <v>14</v>
      </c>
      <c r="D34" s="51">
        <v>35000</v>
      </c>
      <c r="E34" s="28">
        <f>Input!$H$26+Input!$K$26</f>
        <v>3228.21</v>
      </c>
      <c r="F34" s="28">
        <f>Input!$V$26</f>
        <v>4151</v>
      </c>
      <c r="G34" s="58">
        <f t="shared" si="2"/>
        <v>922.79</v>
      </c>
      <c r="H34" s="29">
        <f t="shared" si="3"/>
        <v>0.28599999999999998</v>
      </c>
      <c r="I34" s="40"/>
      <c r="J34" s="28">
        <f>Input!$I$26</f>
        <v>0</v>
      </c>
      <c r="K34" s="28">
        <f>Input!$W$26</f>
        <v>0</v>
      </c>
      <c r="L34" s="28">
        <f t="shared" si="4"/>
        <v>0</v>
      </c>
      <c r="M34" s="29">
        <f t="shared" si="5"/>
        <v>0</v>
      </c>
      <c r="N34" s="40"/>
      <c r="O34" s="28">
        <f>ROUND((Input!$C$26*Input!$AC$26),2)+ROUND((Input!$D$26*(D34-Input!$AC$26)),2)+ROUND((D34*Input!$N$26),2)</f>
        <v>21227.5</v>
      </c>
      <c r="P34" s="28">
        <f>ROUND((Input!$Q$26*Input!$AJ$26),2)+ROUND((Input!$R$26*(D34-Input!$AJ$26)),2)+ROUND((D34*Input!$Z$26),2)</f>
        <v>25896.5</v>
      </c>
      <c r="Q34" s="28">
        <f t="shared" si="6"/>
        <v>4669</v>
      </c>
      <c r="R34" s="29">
        <f t="shared" si="7"/>
        <v>0.22</v>
      </c>
      <c r="S34" s="28">
        <f t="shared" si="8"/>
        <v>24455.71</v>
      </c>
      <c r="T34" s="28">
        <f t="shared" si="9"/>
        <v>30047.5</v>
      </c>
      <c r="U34" s="29">
        <f t="shared" si="10"/>
        <v>0.22900000000000001</v>
      </c>
      <c r="V34" s="40"/>
      <c r="W34" s="47">
        <f t="shared" si="0"/>
        <v>24455.71</v>
      </c>
      <c r="X34" s="47">
        <f t="shared" si="1"/>
        <v>30047.5</v>
      </c>
      <c r="Y34" s="47">
        <f t="shared" si="11"/>
        <v>5591.7900000000009</v>
      </c>
      <c r="Z34" s="29">
        <f t="shared" si="12"/>
        <v>0.22864966913657386</v>
      </c>
      <c r="AA34" s="47">
        <v>0</v>
      </c>
      <c r="AB34" s="47">
        <f t="shared" si="13"/>
        <v>24455.71</v>
      </c>
      <c r="AC34" s="47">
        <f t="shared" si="14"/>
        <v>30047.5</v>
      </c>
      <c r="AD34" s="29">
        <f t="shared" si="15"/>
        <v>0.22864966913657386</v>
      </c>
    </row>
    <row r="35" spans="1:30" x14ac:dyDescent="0.3">
      <c r="A35" s="72">
        <v>15</v>
      </c>
      <c r="D35" s="51">
        <v>40000</v>
      </c>
      <c r="E35" s="28">
        <f>Input!$H$26+Input!$K$26</f>
        <v>3228.21</v>
      </c>
      <c r="F35" s="28">
        <f>Input!$V$26</f>
        <v>4151</v>
      </c>
      <c r="G35" s="58">
        <f t="shared" si="2"/>
        <v>922.79</v>
      </c>
      <c r="H35" s="29">
        <f t="shared" si="3"/>
        <v>0.28599999999999998</v>
      </c>
      <c r="I35" s="40"/>
      <c r="J35" s="28">
        <f>Input!$I$26</f>
        <v>0</v>
      </c>
      <c r="K35" s="28">
        <f>Input!$W$26</f>
        <v>0</v>
      </c>
      <c r="L35" s="28">
        <f t="shared" si="4"/>
        <v>0</v>
      </c>
      <c r="M35" s="29">
        <f t="shared" si="5"/>
        <v>0</v>
      </c>
      <c r="N35" s="40"/>
      <c r="O35" s="28">
        <f>ROUND((Input!$C$26*Input!$AC$26),2)+ROUND((Input!$D$26*(D35-Input!$AC$26)),2)+ROUND((D35*Input!$N$26),2)</f>
        <v>23168</v>
      </c>
      <c r="P35" s="28">
        <f>ROUND((Input!$Q$26*Input!$AJ$26),2)+ROUND((Input!$R$26*(D35-Input!$AJ$26)),2)+ROUND((D35*Input!$Z$26),2)</f>
        <v>28258</v>
      </c>
      <c r="Q35" s="28">
        <f t="shared" si="6"/>
        <v>5090</v>
      </c>
      <c r="R35" s="29">
        <f t="shared" si="7"/>
        <v>0.22</v>
      </c>
      <c r="S35" s="28">
        <f t="shared" si="8"/>
        <v>26396.21</v>
      </c>
      <c r="T35" s="28">
        <f t="shared" si="9"/>
        <v>32409</v>
      </c>
      <c r="U35" s="29">
        <f t="shared" si="10"/>
        <v>0.22800000000000001</v>
      </c>
      <c r="V35" s="40"/>
      <c r="W35" s="47">
        <f t="shared" si="0"/>
        <v>26396.21</v>
      </c>
      <c r="X35" s="47">
        <f t="shared" si="1"/>
        <v>32409</v>
      </c>
      <c r="Y35" s="47">
        <f t="shared" si="11"/>
        <v>6012.7900000000009</v>
      </c>
      <c r="Z35" s="29">
        <f t="shared" si="12"/>
        <v>0.22778989862559818</v>
      </c>
      <c r="AA35" s="47">
        <v>0</v>
      </c>
      <c r="AB35" s="47">
        <f t="shared" si="13"/>
        <v>26396.21</v>
      </c>
      <c r="AC35" s="47">
        <f t="shared" si="14"/>
        <v>32409</v>
      </c>
      <c r="AD35" s="29">
        <f t="shared" si="15"/>
        <v>0.22778989862559818</v>
      </c>
    </row>
    <row r="36" spans="1:30" x14ac:dyDescent="0.3">
      <c r="A36" s="72">
        <v>16</v>
      </c>
      <c r="D36" s="51">
        <v>45000</v>
      </c>
      <c r="E36" s="28">
        <f>Input!$H$26+Input!$K$26</f>
        <v>3228.21</v>
      </c>
      <c r="F36" s="28">
        <f>Input!$V$26</f>
        <v>4151</v>
      </c>
      <c r="G36" s="58">
        <f>F36-E36</f>
        <v>922.79</v>
      </c>
      <c r="H36" s="29">
        <f t="shared" si="3"/>
        <v>0.28599999999999998</v>
      </c>
      <c r="I36" s="40"/>
      <c r="J36" s="28">
        <f>Input!$I$26</f>
        <v>0</v>
      </c>
      <c r="K36" s="28">
        <f>Input!$W$26</f>
        <v>0</v>
      </c>
      <c r="L36" s="28">
        <f t="shared" si="4"/>
        <v>0</v>
      </c>
      <c r="M36" s="29">
        <f t="shared" si="5"/>
        <v>0</v>
      </c>
      <c r="N36" s="40"/>
      <c r="O36" s="28">
        <f>ROUND((Input!$C$26*Input!$AC$26),2)+ROUND((Input!$D$26*(D36-Input!$AC$26)),2)+ROUND((D36*Input!$N$26),2)</f>
        <v>25108.5</v>
      </c>
      <c r="P36" s="28">
        <f>ROUND((Input!$Q$26*Input!$AJ$26),2)+ROUND((Input!$R$26*(D36-Input!$AJ$26)),2)+ROUND((D36*Input!$Z$26),2)</f>
        <v>30619.5</v>
      </c>
      <c r="Q36" s="28">
        <f>P36-O36</f>
        <v>5511</v>
      </c>
      <c r="R36" s="29">
        <f t="shared" si="7"/>
        <v>0.219</v>
      </c>
      <c r="S36" s="28">
        <f t="shared" si="8"/>
        <v>28336.71</v>
      </c>
      <c r="T36" s="28">
        <f t="shared" si="9"/>
        <v>34770.5</v>
      </c>
      <c r="U36" s="29">
        <f t="shared" si="10"/>
        <v>0.22700000000000001</v>
      </c>
      <c r="V36" s="40"/>
      <c r="W36" s="47">
        <f t="shared" si="0"/>
        <v>28336.71</v>
      </c>
      <c r="X36" s="47">
        <f t="shared" si="1"/>
        <v>34770.5</v>
      </c>
      <c r="Y36" s="47">
        <f>X36-W36</f>
        <v>6433.7900000000009</v>
      </c>
      <c r="Z36" s="29">
        <f>(X36-W36)/W36</f>
        <v>0.22704788241119034</v>
      </c>
      <c r="AA36" s="47">
        <v>0</v>
      </c>
      <c r="AB36" s="47">
        <f>W36+AA36</f>
        <v>28336.71</v>
      </c>
      <c r="AC36" s="47">
        <f>X36+AA36</f>
        <v>34770.5</v>
      </c>
      <c r="AD36" s="29">
        <f>(AC36-AB36)/AB36</f>
        <v>0.22704788241119034</v>
      </c>
    </row>
    <row r="37" spans="1:30" x14ac:dyDescent="0.3">
      <c r="A37" s="72">
        <v>17</v>
      </c>
      <c r="D37" s="51">
        <v>50000</v>
      </c>
      <c r="E37" s="28">
        <f>Input!$H$26+Input!$K$26</f>
        <v>3228.21</v>
      </c>
      <c r="F37" s="28">
        <f>Input!$V$26</f>
        <v>4151</v>
      </c>
      <c r="G37" s="58">
        <f>F37-E37</f>
        <v>922.79</v>
      </c>
      <c r="H37" s="29">
        <f t="shared" si="3"/>
        <v>0.28599999999999998</v>
      </c>
      <c r="I37" s="40"/>
      <c r="J37" s="28">
        <f>Input!$I$26</f>
        <v>0</v>
      </c>
      <c r="K37" s="28">
        <f>Input!$W$26</f>
        <v>0</v>
      </c>
      <c r="L37" s="28">
        <f t="shared" si="4"/>
        <v>0</v>
      </c>
      <c r="M37" s="29">
        <f t="shared" si="5"/>
        <v>0</v>
      </c>
      <c r="N37" s="40"/>
      <c r="O37" s="28">
        <f>ROUND((Input!$C$26*Input!$AC$26),2)+ROUND((Input!$D$26*(D37-Input!$AC$26)),2)+ROUND((D37*Input!$N$26),2)</f>
        <v>27049</v>
      </c>
      <c r="P37" s="28">
        <f>ROUND((Input!$Q$26*Input!$AJ$26),2)+ROUND((Input!$R$26*(D37-Input!$AJ$26)),2)+ROUND((D37*Input!$Z$26),2)</f>
        <v>32981</v>
      </c>
      <c r="Q37" s="28">
        <f>P37-O37</f>
        <v>5932</v>
      </c>
      <c r="R37" s="29">
        <f t="shared" si="7"/>
        <v>0.219</v>
      </c>
      <c r="S37" s="28">
        <f t="shared" si="8"/>
        <v>30277.21</v>
      </c>
      <c r="T37" s="28">
        <f t="shared" si="9"/>
        <v>37132</v>
      </c>
      <c r="U37" s="29">
        <f t="shared" si="10"/>
        <v>0.22600000000000001</v>
      </c>
      <c r="V37" s="40"/>
      <c r="W37" s="47">
        <f t="shared" si="0"/>
        <v>30277.21</v>
      </c>
      <c r="X37" s="47">
        <f t="shared" si="1"/>
        <v>37132</v>
      </c>
      <c r="Y37" s="47">
        <f>X37-W37</f>
        <v>6854.7900000000009</v>
      </c>
      <c r="Z37" s="29">
        <f>(X37-W37)/W37</f>
        <v>0.22640097948258778</v>
      </c>
      <c r="AA37" s="47">
        <v>0</v>
      </c>
      <c r="AB37" s="47">
        <f>W37+AA37</f>
        <v>30277.21</v>
      </c>
      <c r="AC37" s="47">
        <f>X37+AA37</f>
        <v>37132</v>
      </c>
      <c r="AD37" s="29">
        <f>(AC37-AB37)/AB37</f>
        <v>0.22640097948258778</v>
      </c>
    </row>
    <row r="38" spans="1:30" x14ac:dyDescent="0.3">
      <c r="A38" s="72">
        <v>18</v>
      </c>
      <c r="D38" s="51">
        <v>55000</v>
      </c>
      <c r="E38" s="28">
        <f>Input!$H$26+Input!$K$26</f>
        <v>3228.21</v>
      </c>
      <c r="F38" s="28">
        <f>Input!$V$26</f>
        <v>4151</v>
      </c>
      <c r="G38" s="58">
        <f>F38-E38</f>
        <v>922.79</v>
      </c>
      <c r="H38" s="29">
        <f t="shared" si="3"/>
        <v>0.28599999999999998</v>
      </c>
      <c r="I38" s="40"/>
      <c r="J38" s="28">
        <f>Input!$I$26</f>
        <v>0</v>
      </c>
      <c r="K38" s="28">
        <f>Input!$W$26</f>
        <v>0</v>
      </c>
      <c r="L38" s="28">
        <f t="shared" si="4"/>
        <v>0</v>
      </c>
      <c r="M38" s="29">
        <f t="shared" si="5"/>
        <v>0</v>
      </c>
      <c r="N38" s="40"/>
      <c r="O38" s="28">
        <f>ROUND((Input!$C$26*Input!$AC$26),2)+ROUND((Input!$D$26*(D38-Input!$AC$26)),2)+ROUND((D38*Input!$N$26),2)</f>
        <v>28989.5</v>
      </c>
      <c r="P38" s="28">
        <f>ROUND((Input!$Q$26*Input!$AJ$26),2)+ROUND((Input!$R$26*(D38-Input!$AJ$26)),2)+ROUND((D38*Input!$Z$26),2)</f>
        <v>35342.5</v>
      </c>
      <c r="Q38" s="28">
        <f>P38-O38</f>
        <v>6353</v>
      </c>
      <c r="R38" s="29">
        <f t="shared" si="7"/>
        <v>0.219</v>
      </c>
      <c r="S38" s="28">
        <f t="shared" si="8"/>
        <v>32217.71</v>
      </c>
      <c r="T38" s="28">
        <f t="shared" si="9"/>
        <v>39493.5</v>
      </c>
      <c r="U38" s="29">
        <f t="shared" si="10"/>
        <v>0.22600000000000001</v>
      </c>
      <c r="V38" s="40"/>
      <c r="W38" s="47">
        <f t="shared" si="0"/>
        <v>32217.71</v>
      </c>
      <c r="X38" s="47">
        <f t="shared" si="1"/>
        <v>39493.5</v>
      </c>
      <c r="Y38" s="47">
        <f>X38-W38</f>
        <v>7275.7900000000009</v>
      </c>
      <c r="Z38" s="29">
        <f>(X38-W38)/W38</f>
        <v>0.22583200357815628</v>
      </c>
      <c r="AA38" s="47">
        <v>0</v>
      </c>
      <c r="AB38" s="47">
        <f>W38+AA38</f>
        <v>32217.71</v>
      </c>
      <c r="AC38" s="47">
        <f>X38+AA38</f>
        <v>39493.5</v>
      </c>
      <c r="AD38" s="29">
        <f>(AC38-AB38)/AB38</f>
        <v>0.22583200357815628</v>
      </c>
    </row>
    <row r="39" spans="1:30" x14ac:dyDescent="0.3">
      <c r="A39" s="72">
        <v>19</v>
      </c>
      <c r="D39" s="51">
        <v>60000</v>
      </c>
      <c r="E39" s="28">
        <f>Input!$H$26+Input!$K$26</f>
        <v>3228.21</v>
      </c>
      <c r="F39" s="28">
        <f>Input!$V$26</f>
        <v>4151</v>
      </c>
      <c r="G39" s="58">
        <f>F39-E39</f>
        <v>922.79</v>
      </c>
      <c r="H39" s="29">
        <f t="shared" si="3"/>
        <v>0.28599999999999998</v>
      </c>
      <c r="I39" s="40"/>
      <c r="J39" s="28">
        <f>Input!$I$26</f>
        <v>0</v>
      </c>
      <c r="K39" s="28">
        <f>Input!$W$26</f>
        <v>0</v>
      </c>
      <c r="L39" s="28">
        <f t="shared" si="4"/>
        <v>0</v>
      </c>
      <c r="M39" s="29">
        <f t="shared" si="5"/>
        <v>0</v>
      </c>
      <c r="N39" s="40"/>
      <c r="O39" s="28">
        <f>ROUND((Input!$C$26*Input!$AC$26),2)+ROUND((Input!$D$26*(D39-Input!$AC$26)),2)+ROUND((D39*Input!$N$26),2)</f>
        <v>30930</v>
      </c>
      <c r="P39" s="28">
        <f>ROUND((Input!$Q$26*Input!$AJ$26),2)+ROUND((Input!$R$26*(D39-Input!$AJ$26)),2)+ROUND((D39*Input!$Z$26),2)</f>
        <v>37704</v>
      </c>
      <c r="Q39" s="28">
        <f>P39-O39</f>
        <v>6774</v>
      </c>
      <c r="R39" s="29">
        <f t="shared" si="7"/>
        <v>0.219</v>
      </c>
      <c r="S39" s="28">
        <f t="shared" si="8"/>
        <v>34158.21</v>
      </c>
      <c r="T39" s="28">
        <f t="shared" si="9"/>
        <v>41855</v>
      </c>
      <c r="U39" s="29">
        <f t="shared" si="10"/>
        <v>0.22500000000000001</v>
      </c>
      <c r="V39" s="40"/>
      <c r="W39" s="47">
        <f t="shared" si="0"/>
        <v>34158.21</v>
      </c>
      <c r="X39" s="47">
        <f t="shared" si="1"/>
        <v>41855</v>
      </c>
      <c r="Y39" s="47">
        <f>X39-W39</f>
        <v>7696.7900000000009</v>
      </c>
      <c r="Z39" s="29">
        <f>(X39-W39)/W39</f>
        <v>0.22532767378618496</v>
      </c>
      <c r="AA39" s="47">
        <v>0</v>
      </c>
      <c r="AB39" s="47">
        <f>W39+AA39</f>
        <v>34158.21</v>
      </c>
      <c r="AC39" s="47">
        <f>X39+AA39</f>
        <v>41855</v>
      </c>
      <c r="AD39" s="29">
        <f>(AC39-AB39)/AB39</f>
        <v>0.22532767378618496</v>
      </c>
    </row>
    <row r="40" spans="1:30" x14ac:dyDescent="0.3">
      <c r="A40" s="72"/>
    </row>
    <row r="41" spans="1:30" x14ac:dyDescent="0.3">
      <c r="A41" s="72"/>
      <c r="B41" s="36" t="s">
        <v>98</v>
      </c>
      <c r="D41" s="54">
        <f>ROUND(Input!AS26,0)</f>
        <v>0</v>
      </c>
    </row>
    <row r="42" spans="1:30" x14ac:dyDescent="0.3">
      <c r="A42" s="72"/>
      <c r="C42" s="8" t="s">
        <v>150</v>
      </c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2"/>
  <sheetViews>
    <sheetView tabSelected="1" workbookViewId="0">
      <selection sqref="A1:U1"/>
    </sheetView>
  </sheetViews>
  <sheetFormatPr defaultColWidth="9.296875" defaultRowHeight="13" x14ac:dyDescent="0.3"/>
  <cols>
    <col min="1" max="1" width="4.3984375" style="8" customWidth="1"/>
    <col min="2" max="2" width="10.8984375" style="8" customWidth="1"/>
    <col min="3" max="3" width="11.69921875" style="8" bestFit="1" customWidth="1"/>
    <col min="4" max="4" width="13.09765625" style="8" bestFit="1" customWidth="1"/>
    <col min="5" max="5" width="11.39843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8" width="12.09765625" style="8" bestFit="1" customWidth="1"/>
    <col min="19" max="19" width="13.09765625" style="69" bestFit="1" customWidth="1"/>
    <col min="20" max="20" width="13" style="69" bestFit="1" customWidth="1"/>
    <col min="21" max="21" width="11.09765625" style="69" customWidth="1"/>
    <col min="22" max="22" width="9.296875" style="8"/>
    <col min="23" max="23" width="14.8984375" style="8" hidden="1" customWidth="1"/>
    <col min="24" max="24" width="10.09765625" style="8" hidden="1" customWidth="1"/>
    <col min="25" max="25" width="10.69921875" style="8" hidden="1" customWidth="1"/>
    <col min="26" max="27" width="0" style="8" hidden="1" customWidth="1"/>
    <col min="28" max="29" width="10.09765625" style="8" hidden="1" customWidth="1"/>
    <col min="30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138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34</v>
      </c>
      <c r="C21" s="69" t="s">
        <v>65</v>
      </c>
      <c r="D21" s="51">
        <f>+D40</f>
        <v>0</v>
      </c>
      <c r="E21" s="28">
        <f>Input!$H$27</f>
        <v>0</v>
      </c>
      <c r="F21" s="28">
        <f>Input!$V$27</f>
        <v>0</v>
      </c>
      <c r="G21" s="58">
        <f>F21-E21</f>
        <v>0</v>
      </c>
      <c r="H21" s="29">
        <f>IF(E21=0,0,ROUND(G21/E21,3))</f>
        <v>0</v>
      </c>
      <c r="I21" s="29"/>
      <c r="J21" s="28">
        <f>Input!$I$27</f>
        <v>0</v>
      </c>
      <c r="K21" s="28">
        <f>Input!$W$27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ROUND((D21*Input!$C$27),2)</f>
        <v>0</v>
      </c>
      <c r="P21" s="28">
        <f>ROUND((D21*Input!$Q$27),2)</f>
        <v>0</v>
      </c>
      <c r="Q21" s="28">
        <f>P21-O21</f>
        <v>0</v>
      </c>
      <c r="R21" s="29">
        <f>IF(O21=0,0,ROUND(Q21/O21,3))</f>
        <v>0</v>
      </c>
      <c r="S21" s="28">
        <f>E21+J21+O21</f>
        <v>0</v>
      </c>
      <c r="T21" s="28">
        <f>F21+K21+P21</f>
        <v>0</v>
      </c>
      <c r="U21" s="29">
        <f>IF(S21=0,0,ROUND((T21-S21)/S21,3))</f>
        <v>0</v>
      </c>
      <c r="V21" s="31"/>
      <c r="W21" s="47">
        <f t="shared" ref="W21:W35" si="0">E21+J21+O21</f>
        <v>0</v>
      </c>
      <c r="X21" s="47">
        <f t="shared" ref="X21:X35" si="1">F21+K21+P21</f>
        <v>0</v>
      </c>
      <c r="Y21" s="47">
        <f>X21-W21</f>
        <v>0</v>
      </c>
      <c r="Z21" s="29" t="e">
        <f>(X21-W21)/W21</f>
        <v>#DIV/0!</v>
      </c>
      <c r="AA21" s="47">
        <v>0</v>
      </c>
      <c r="AB21" s="47">
        <f>W21+AA21</f>
        <v>0</v>
      </c>
      <c r="AC21" s="47">
        <f>X21+AA21</f>
        <v>0</v>
      </c>
      <c r="AD21" s="29" t="e">
        <f>(AC21-AB21)/AB21</f>
        <v>#DIV/0!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100</v>
      </c>
      <c r="E22" s="28">
        <f>Input!$H$27</f>
        <v>0</v>
      </c>
      <c r="F22" s="28">
        <f>Input!$V$27</f>
        <v>0</v>
      </c>
      <c r="G22" s="58">
        <f t="shared" ref="G22:G38" si="2">F22-E22</f>
        <v>0</v>
      </c>
      <c r="H22" s="29">
        <f t="shared" ref="H22:H38" si="3">IF(E22=0,0,ROUND(G22/E22,3))</f>
        <v>0</v>
      </c>
      <c r="I22" s="29"/>
      <c r="J22" s="28">
        <f>Input!$I$27</f>
        <v>0</v>
      </c>
      <c r="K22" s="28">
        <f>Input!$W$27</f>
        <v>0</v>
      </c>
      <c r="L22" s="28">
        <f t="shared" ref="L22:L38" si="4">K22-J22</f>
        <v>0</v>
      </c>
      <c r="M22" s="29">
        <f t="shared" ref="M22:M38" si="5">IF(J22=0,0,ROUND(L22/J22,3))</f>
        <v>0</v>
      </c>
      <c r="N22" s="30"/>
      <c r="O22" s="28">
        <f>ROUND((D22*Input!$C$27),2)</f>
        <v>0</v>
      </c>
      <c r="P22" s="28">
        <f>ROUND((D22*Input!$Q$27),2)</f>
        <v>0</v>
      </c>
      <c r="Q22" s="28">
        <f t="shared" ref="Q22:Q38" si="6">P22-O22</f>
        <v>0</v>
      </c>
      <c r="R22" s="29">
        <f t="shared" ref="R22:R38" si="7">IF(O22=0,0,ROUND(Q22/O22,3))</f>
        <v>0</v>
      </c>
      <c r="S22" s="28">
        <f t="shared" ref="S22:S38" si="8">E22+J22+O22</f>
        <v>0</v>
      </c>
      <c r="T22" s="28">
        <f t="shared" ref="T22:T38" si="9">F22+K22+P22</f>
        <v>0</v>
      </c>
      <c r="U22" s="29">
        <f t="shared" ref="U22:U38" si="10">IF(S22=0,0,ROUND((T22-S22)/S22,3))</f>
        <v>0</v>
      </c>
      <c r="V22" s="31"/>
      <c r="W22" s="47">
        <f t="shared" si="0"/>
        <v>0</v>
      </c>
      <c r="X22" s="47">
        <f t="shared" si="1"/>
        <v>0</v>
      </c>
      <c r="Y22" s="47">
        <f t="shared" ref="Y22:Y38" si="11">X22-W22</f>
        <v>0</v>
      </c>
      <c r="Z22" s="29" t="e">
        <f t="shared" ref="Z22:Z38" si="12">(X22-W22)/W22</f>
        <v>#DIV/0!</v>
      </c>
      <c r="AA22" s="47">
        <v>0</v>
      </c>
      <c r="AB22" s="47">
        <f t="shared" ref="AB22:AB38" si="13">W22+AA22</f>
        <v>0</v>
      </c>
      <c r="AC22" s="47">
        <f t="shared" ref="AC22:AC38" si="14">X22+AA22</f>
        <v>0</v>
      </c>
      <c r="AD22" s="29" t="e">
        <f t="shared" ref="AD22:AD38" si="15">(AC22-AB22)/AB22</f>
        <v>#DIV/0!</v>
      </c>
    </row>
    <row r="23" spans="1:30" x14ac:dyDescent="0.3">
      <c r="A23" s="69">
        <v>3</v>
      </c>
      <c r="B23" s="69" t="s">
        <v>91</v>
      </c>
      <c r="D23" s="51">
        <v>500</v>
      </c>
      <c r="E23" s="28">
        <f>Input!$H$27</f>
        <v>0</v>
      </c>
      <c r="F23" s="28">
        <f>Input!$V$27</f>
        <v>0</v>
      </c>
      <c r="G23" s="58">
        <f t="shared" si="2"/>
        <v>0</v>
      </c>
      <c r="H23" s="29">
        <f t="shared" si="3"/>
        <v>0</v>
      </c>
      <c r="I23" s="29"/>
      <c r="J23" s="28">
        <f>Input!$I$27</f>
        <v>0</v>
      </c>
      <c r="K23" s="28">
        <f>Input!$W$27</f>
        <v>0</v>
      </c>
      <c r="L23" s="28">
        <f t="shared" si="4"/>
        <v>0</v>
      </c>
      <c r="M23" s="29">
        <f t="shared" si="5"/>
        <v>0</v>
      </c>
      <c r="N23" s="30"/>
      <c r="O23" s="28">
        <f>ROUND((D23*Input!$C$27),2)</f>
        <v>0</v>
      </c>
      <c r="P23" s="28">
        <f>ROUND((D23*Input!$Q$27),2)</f>
        <v>0</v>
      </c>
      <c r="Q23" s="28">
        <f t="shared" si="6"/>
        <v>0</v>
      </c>
      <c r="R23" s="29">
        <f t="shared" si="7"/>
        <v>0</v>
      </c>
      <c r="S23" s="28">
        <f t="shared" si="8"/>
        <v>0</v>
      </c>
      <c r="T23" s="28">
        <f t="shared" si="9"/>
        <v>0</v>
      </c>
      <c r="U23" s="29">
        <f t="shared" si="10"/>
        <v>0</v>
      </c>
      <c r="V23" s="31"/>
      <c r="W23" s="47">
        <f t="shared" si="0"/>
        <v>0</v>
      </c>
      <c r="X23" s="47">
        <f t="shared" si="1"/>
        <v>0</v>
      </c>
      <c r="Y23" s="47">
        <f t="shared" si="11"/>
        <v>0</v>
      </c>
      <c r="Z23" s="29" t="e">
        <f t="shared" si="12"/>
        <v>#DIV/0!</v>
      </c>
      <c r="AA23" s="47">
        <v>0</v>
      </c>
      <c r="AB23" s="47">
        <f t="shared" si="13"/>
        <v>0</v>
      </c>
      <c r="AC23" s="47">
        <f t="shared" si="14"/>
        <v>0</v>
      </c>
      <c r="AD23" s="29" t="e">
        <f t="shared" si="15"/>
        <v>#DIV/0!</v>
      </c>
    </row>
    <row r="24" spans="1:30" x14ac:dyDescent="0.3">
      <c r="A24" s="69">
        <v>4</v>
      </c>
      <c r="B24" s="69" t="s">
        <v>41</v>
      </c>
      <c r="D24" s="51">
        <v>1000</v>
      </c>
      <c r="E24" s="28">
        <f>Input!$H$27</f>
        <v>0</v>
      </c>
      <c r="F24" s="28">
        <f>Input!$V$27</f>
        <v>0</v>
      </c>
      <c r="G24" s="58">
        <f t="shared" si="2"/>
        <v>0</v>
      </c>
      <c r="H24" s="29">
        <f t="shared" si="3"/>
        <v>0</v>
      </c>
      <c r="I24" s="29"/>
      <c r="J24" s="28">
        <f>Input!$I$27</f>
        <v>0</v>
      </c>
      <c r="K24" s="28">
        <f>Input!$W$27</f>
        <v>0</v>
      </c>
      <c r="L24" s="28">
        <f t="shared" si="4"/>
        <v>0</v>
      </c>
      <c r="M24" s="29">
        <f t="shared" si="5"/>
        <v>0</v>
      </c>
      <c r="N24" s="30"/>
      <c r="O24" s="28">
        <f>ROUND((D24*Input!$C$27),2)</f>
        <v>0</v>
      </c>
      <c r="P24" s="28">
        <f>ROUND((D24*Input!$Q$27),2)</f>
        <v>0</v>
      </c>
      <c r="Q24" s="28">
        <f t="shared" si="6"/>
        <v>0</v>
      </c>
      <c r="R24" s="29">
        <f t="shared" si="7"/>
        <v>0</v>
      </c>
      <c r="S24" s="28">
        <f t="shared" si="8"/>
        <v>0</v>
      </c>
      <c r="T24" s="28">
        <f t="shared" si="9"/>
        <v>0</v>
      </c>
      <c r="U24" s="29">
        <f t="shared" si="10"/>
        <v>0</v>
      </c>
      <c r="V24" s="31"/>
      <c r="W24" s="47">
        <f t="shared" si="0"/>
        <v>0</v>
      </c>
      <c r="X24" s="47">
        <f t="shared" si="1"/>
        <v>0</v>
      </c>
      <c r="Y24" s="47">
        <f t="shared" si="11"/>
        <v>0</v>
      </c>
      <c r="Z24" s="29" t="e">
        <f t="shared" si="12"/>
        <v>#DIV/0!</v>
      </c>
      <c r="AA24" s="47">
        <v>0</v>
      </c>
      <c r="AB24" s="47">
        <f t="shared" si="13"/>
        <v>0</v>
      </c>
      <c r="AC24" s="47">
        <f t="shared" si="14"/>
        <v>0</v>
      </c>
      <c r="AD24" s="29" t="e">
        <f t="shared" si="15"/>
        <v>#DIV/0!</v>
      </c>
    </row>
    <row r="25" spans="1:30" x14ac:dyDescent="0.3">
      <c r="A25" s="69">
        <v>5</v>
      </c>
      <c r="B25" s="69" t="s">
        <v>88</v>
      </c>
      <c r="D25" s="51">
        <v>3000</v>
      </c>
      <c r="E25" s="28">
        <f>Input!$H$27</f>
        <v>0</v>
      </c>
      <c r="F25" s="28">
        <f>Input!$V$27</f>
        <v>0</v>
      </c>
      <c r="G25" s="58">
        <f t="shared" si="2"/>
        <v>0</v>
      </c>
      <c r="H25" s="29">
        <f t="shared" si="3"/>
        <v>0</v>
      </c>
      <c r="I25" s="29"/>
      <c r="J25" s="28">
        <f>Input!$I$27</f>
        <v>0</v>
      </c>
      <c r="K25" s="28">
        <f>Input!$W$27</f>
        <v>0</v>
      </c>
      <c r="L25" s="28">
        <f t="shared" si="4"/>
        <v>0</v>
      </c>
      <c r="M25" s="29">
        <f t="shared" si="5"/>
        <v>0</v>
      </c>
      <c r="N25" s="30"/>
      <c r="O25" s="28">
        <f>ROUND((D25*Input!$C$27),2)</f>
        <v>0</v>
      </c>
      <c r="P25" s="28">
        <f>ROUND((D25*Input!$Q$27),2)</f>
        <v>0</v>
      </c>
      <c r="Q25" s="28">
        <f t="shared" si="6"/>
        <v>0</v>
      </c>
      <c r="R25" s="29">
        <f t="shared" si="7"/>
        <v>0</v>
      </c>
      <c r="S25" s="28">
        <f t="shared" si="8"/>
        <v>0</v>
      </c>
      <c r="T25" s="28">
        <f t="shared" si="9"/>
        <v>0</v>
      </c>
      <c r="U25" s="29">
        <f t="shared" si="10"/>
        <v>0</v>
      </c>
      <c r="V25" s="31"/>
      <c r="W25" s="47">
        <f t="shared" si="0"/>
        <v>0</v>
      </c>
      <c r="X25" s="47">
        <f t="shared" si="1"/>
        <v>0</v>
      </c>
      <c r="Y25" s="47">
        <f t="shared" si="11"/>
        <v>0</v>
      </c>
      <c r="Z25" s="29" t="e">
        <f t="shared" si="12"/>
        <v>#DIV/0!</v>
      </c>
      <c r="AA25" s="47">
        <v>0</v>
      </c>
      <c r="AB25" s="47">
        <f t="shared" si="13"/>
        <v>0</v>
      </c>
      <c r="AC25" s="47">
        <f t="shared" si="14"/>
        <v>0</v>
      </c>
      <c r="AD25" s="29" t="e">
        <f t="shared" si="15"/>
        <v>#DIV/0!</v>
      </c>
    </row>
    <row r="26" spans="1:30" x14ac:dyDescent="0.3">
      <c r="A26" s="69">
        <v>6</v>
      </c>
      <c r="D26" s="51">
        <v>5000</v>
      </c>
      <c r="E26" s="28">
        <f>Input!$H$27</f>
        <v>0</v>
      </c>
      <c r="F26" s="28">
        <f>Input!$V$27</f>
        <v>0</v>
      </c>
      <c r="G26" s="58">
        <f t="shared" si="2"/>
        <v>0</v>
      </c>
      <c r="H26" s="29">
        <f t="shared" si="3"/>
        <v>0</v>
      </c>
      <c r="I26" s="29"/>
      <c r="J26" s="28">
        <f>Input!$I$27</f>
        <v>0</v>
      </c>
      <c r="K26" s="28">
        <f>Input!$W$27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ROUND((D26*Input!$C$27),2)</f>
        <v>0</v>
      </c>
      <c r="P26" s="28">
        <f>ROUND((D26*Input!$Q$27),2)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3">
      <c r="A27" s="69">
        <v>7</v>
      </c>
      <c r="D27" s="51">
        <v>10000</v>
      </c>
      <c r="E27" s="28">
        <f>Input!$H$27</f>
        <v>0</v>
      </c>
      <c r="F27" s="28">
        <f>Input!$V$27</f>
        <v>0</v>
      </c>
      <c r="G27" s="58">
        <f t="shared" si="2"/>
        <v>0</v>
      </c>
      <c r="H27" s="29">
        <f t="shared" si="3"/>
        <v>0</v>
      </c>
      <c r="I27" s="29"/>
      <c r="J27" s="28">
        <f>Input!$I$27</f>
        <v>0</v>
      </c>
      <c r="K27" s="28">
        <f>Input!$W$27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ROUND((D27*Input!$C$27),2)</f>
        <v>0</v>
      </c>
      <c r="P27" s="28">
        <f>ROUND((D27*Input!$Q$27),2)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3">
      <c r="A28" s="69">
        <v>8</v>
      </c>
      <c r="B28" s="69"/>
      <c r="D28" s="51">
        <v>20000</v>
      </c>
      <c r="E28" s="28">
        <f>Input!$H$27</f>
        <v>0</v>
      </c>
      <c r="F28" s="28">
        <f>Input!$V$27</f>
        <v>0</v>
      </c>
      <c r="G28" s="58">
        <f t="shared" si="2"/>
        <v>0</v>
      </c>
      <c r="H28" s="29">
        <f t="shared" si="3"/>
        <v>0</v>
      </c>
      <c r="I28" s="29"/>
      <c r="J28" s="28">
        <f>Input!$I$27</f>
        <v>0</v>
      </c>
      <c r="K28" s="28">
        <f>Input!$W$27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ROUND((D28*Input!$C$27),2)</f>
        <v>0</v>
      </c>
      <c r="P28" s="28">
        <f>ROUND((D28*Input!$Q$27),2)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3">
      <c r="A29" s="69">
        <v>9</v>
      </c>
      <c r="B29" s="69"/>
      <c r="D29" s="51">
        <v>40000</v>
      </c>
      <c r="E29" s="28">
        <f>Input!$H$27</f>
        <v>0</v>
      </c>
      <c r="F29" s="28">
        <f>Input!$V$27</f>
        <v>0</v>
      </c>
      <c r="G29" s="58">
        <f t="shared" si="2"/>
        <v>0</v>
      </c>
      <c r="H29" s="29">
        <f t="shared" si="3"/>
        <v>0</v>
      </c>
      <c r="I29" s="29"/>
      <c r="J29" s="28">
        <f>Input!$I$27</f>
        <v>0</v>
      </c>
      <c r="K29" s="28">
        <f>Input!$W$27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ROUND((D29*Input!$C$27),2)</f>
        <v>0</v>
      </c>
      <c r="P29" s="28">
        <f>ROUND((D29*Input!$Q$27),2)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3">
      <c r="A30" s="69">
        <v>10</v>
      </c>
      <c r="D30" s="51">
        <v>60000</v>
      </c>
      <c r="E30" s="28">
        <f>Input!$H$27</f>
        <v>0</v>
      </c>
      <c r="F30" s="28">
        <f>Input!$V$27</f>
        <v>0</v>
      </c>
      <c r="G30" s="58">
        <f t="shared" si="2"/>
        <v>0</v>
      </c>
      <c r="H30" s="29">
        <f t="shared" si="3"/>
        <v>0</v>
      </c>
      <c r="I30" s="29"/>
      <c r="J30" s="28">
        <f>Input!$I$27</f>
        <v>0</v>
      </c>
      <c r="K30" s="28">
        <f>Input!$W$27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ROUND((D30*Input!$C$27),2)</f>
        <v>0</v>
      </c>
      <c r="P30" s="28">
        <f>ROUND((D30*Input!$Q$27),2)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3">
      <c r="A31" s="69">
        <v>11</v>
      </c>
      <c r="D31" s="51">
        <v>80000</v>
      </c>
      <c r="E31" s="28">
        <f>Input!$H$27</f>
        <v>0</v>
      </c>
      <c r="F31" s="28">
        <f>Input!$V$27</f>
        <v>0</v>
      </c>
      <c r="G31" s="58">
        <f t="shared" si="2"/>
        <v>0</v>
      </c>
      <c r="H31" s="29">
        <f t="shared" si="3"/>
        <v>0</v>
      </c>
      <c r="I31" s="29"/>
      <c r="J31" s="28">
        <f>Input!$I$27</f>
        <v>0</v>
      </c>
      <c r="K31" s="28">
        <f>Input!$W$27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ROUND((D31*Input!$C$27),2)</f>
        <v>0</v>
      </c>
      <c r="P31" s="28">
        <f>ROUND((D31*Input!$Q$27),2)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3">
      <c r="A32" s="69">
        <v>12</v>
      </c>
      <c r="D32" s="51">
        <v>100000</v>
      </c>
      <c r="E32" s="28">
        <f>Input!$H$27</f>
        <v>0</v>
      </c>
      <c r="F32" s="28">
        <f>Input!$V$27</f>
        <v>0</v>
      </c>
      <c r="G32" s="58">
        <f t="shared" si="2"/>
        <v>0</v>
      </c>
      <c r="H32" s="29">
        <f t="shared" si="3"/>
        <v>0</v>
      </c>
      <c r="I32" s="29"/>
      <c r="J32" s="28">
        <f>Input!$I$27</f>
        <v>0</v>
      </c>
      <c r="K32" s="28">
        <f>Input!$W$27</f>
        <v>0</v>
      </c>
      <c r="L32" s="28">
        <f t="shared" si="4"/>
        <v>0</v>
      </c>
      <c r="M32" s="29">
        <f t="shared" si="5"/>
        <v>0</v>
      </c>
      <c r="N32" s="31"/>
      <c r="O32" s="28">
        <f>ROUND((D32*Input!$C$27),2)</f>
        <v>0</v>
      </c>
      <c r="P32" s="28">
        <f>ROUND((D32*Input!$Q$27),2)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3">
      <c r="A33" s="69">
        <v>13</v>
      </c>
      <c r="D33" s="51">
        <v>125000</v>
      </c>
      <c r="E33" s="28">
        <f>Input!$H$27</f>
        <v>0</v>
      </c>
      <c r="F33" s="28">
        <f>Input!$V$27</f>
        <v>0</v>
      </c>
      <c r="G33" s="58">
        <f t="shared" si="2"/>
        <v>0</v>
      </c>
      <c r="H33" s="29">
        <f t="shared" si="3"/>
        <v>0</v>
      </c>
      <c r="I33" s="29"/>
      <c r="J33" s="28">
        <f>Input!$I$27</f>
        <v>0</v>
      </c>
      <c r="K33" s="28">
        <f>Input!$W$27</f>
        <v>0</v>
      </c>
      <c r="L33" s="28">
        <f t="shared" si="4"/>
        <v>0</v>
      </c>
      <c r="M33" s="29">
        <f t="shared" si="5"/>
        <v>0</v>
      </c>
      <c r="N33" s="31"/>
      <c r="O33" s="28">
        <f>ROUND((D33*Input!$C$27),2)</f>
        <v>0</v>
      </c>
      <c r="P33" s="28">
        <f>ROUND((D33*Input!$Q$27),2)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3">
      <c r="A34" s="69">
        <v>14</v>
      </c>
      <c r="D34" s="51">
        <v>150000</v>
      </c>
      <c r="E34" s="28">
        <f>Input!$H$27</f>
        <v>0</v>
      </c>
      <c r="F34" s="28">
        <f>Input!$V$27</f>
        <v>0</v>
      </c>
      <c r="G34" s="58">
        <f t="shared" si="2"/>
        <v>0</v>
      </c>
      <c r="H34" s="29">
        <f t="shared" si="3"/>
        <v>0</v>
      </c>
      <c r="I34" s="29"/>
      <c r="J34" s="28">
        <f>Input!$I$27</f>
        <v>0</v>
      </c>
      <c r="K34" s="28">
        <f>Input!$W$27</f>
        <v>0</v>
      </c>
      <c r="L34" s="28">
        <f t="shared" si="4"/>
        <v>0</v>
      </c>
      <c r="M34" s="29">
        <f t="shared" si="5"/>
        <v>0</v>
      </c>
      <c r="N34" s="31"/>
      <c r="O34" s="28">
        <f>ROUND((Input!$C$27*Input!$AC$27),2)+ROUND(Input!$D$27*(D34-Input!$AC$27),2)</f>
        <v>0</v>
      </c>
      <c r="P34" s="28">
        <f>ROUND((Input!$Q$27*Input!$AJ$27),2)+ROUND(Input!$R$27*(D34-Input!$AJ$27),2)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3">
      <c r="A35" s="69">
        <v>15</v>
      </c>
      <c r="D35" s="51">
        <v>175000</v>
      </c>
      <c r="E35" s="28">
        <f>Input!$H$27</f>
        <v>0</v>
      </c>
      <c r="F35" s="28">
        <f>Input!$V$27</f>
        <v>0</v>
      </c>
      <c r="G35" s="58">
        <f t="shared" si="2"/>
        <v>0</v>
      </c>
      <c r="H35" s="29">
        <f t="shared" si="3"/>
        <v>0</v>
      </c>
      <c r="I35" s="29"/>
      <c r="J35" s="28">
        <f>Input!$I$27</f>
        <v>0</v>
      </c>
      <c r="K35" s="28">
        <f>Input!$W$27</f>
        <v>0</v>
      </c>
      <c r="L35" s="28">
        <f t="shared" si="4"/>
        <v>0</v>
      </c>
      <c r="M35" s="29">
        <f t="shared" si="5"/>
        <v>0</v>
      </c>
      <c r="N35" s="31"/>
      <c r="O35" s="28">
        <f>ROUND((Input!$C$27*Input!$AC$27),2)+ROUND(Input!$D$27*(D35-Input!$AC$27),2)</f>
        <v>0</v>
      </c>
      <c r="P35" s="28">
        <f>ROUND((Input!$Q$27*Input!$AJ$27),2)+ROUND(Input!$R$27*(D35-Input!$AJ$27),2)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3">
      <c r="A36" s="69">
        <v>16</v>
      </c>
      <c r="D36" s="51">
        <v>200000</v>
      </c>
      <c r="E36" s="28">
        <f>Input!$H$27</f>
        <v>0</v>
      </c>
      <c r="F36" s="28">
        <f>Input!$V$27</f>
        <v>0</v>
      </c>
      <c r="G36" s="58">
        <f>F36-E36</f>
        <v>0</v>
      </c>
      <c r="H36" s="29">
        <f t="shared" si="3"/>
        <v>0</v>
      </c>
      <c r="I36" s="29"/>
      <c r="J36" s="28">
        <f>Input!$I$27</f>
        <v>0</v>
      </c>
      <c r="K36" s="28">
        <f>Input!$W$27</f>
        <v>0</v>
      </c>
      <c r="L36" s="28">
        <f t="shared" si="4"/>
        <v>0</v>
      </c>
      <c r="M36" s="29">
        <f t="shared" si="5"/>
        <v>0</v>
      </c>
      <c r="N36" s="31"/>
      <c r="O36" s="28">
        <f>ROUND((Input!$C$27*Input!$AC$27),2)+ROUND(Input!$D$27*(D36-Input!$AC$27),2)</f>
        <v>0</v>
      </c>
      <c r="P36" s="28">
        <f>ROUND((Input!$Q$27*Input!$AJ$27),2)+ROUND(Input!$R$27*(D36-Input!$AJ$27),2)</f>
        <v>0</v>
      </c>
      <c r="Q36" s="28">
        <f>P36-O36</f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ref="W36:X38" si="16">E36+J36+O36</f>
        <v>0</v>
      </c>
      <c r="X36" s="47">
        <f t="shared" si="16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3">
      <c r="A37" s="69">
        <v>17</v>
      </c>
      <c r="D37" s="51">
        <v>225000</v>
      </c>
      <c r="E37" s="28">
        <f>Input!$H$27</f>
        <v>0</v>
      </c>
      <c r="F37" s="28">
        <f>Input!$V$27</f>
        <v>0</v>
      </c>
      <c r="G37" s="58">
        <f t="shared" si="2"/>
        <v>0</v>
      </c>
      <c r="H37" s="29">
        <f t="shared" si="3"/>
        <v>0</v>
      </c>
      <c r="I37" s="29"/>
      <c r="J37" s="28">
        <f>Input!$I$27</f>
        <v>0</v>
      </c>
      <c r="K37" s="28">
        <f>Input!$W$27</f>
        <v>0</v>
      </c>
      <c r="L37" s="28">
        <f t="shared" si="4"/>
        <v>0</v>
      </c>
      <c r="M37" s="29">
        <f t="shared" si="5"/>
        <v>0</v>
      </c>
      <c r="N37" s="31"/>
      <c r="O37" s="28">
        <f>ROUND((Input!$C$27*Input!$AC$27),2)+ROUND(Input!$D$27*(D37-Input!$AC$27),2)</f>
        <v>0</v>
      </c>
      <c r="P37" s="28">
        <f>ROUND((Input!$Q$27*Input!$AJ$27),2)+ROUND(Input!$R$27*(D37-Input!$AJ$27),2)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16"/>
        <v>0</v>
      </c>
      <c r="X37" s="47">
        <f t="shared" si="16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3">
      <c r="A38" s="69">
        <v>18</v>
      </c>
      <c r="D38" s="51">
        <v>250000</v>
      </c>
      <c r="E38" s="28">
        <f>Input!$H$27</f>
        <v>0</v>
      </c>
      <c r="F38" s="28">
        <f>Input!$V$27</f>
        <v>0</v>
      </c>
      <c r="G38" s="58">
        <f t="shared" si="2"/>
        <v>0</v>
      </c>
      <c r="H38" s="29">
        <f t="shared" si="3"/>
        <v>0</v>
      </c>
      <c r="I38" s="29"/>
      <c r="J38" s="28">
        <f>Input!$I$27</f>
        <v>0</v>
      </c>
      <c r="K38" s="28">
        <f>Input!$W$27</f>
        <v>0</v>
      </c>
      <c r="L38" s="28">
        <f t="shared" si="4"/>
        <v>0</v>
      </c>
      <c r="M38" s="29">
        <f t="shared" si="5"/>
        <v>0</v>
      </c>
      <c r="N38" s="31"/>
      <c r="O38" s="28">
        <f>ROUND((Input!$C$27*Input!$AC$27),2)+ROUND(Input!$D$27*(D38-Input!$AC$27),2)</f>
        <v>0</v>
      </c>
      <c r="P38" s="28">
        <f>ROUND((Input!$Q$27*Input!$AJ$27),2)+ROUND(Input!$R$27*(D38-Input!$AJ$27),2)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16"/>
        <v>0</v>
      </c>
      <c r="X38" s="47">
        <f t="shared" si="16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ht="12" customHeight="1" x14ac:dyDescent="0.3">
      <c r="A39" s="69"/>
      <c r="D39" s="33"/>
      <c r="G39" s="34"/>
      <c r="H39" s="35"/>
      <c r="I39" s="35"/>
      <c r="J39" s="35"/>
      <c r="K39" s="35"/>
      <c r="L39" s="35"/>
      <c r="M39" s="35"/>
      <c r="N39" s="69"/>
      <c r="O39" s="69"/>
      <c r="Q39" s="34"/>
      <c r="R39" s="35"/>
      <c r="S39" s="34"/>
      <c r="T39" s="34"/>
      <c r="U39" s="35"/>
      <c r="W39" s="47"/>
      <c r="X39" s="47"/>
      <c r="Y39" s="47"/>
      <c r="Z39" s="29"/>
      <c r="AA39" s="47"/>
      <c r="AB39" s="47"/>
      <c r="AC39" s="47"/>
      <c r="AD39" s="29"/>
    </row>
    <row r="40" spans="1:30" x14ac:dyDescent="0.3">
      <c r="A40" s="69"/>
      <c r="B40" s="8" t="s">
        <v>98</v>
      </c>
      <c r="D40" s="53">
        <f>ROUND(Input!AS27,0)</f>
        <v>0</v>
      </c>
    </row>
    <row r="41" spans="1:30" x14ac:dyDescent="0.3">
      <c r="A41" s="69"/>
      <c r="C41" s="8" t="s">
        <v>150</v>
      </c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42"/>
  <sheetViews>
    <sheetView zoomScaleNormal="100" workbookViewId="0">
      <selection activeCell="S1" sqref="S1:T1048576"/>
    </sheetView>
  </sheetViews>
  <sheetFormatPr defaultColWidth="9.296875" defaultRowHeight="13" x14ac:dyDescent="0.3"/>
  <cols>
    <col min="1" max="1" width="4.3984375" style="8" customWidth="1"/>
    <col min="2" max="2" width="12.59765625" style="8" customWidth="1"/>
    <col min="3" max="3" width="11.69921875" style="8" customWidth="1"/>
    <col min="4" max="4" width="9.59765625" style="8" bestFit="1" customWidth="1"/>
    <col min="5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2.8984375" style="8" bestFit="1" customWidth="1"/>
    <col min="12" max="13" width="12.09765625" style="8" bestFit="1" customWidth="1"/>
    <col min="14" max="14" width="10.296875" style="8" customWidth="1"/>
    <col min="15" max="15" width="13.09765625" style="69" bestFit="1" customWidth="1"/>
    <col min="16" max="16" width="14.3984375" style="69" customWidth="1"/>
    <col min="17" max="17" width="12.3984375" style="69" customWidth="1"/>
    <col min="18" max="18" width="12.8984375" style="8" customWidth="1"/>
    <col min="19" max="19" width="17.3984375" style="84" bestFit="1" customWidth="1"/>
    <col min="20" max="20" width="10.296875" style="84" customWidth="1"/>
    <col min="21" max="22" width="10.69921875" style="8" hidden="1" customWidth="1"/>
    <col min="23" max="23" width="8.69921875" style="8" hidden="1" customWidth="1"/>
    <col min="24" max="24" width="0" style="8" hidden="1" customWidth="1"/>
    <col min="25" max="25" width="9.69921875" style="8" hidden="1" customWidth="1"/>
    <col min="26" max="26" width="10.69921875" style="8" hidden="1" customWidth="1"/>
    <col min="27" max="16384" width="9.296875" style="8"/>
  </cols>
  <sheetData>
    <row r="1" spans="1:26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6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26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6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26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26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</row>
    <row r="7" spans="1:26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</row>
    <row r="8" spans="1:26" x14ac:dyDescent="0.3">
      <c r="A8" s="8" t="s">
        <v>123</v>
      </c>
      <c r="Q8" s="31" t="s">
        <v>37</v>
      </c>
    </row>
    <row r="9" spans="1:26" x14ac:dyDescent="0.3">
      <c r="A9" s="8" t="s">
        <v>124</v>
      </c>
      <c r="Q9" s="31" t="s">
        <v>128</v>
      </c>
    </row>
    <row r="10" spans="1:26" x14ac:dyDescent="0.3">
      <c r="A10" s="8" t="s">
        <v>38</v>
      </c>
      <c r="Q10" s="31" t="str">
        <f>Input!$B$3</f>
        <v>Witness: Judith L. Siegler</v>
      </c>
    </row>
    <row r="12" spans="1:26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71"/>
      <c r="P12" s="71"/>
      <c r="Q12" s="71"/>
    </row>
    <row r="13" spans="1:26" x14ac:dyDescent="0.3">
      <c r="E13" s="91" t="s">
        <v>77</v>
      </c>
      <c r="F13" s="91"/>
      <c r="G13" s="91"/>
      <c r="H13" s="91"/>
      <c r="I13" s="26"/>
      <c r="J13" s="91" t="s">
        <v>78</v>
      </c>
      <c r="K13" s="91"/>
      <c r="L13" s="91"/>
      <c r="M13" s="91"/>
      <c r="N13" s="26"/>
      <c r="S13" s="85"/>
    </row>
    <row r="14" spans="1:26" x14ac:dyDescent="0.3">
      <c r="E14" s="69" t="s">
        <v>43</v>
      </c>
      <c r="F14" s="69" t="s">
        <v>44</v>
      </c>
      <c r="G14" s="69" t="s">
        <v>75</v>
      </c>
      <c r="H14" s="69" t="s">
        <v>46</v>
      </c>
      <c r="L14" s="69" t="s">
        <v>75</v>
      </c>
      <c r="M14" s="69" t="s">
        <v>46</v>
      </c>
      <c r="N14" s="69"/>
      <c r="O14" s="69" t="s">
        <v>39</v>
      </c>
      <c r="P14" s="69" t="s">
        <v>39</v>
      </c>
      <c r="Q14" s="69" t="s">
        <v>46</v>
      </c>
      <c r="Z14" s="69" t="s">
        <v>46</v>
      </c>
    </row>
    <row r="15" spans="1:26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43</v>
      </c>
      <c r="K15" s="69" t="s">
        <v>44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X15" s="69" t="s">
        <v>39</v>
      </c>
      <c r="Y15" s="69" t="s">
        <v>39</v>
      </c>
      <c r="Z15" s="69" t="s">
        <v>45</v>
      </c>
    </row>
    <row r="16" spans="1:26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79</v>
      </c>
      <c r="K16" s="69" t="s">
        <v>79</v>
      </c>
      <c r="L16" s="69" t="s">
        <v>76</v>
      </c>
      <c r="M16" s="69" t="s">
        <v>76</v>
      </c>
      <c r="N16" s="69" t="s">
        <v>139</v>
      </c>
      <c r="O16" s="69" t="s">
        <v>49</v>
      </c>
      <c r="P16" s="69" t="s">
        <v>49</v>
      </c>
      <c r="Q16" s="69" t="s">
        <v>76</v>
      </c>
      <c r="S16" s="26"/>
      <c r="T16" s="26"/>
      <c r="U16" s="69" t="s">
        <v>76</v>
      </c>
      <c r="V16" s="69" t="s">
        <v>76</v>
      </c>
      <c r="W16" s="27" t="s">
        <v>139</v>
      </c>
      <c r="X16" s="69" t="s">
        <v>43</v>
      </c>
      <c r="Y16" s="69" t="s">
        <v>44</v>
      </c>
      <c r="Z16" s="69" t="s">
        <v>76</v>
      </c>
    </row>
    <row r="17" spans="1:26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 t="s">
        <v>142</v>
      </c>
      <c r="O17" s="27" t="s">
        <v>116</v>
      </c>
      <c r="P17" s="27" t="s">
        <v>141</v>
      </c>
      <c r="Q17" s="27" t="s">
        <v>140</v>
      </c>
      <c r="S17" s="26"/>
      <c r="T17" s="26"/>
      <c r="U17" s="27" t="s">
        <v>50</v>
      </c>
      <c r="V17" s="27" t="s">
        <v>51</v>
      </c>
      <c r="W17" s="27" t="s">
        <v>142</v>
      </c>
      <c r="X17" s="69" t="s">
        <v>49</v>
      </c>
      <c r="Y17" s="69" t="s">
        <v>49</v>
      </c>
      <c r="Z17" s="27" t="s">
        <v>143</v>
      </c>
    </row>
    <row r="18" spans="1:26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 t="s">
        <v>53</v>
      </c>
      <c r="O18" s="27" t="s">
        <v>53</v>
      </c>
      <c r="P18" s="27" t="s">
        <v>53</v>
      </c>
      <c r="Q18" s="27" t="s">
        <v>54</v>
      </c>
      <c r="S18" s="86"/>
      <c r="T18" s="86"/>
      <c r="U18" s="27" t="s">
        <v>53</v>
      </c>
      <c r="V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</row>
    <row r="19" spans="1:26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 t="s">
        <v>82</v>
      </c>
      <c r="O19" s="27" t="s">
        <v>83</v>
      </c>
      <c r="P19" s="27" t="s">
        <v>84</v>
      </c>
      <c r="Q19" s="27" t="s">
        <v>110</v>
      </c>
      <c r="S19" s="86"/>
      <c r="T19" s="86"/>
      <c r="U19" s="27" t="s">
        <v>59</v>
      </c>
      <c r="V19" s="27" t="s">
        <v>60</v>
      </c>
      <c r="W19" s="27" t="s">
        <v>61</v>
      </c>
      <c r="X19" s="27" t="s">
        <v>62</v>
      </c>
      <c r="Y19" s="27" t="s">
        <v>63</v>
      </c>
      <c r="Z19" s="27" t="s">
        <v>64</v>
      </c>
    </row>
    <row r="20" spans="1:26" x14ac:dyDescent="0.3">
      <c r="D20" s="69"/>
      <c r="E20" s="69"/>
      <c r="F20" s="69"/>
      <c r="H20" s="69"/>
      <c r="I20" s="69"/>
      <c r="J20" s="69"/>
      <c r="K20" s="27"/>
      <c r="L20" s="27"/>
      <c r="M20" s="27"/>
      <c r="N20" s="27"/>
    </row>
    <row r="21" spans="1:26" x14ac:dyDescent="0.3">
      <c r="A21" s="69">
        <v>1</v>
      </c>
      <c r="B21" s="69" t="s">
        <v>17</v>
      </c>
      <c r="C21" s="69" t="s">
        <v>65</v>
      </c>
      <c r="D21" s="49">
        <v>1</v>
      </c>
      <c r="E21" s="28">
        <f>Input!$H$14+Input!$K$14+Input!$L$14+Input!$L$14</f>
        <v>23.209999999999997</v>
      </c>
      <c r="F21" s="28">
        <f>Input!$V$14+Input!$X$14+Input!$Y$14</f>
        <v>29.79</v>
      </c>
      <c r="G21" s="28">
        <f>F21-E21</f>
        <v>6.5800000000000018</v>
      </c>
      <c r="H21" s="29">
        <f>ROUND(G21/E21,3)</f>
        <v>0.28299999999999997</v>
      </c>
      <c r="I21" s="30"/>
      <c r="J21" s="28">
        <f>ROUND((D21*Input!$C$14),2)+ROUND((Input!$N$14*D21),2)+ROUND((D21*Input!$J$14),2)</f>
        <v>3.3</v>
      </c>
      <c r="K21" s="28">
        <f>ROUND((D21*Input!$Q$14),2)+ROUND((Input!$Z$14*D21),2)</f>
        <v>4.24</v>
      </c>
      <c r="L21" s="28">
        <f>K21-J21</f>
        <v>0.94000000000000039</v>
      </c>
      <c r="M21" s="29">
        <f>ROUND(L21/J21,3)</f>
        <v>0.28499999999999998</v>
      </c>
      <c r="N21" s="28">
        <v>0</v>
      </c>
      <c r="O21" s="28">
        <f>E21+J21+N21</f>
        <v>26.509999999999998</v>
      </c>
      <c r="P21" s="28">
        <f>F21+K21+N21</f>
        <v>34.03</v>
      </c>
      <c r="Q21" s="29">
        <f>ROUND((P21-O21)/O21,3)</f>
        <v>0.28399999999999997</v>
      </c>
      <c r="S21" s="87"/>
      <c r="T21" s="87"/>
      <c r="U21" s="47">
        <f>T21-S21</f>
        <v>0</v>
      </c>
      <c r="V21" s="29" t="e">
        <f>(T21-S21)/S21</f>
        <v>#DIV/0!</v>
      </c>
      <c r="W21" s="47">
        <v>0</v>
      </c>
      <c r="X21" s="47">
        <f>S21+W21</f>
        <v>0</v>
      </c>
      <c r="Y21" s="47">
        <f>T21+W21</f>
        <v>0</v>
      </c>
      <c r="Z21" s="29" t="e">
        <f>(Y21-X21)/X21</f>
        <v>#DIV/0!</v>
      </c>
    </row>
    <row r="22" spans="1:26" x14ac:dyDescent="0.3">
      <c r="A22" s="69">
        <v>2</v>
      </c>
      <c r="B22" s="69" t="s">
        <v>69</v>
      </c>
      <c r="C22" s="69" t="s">
        <v>67</v>
      </c>
      <c r="D22" s="49">
        <v>2</v>
      </c>
      <c r="E22" s="28">
        <f>Input!$H$14+Input!$K$14+Input!$L$14+Input!$L$14</f>
        <v>23.209999999999997</v>
      </c>
      <c r="F22" s="28">
        <f>Input!$V$14+Input!$X$14+Input!$Y$14</f>
        <v>29.79</v>
      </c>
      <c r="G22" s="28">
        <f t="shared" ref="G22:G31" si="0">F22-E22</f>
        <v>6.5800000000000018</v>
      </c>
      <c r="H22" s="29">
        <f t="shared" ref="H22:H31" si="1">ROUND(G22/E22,3)</f>
        <v>0.28299999999999997</v>
      </c>
      <c r="I22" s="30"/>
      <c r="J22" s="28">
        <f>ROUND((D22*Input!$C$14),2)+ROUND((Input!$N$14*D22),2)+ROUND((D22*Input!$J$14),2)</f>
        <v>6.59</v>
      </c>
      <c r="K22" s="28">
        <f>ROUND((D22*Input!$Q$14),2)+ROUND((Input!$Z$14*D22),2)</f>
        <v>8.4799999999999986</v>
      </c>
      <c r="L22" s="28">
        <f t="shared" ref="L22:L31" si="2">K22-J22</f>
        <v>1.8899999999999988</v>
      </c>
      <c r="M22" s="29">
        <f t="shared" ref="M22:M31" si="3">ROUND(L22/J22,3)</f>
        <v>0.28699999999999998</v>
      </c>
      <c r="N22" s="28">
        <v>0</v>
      </c>
      <c r="O22" s="28">
        <f t="shared" ref="O22:O32" si="4">E22+J22+N22</f>
        <v>29.799999999999997</v>
      </c>
      <c r="P22" s="28">
        <f t="shared" ref="P22:P32" si="5">F22+K22+N22</f>
        <v>38.269999999999996</v>
      </c>
      <c r="Q22" s="29">
        <f t="shared" ref="Q22:Q31" si="6">ROUND((P22-O22)/O22,3)</f>
        <v>0.28399999999999997</v>
      </c>
      <c r="S22" s="87"/>
      <c r="T22" s="87"/>
      <c r="U22" s="47">
        <f t="shared" ref="U22:U32" si="7">T22-S22</f>
        <v>0</v>
      </c>
      <c r="V22" s="29" t="e">
        <f t="shared" ref="V22:V32" si="8">(T22-S22)/S22</f>
        <v>#DIV/0!</v>
      </c>
      <c r="W22" s="47">
        <v>0</v>
      </c>
      <c r="X22" s="47">
        <f t="shared" ref="X22:X32" si="9">S22+W22</f>
        <v>0</v>
      </c>
      <c r="Y22" s="47">
        <f t="shared" ref="Y22:Y32" si="10">T22+W22</f>
        <v>0</v>
      </c>
      <c r="Z22" s="29" t="e">
        <f t="shared" ref="Z22:Z32" si="11">(Y22-X22)/X22</f>
        <v>#DIV/0!</v>
      </c>
    </row>
    <row r="23" spans="1:26" x14ac:dyDescent="0.3">
      <c r="A23" s="69">
        <v>3</v>
      </c>
      <c r="B23" s="69" t="s">
        <v>70</v>
      </c>
      <c r="D23" s="49">
        <v>4</v>
      </c>
      <c r="E23" s="28">
        <f>Input!$H$14+Input!$K$14+Input!$L$14+Input!$L$14</f>
        <v>23.209999999999997</v>
      </c>
      <c r="F23" s="28">
        <f>Input!$V$14+Input!$X$14+Input!$Y$14</f>
        <v>29.79</v>
      </c>
      <c r="G23" s="28">
        <f t="shared" si="0"/>
        <v>6.5800000000000018</v>
      </c>
      <c r="H23" s="29">
        <f t="shared" si="1"/>
        <v>0.28299999999999997</v>
      </c>
      <c r="I23" s="30"/>
      <c r="J23" s="28">
        <f>ROUND((D23*Input!$C$14),2)+ROUND((Input!$N$14*D23),2)+ROUND((D23*Input!$J$14),2)</f>
        <v>13.2</v>
      </c>
      <c r="K23" s="28">
        <f>ROUND((D23*Input!$Q$14),2)+ROUND((Input!$Z$14*D23),2)</f>
        <v>16.97</v>
      </c>
      <c r="L23" s="28">
        <f t="shared" si="2"/>
        <v>3.7699999999999996</v>
      </c>
      <c r="M23" s="29">
        <f t="shared" si="3"/>
        <v>0.28599999999999998</v>
      </c>
      <c r="N23" s="28">
        <v>0</v>
      </c>
      <c r="O23" s="28">
        <f t="shared" si="4"/>
        <v>36.409999999999997</v>
      </c>
      <c r="P23" s="28">
        <f t="shared" si="5"/>
        <v>46.76</v>
      </c>
      <c r="Q23" s="29">
        <f t="shared" si="6"/>
        <v>0.28399999999999997</v>
      </c>
      <c r="S23" s="87"/>
      <c r="T23" s="87"/>
      <c r="U23" s="47">
        <f t="shared" si="7"/>
        <v>0</v>
      </c>
      <c r="V23" s="29" t="e">
        <f t="shared" si="8"/>
        <v>#DIV/0!</v>
      </c>
      <c r="W23" s="47">
        <v>0</v>
      </c>
      <c r="X23" s="47">
        <f t="shared" si="9"/>
        <v>0</v>
      </c>
      <c r="Y23" s="47">
        <f t="shared" si="10"/>
        <v>0</v>
      </c>
      <c r="Z23" s="29" t="e">
        <f t="shared" si="11"/>
        <v>#DIV/0!</v>
      </c>
    </row>
    <row r="24" spans="1:26" x14ac:dyDescent="0.3">
      <c r="A24" s="69">
        <v>4</v>
      </c>
      <c r="B24" s="69" t="s">
        <v>66</v>
      </c>
      <c r="D24" s="49">
        <v>5.44</v>
      </c>
      <c r="E24" s="28">
        <f>Input!$H$14+Input!$K$14+Input!$L$14+Input!$L$14</f>
        <v>23.209999999999997</v>
      </c>
      <c r="F24" s="28">
        <f>Input!$V$14+Input!$X$14+Input!$Y$14</f>
        <v>29.79</v>
      </c>
      <c r="G24" s="28">
        <f t="shared" si="0"/>
        <v>6.5800000000000018</v>
      </c>
      <c r="H24" s="29">
        <f t="shared" si="1"/>
        <v>0.28299999999999997</v>
      </c>
      <c r="I24" s="30"/>
      <c r="J24" s="28">
        <f>ROUND((D24*Input!$C$14),2)+ROUND((Input!$N$14*D24),2)+ROUND((D24*Input!$J$14),2)</f>
        <v>17.939999999999998</v>
      </c>
      <c r="K24" s="28">
        <f>ROUND((D24*Input!$Q$14),2)+ROUND((Input!$Z$14*D24),2)</f>
        <v>23.069999999999997</v>
      </c>
      <c r="L24" s="28">
        <f t="shared" si="2"/>
        <v>5.129999999999999</v>
      </c>
      <c r="M24" s="29">
        <f t="shared" si="3"/>
        <v>0.28599999999999998</v>
      </c>
      <c r="N24" s="28">
        <v>0</v>
      </c>
      <c r="O24" s="28">
        <f t="shared" si="4"/>
        <v>41.149999999999991</v>
      </c>
      <c r="P24" s="28">
        <f t="shared" si="5"/>
        <v>52.86</v>
      </c>
      <c r="Q24" s="29">
        <f t="shared" si="6"/>
        <v>0.28499999999999998</v>
      </c>
      <c r="S24" s="87"/>
      <c r="T24" s="87"/>
      <c r="U24" s="47">
        <f t="shared" si="7"/>
        <v>0</v>
      </c>
      <c r="V24" s="29" t="e">
        <f t="shared" si="8"/>
        <v>#DIV/0!</v>
      </c>
      <c r="W24" s="47">
        <v>0</v>
      </c>
      <c r="X24" s="47">
        <f t="shared" si="9"/>
        <v>0</v>
      </c>
      <c r="Y24" s="47">
        <f t="shared" si="10"/>
        <v>0</v>
      </c>
      <c r="Z24" s="29" t="e">
        <f t="shared" si="11"/>
        <v>#DIV/0!</v>
      </c>
    </row>
    <row r="25" spans="1:26" x14ac:dyDescent="0.3">
      <c r="A25" s="69">
        <v>5</v>
      </c>
      <c r="B25" s="69"/>
      <c r="D25" s="49">
        <f>Input!AS14</f>
        <v>6.2</v>
      </c>
      <c r="E25" s="28">
        <f>Input!$H$14+Input!$K$14+Input!$L$14+Input!$L$14</f>
        <v>23.209999999999997</v>
      </c>
      <c r="F25" s="28">
        <f>Input!$V$14+Input!$X$14+Input!$Y$14</f>
        <v>29.79</v>
      </c>
      <c r="G25" s="28">
        <f t="shared" si="0"/>
        <v>6.5800000000000018</v>
      </c>
      <c r="H25" s="29">
        <f t="shared" si="1"/>
        <v>0.28299999999999997</v>
      </c>
      <c r="I25" s="30"/>
      <c r="J25" s="28">
        <f>ROUND((D25*Input!$C$14),2)+ROUND((Input!$N$14*D25),2)+ROUND((D25*Input!$J$14),2)</f>
        <v>20.45</v>
      </c>
      <c r="K25" s="28">
        <f>ROUND((D25*Input!$Q$14),2)+ROUND((Input!$Z$14*D25),2)</f>
        <v>26.29</v>
      </c>
      <c r="L25" s="28">
        <f t="shared" si="2"/>
        <v>5.84</v>
      </c>
      <c r="M25" s="29">
        <f t="shared" si="3"/>
        <v>0.28599999999999998</v>
      </c>
      <c r="N25" s="28">
        <v>0</v>
      </c>
      <c r="O25" s="28">
        <f>E25+J25+N25</f>
        <v>43.66</v>
      </c>
      <c r="P25" s="28">
        <f t="shared" si="5"/>
        <v>56.08</v>
      </c>
      <c r="Q25" s="29">
        <f t="shared" si="6"/>
        <v>0.28399999999999997</v>
      </c>
      <c r="S25" s="87"/>
      <c r="T25" s="87"/>
      <c r="U25" s="47">
        <f t="shared" si="7"/>
        <v>0</v>
      </c>
      <c r="V25" s="29" t="e">
        <f t="shared" si="8"/>
        <v>#DIV/0!</v>
      </c>
      <c r="W25" s="47">
        <v>0</v>
      </c>
      <c r="X25" s="47">
        <f t="shared" si="9"/>
        <v>0</v>
      </c>
      <c r="Y25" s="47">
        <f t="shared" si="10"/>
        <v>0</v>
      </c>
      <c r="Z25" s="29" t="e">
        <f t="shared" si="11"/>
        <v>#DIV/0!</v>
      </c>
    </row>
    <row r="26" spans="1:26" x14ac:dyDescent="0.3">
      <c r="A26" s="69">
        <v>6</v>
      </c>
      <c r="B26" s="69"/>
      <c r="D26" s="49">
        <v>8</v>
      </c>
      <c r="E26" s="28">
        <f>Input!$H$14+Input!$K$14+Input!$L$14+Input!$L$14</f>
        <v>23.209999999999997</v>
      </c>
      <c r="F26" s="28">
        <f>Input!$V$14+Input!$X$14+Input!$Y$14</f>
        <v>29.79</v>
      </c>
      <c r="G26" s="28">
        <f t="shared" si="0"/>
        <v>6.5800000000000018</v>
      </c>
      <c r="H26" s="29">
        <f t="shared" si="1"/>
        <v>0.28299999999999997</v>
      </c>
      <c r="I26" s="30"/>
      <c r="J26" s="28">
        <f>ROUND((D26*Input!$C$14),2)+ROUND((Input!$N$14*D26),2)+ROUND((D26*Input!$J$14),2)</f>
        <v>26.39</v>
      </c>
      <c r="K26" s="28">
        <f>ROUND((D26*Input!$Q$14),2)+ROUND((Input!$Z$14*D26),2)</f>
        <v>33.93</v>
      </c>
      <c r="L26" s="28">
        <f t="shared" si="2"/>
        <v>7.5399999999999991</v>
      </c>
      <c r="M26" s="29">
        <f t="shared" si="3"/>
        <v>0.28599999999999998</v>
      </c>
      <c r="N26" s="28">
        <v>0</v>
      </c>
      <c r="O26" s="28">
        <f t="shared" si="4"/>
        <v>49.599999999999994</v>
      </c>
      <c r="P26" s="28">
        <f t="shared" si="5"/>
        <v>63.72</v>
      </c>
      <c r="Q26" s="29">
        <f t="shared" si="6"/>
        <v>0.28499999999999998</v>
      </c>
      <c r="S26" s="87"/>
      <c r="T26" s="87"/>
      <c r="U26" s="47">
        <f t="shared" si="7"/>
        <v>0</v>
      </c>
      <c r="V26" s="29" t="e">
        <f t="shared" si="8"/>
        <v>#DIV/0!</v>
      </c>
      <c r="W26" s="47">
        <v>0</v>
      </c>
      <c r="X26" s="47">
        <f t="shared" si="9"/>
        <v>0</v>
      </c>
      <c r="Y26" s="47">
        <f t="shared" si="10"/>
        <v>0</v>
      </c>
      <c r="Z26" s="29" t="e">
        <f t="shared" si="11"/>
        <v>#DIV/0!</v>
      </c>
    </row>
    <row r="27" spans="1:26" x14ac:dyDescent="0.3">
      <c r="A27" s="69">
        <v>7</v>
      </c>
      <c r="B27" s="69"/>
      <c r="D27" s="49">
        <v>10</v>
      </c>
      <c r="E27" s="28">
        <f>Input!$H$14+Input!$K$14+Input!$L$14+Input!$L$14</f>
        <v>23.209999999999997</v>
      </c>
      <c r="F27" s="28">
        <f>Input!$V$14+Input!$X$14+Input!$Y$14</f>
        <v>29.79</v>
      </c>
      <c r="G27" s="28">
        <f t="shared" si="0"/>
        <v>6.5800000000000018</v>
      </c>
      <c r="H27" s="29">
        <f t="shared" si="1"/>
        <v>0.28299999999999997</v>
      </c>
      <c r="I27" s="30"/>
      <c r="J27" s="28">
        <f>ROUND((D27*Input!$C$14),2)+ROUND((Input!$N$14*D27),2)+ROUND((D27*Input!$J$14),2)</f>
        <v>32.980000000000004</v>
      </c>
      <c r="K27" s="28">
        <f>ROUND((D27*Input!$Q$14),2)+ROUND((Input!$Z$14*D27),2)</f>
        <v>42.4</v>
      </c>
      <c r="L27" s="28">
        <f t="shared" si="2"/>
        <v>9.4199999999999946</v>
      </c>
      <c r="M27" s="29">
        <f t="shared" si="3"/>
        <v>0.28599999999999998</v>
      </c>
      <c r="N27" s="28">
        <v>0</v>
      </c>
      <c r="O27" s="28">
        <f t="shared" si="4"/>
        <v>56.19</v>
      </c>
      <c r="P27" s="28">
        <f t="shared" si="5"/>
        <v>72.19</v>
      </c>
      <c r="Q27" s="29">
        <f t="shared" si="6"/>
        <v>0.28499999999999998</v>
      </c>
      <c r="S27" s="87"/>
      <c r="T27" s="87"/>
      <c r="U27" s="47">
        <f t="shared" si="7"/>
        <v>0</v>
      </c>
      <c r="V27" s="29" t="e">
        <f t="shared" si="8"/>
        <v>#DIV/0!</v>
      </c>
      <c r="W27" s="47">
        <v>0</v>
      </c>
      <c r="X27" s="47">
        <f t="shared" si="9"/>
        <v>0</v>
      </c>
      <c r="Y27" s="47">
        <f t="shared" si="10"/>
        <v>0</v>
      </c>
      <c r="Z27" s="29" t="e">
        <f t="shared" si="11"/>
        <v>#DIV/0!</v>
      </c>
    </row>
    <row r="28" spans="1:26" x14ac:dyDescent="0.3">
      <c r="A28" s="69">
        <v>8</v>
      </c>
      <c r="B28" s="69"/>
      <c r="D28" s="49">
        <v>12</v>
      </c>
      <c r="E28" s="28">
        <f>Input!$H$14+Input!$K$14+Input!$L$14+Input!$L$14</f>
        <v>23.209999999999997</v>
      </c>
      <c r="F28" s="28">
        <f>Input!$V$14+Input!$X$14+Input!$Y$14</f>
        <v>29.79</v>
      </c>
      <c r="G28" s="28">
        <f t="shared" si="0"/>
        <v>6.5800000000000018</v>
      </c>
      <c r="H28" s="29">
        <f t="shared" si="1"/>
        <v>0.28299999999999997</v>
      </c>
      <c r="I28" s="30"/>
      <c r="J28" s="28">
        <f>ROUND((D28*Input!$C$14),2)+ROUND((Input!$N$14*D28),2)+ROUND((D28*Input!$J$14),2)</f>
        <v>39.58</v>
      </c>
      <c r="K28" s="28">
        <f>ROUND((D28*Input!$Q$14),2)+ROUND((Input!$Z$14*D28),2)</f>
        <v>50.89</v>
      </c>
      <c r="L28" s="28">
        <f t="shared" si="2"/>
        <v>11.310000000000002</v>
      </c>
      <c r="M28" s="29">
        <f t="shared" si="3"/>
        <v>0.28599999999999998</v>
      </c>
      <c r="N28" s="28">
        <v>0</v>
      </c>
      <c r="O28" s="28">
        <f t="shared" si="4"/>
        <v>62.789999999999992</v>
      </c>
      <c r="P28" s="28">
        <f t="shared" si="5"/>
        <v>80.680000000000007</v>
      </c>
      <c r="Q28" s="29">
        <f t="shared" si="6"/>
        <v>0.28499999999999998</v>
      </c>
      <c r="S28" s="87"/>
      <c r="T28" s="87"/>
      <c r="U28" s="47">
        <f t="shared" si="7"/>
        <v>0</v>
      </c>
      <c r="V28" s="29" t="e">
        <f t="shared" si="8"/>
        <v>#DIV/0!</v>
      </c>
      <c r="W28" s="47">
        <v>0</v>
      </c>
      <c r="X28" s="47">
        <f t="shared" si="9"/>
        <v>0</v>
      </c>
      <c r="Y28" s="47">
        <f t="shared" si="10"/>
        <v>0</v>
      </c>
      <c r="Z28" s="29" t="e">
        <f t="shared" si="11"/>
        <v>#DIV/0!</v>
      </c>
    </row>
    <row r="29" spans="1:26" x14ac:dyDescent="0.3">
      <c r="A29" s="69">
        <v>9</v>
      </c>
      <c r="B29" s="69"/>
      <c r="D29" s="49">
        <v>16</v>
      </c>
      <c r="E29" s="28">
        <f>Input!$H$14+Input!$K$14+Input!$L$14+Input!$L$14</f>
        <v>23.209999999999997</v>
      </c>
      <c r="F29" s="28">
        <f>Input!$V$14+Input!$X$14+Input!$Y$14</f>
        <v>29.79</v>
      </c>
      <c r="G29" s="28">
        <f t="shared" si="0"/>
        <v>6.5800000000000018</v>
      </c>
      <c r="H29" s="29">
        <f t="shared" si="1"/>
        <v>0.28299999999999997</v>
      </c>
      <c r="I29" s="30"/>
      <c r="J29" s="28">
        <f>ROUND((D29*Input!$C$14),2)+ROUND((Input!$N$14*D29),2)+ROUND((D29*Input!$J$14),2)</f>
        <v>52.769999999999996</v>
      </c>
      <c r="K29" s="28">
        <f>ROUND((D29*Input!$Q$14),2)+ROUND((Input!$Z$14*D29),2)</f>
        <v>67.850000000000009</v>
      </c>
      <c r="L29" s="28">
        <f t="shared" si="2"/>
        <v>15.080000000000013</v>
      </c>
      <c r="M29" s="29">
        <f t="shared" si="3"/>
        <v>0.28599999999999998</v>
      </c>
      <c r="N29" s="28">
        <v>0</v>
      </c>
      <c r="O29" s="28">
        <f t="shared" si="4"/>
        <v>75.97999999999999</v>
      </c>
      <c r="P29" s="28">
        <f t="shared" si="5"/>
        <v>97.640000000000015</v>
      </c>
      <c r="Q29" s="29">
        <f t="shared" si="6"/>
        <v>0.28499999999999998</v>
      </c>
      <c r="S29" s="87"/>
      <c r="T29" s="87"/>
      <c r="U29" s="47">
        <f t="shared" si="7"/>
        <v>0</v>
      </c>
      <c r="V29" s="29" t="e">
        <f t="shared" si="8"/>
        <v>#DIV/0!</v>
      </c>
      <c r="W29" s="47">
        <v>0</v>
      </c>
      <c r="X29" s="47">
        <f t="shared" si="9"/>
        <v>0</v>
      </c>
      <c r="Y29" s="47">
        <f t="shared" si="10"/>
        <v>0</v>
      </c>
      <c r="Z29" s="29" t="e">
        <f t="shared" si="11"/>
        <v>#DIV/0!</v>
      </c>
    </row>
    <row r="30" spans="1:26" x14ac:dyDescent="0.3">
      <c r="A30" s="69">
        <v>10</v>
      </c>
      <c r="D30" s="49">
        <v>18</v>
      </c>
      <c r="E30" s="28">
        <f>Input!$H$14+Input!$K$14+Input!$L$14+Input!$L$14</f>
        <v>23.209999999999997</v>
      </c>
      <c r="F30" s="28">
        <f>Input!$V$14+Input!$X$14+Input!$Y$14</f>
        <v>29.79</v>
      </c>
      <c r="G30" s="28">
        <f t="shared" si="0"/>
        <v>6.5800000000000018</v>
      </c>
      <c r="H30" s="29">
        <f t="shared" si="1"/>
        <v>0.28299999999999997</v>
      </c>
      <c r="I30" s="30"/>
      <c r="J30" s="28">
        <f>ROUND((D30*Input!$C$14),2)+ROUND((Input!$N$14*D30),2)+ROUND((D30*Input!$J$14),2)</f>
        <v>59.370000000000005</v>
      </c>
      <c r="K30" s="28">
        <f>ROUND((D30*Input!$Q$14),2)+ROUND((Input!$Z$14*D30),2)</f>
        <v>76.33</v>
      </c>
      <c r="L30" s="28">
        <f t="shared" si="2"/>
        <v>16.959999999999994</v>
      </c>
      <c r="M30" s="29">
        <f t="shared" si="3"/>
        <v>0.28599999999999998</v>
      </c>
      <c r="N30" s="28">
        <v>0</v>
      </c>
      <c r="O30" s="28">
        <f t="shared" si="4"/>
        <v>82.58</v>
      </c>
      <c r="P30" s="28">
        <f t="shared" si="5"/>
        <v>106.12</v>
      </c>
      <c r="Q30" s="29">
        <f t="shared" si="6"/>
        <v>0.28499999999999998</v>
      </c>
      <c r="S30" s="87"/>
      <c r="T30" s="87"/>
      <c r="U30" s="47">
        <f t="shared" si="7"/>
        <v>0</v>
      </c>
      <c r="V30" s="29" t="e">
        <f t="shared" si="8"/>
        <v>#DIV/0!</v>
      </c>
      <c r="W30" s="47">
        <v>0</v>
      </c>
      <c r="X30" s="47">
        <f t="shared" si="9"/>
        <v>0</v>
      </c>
      <c r="Y30" s="47">
        <f t="shared" si="10"/>
        <v>0</v>
      </c>
      <c r="Z30" s="29" t="e">
        <f t="shared" si="11"/>
        <v>#DIV/0!</v>
      </c>
    </row>
    <row r="31" spans="1:26" x14ac:dyDescent="0.3">
      <c r="A31" s="69">
        <v>11</v>
      </c>
      <c r="D31" s="49">
        <v>22</v>
      </c>
      <c r="E31" s="28">
        <f>Input!$H$14+Input!$K$14+Input!$L$14+Input!$L$14</f>
        <v>23.209999999999997</v>
      </c>
      <c r="F31" s="28">
        <f>Input!$V$14+Input!$X$14+Input!$Y$14</f>
        <v>29.79</v>
      </c>
      <c r="G31" s="28">
        <f t="shared" si="0"/>
        <v>6.5800000000000018</v>
      </c>
      <c r="H31" s="29">
        <f t="shared" si="1"/>
        <v>0.28299999999999997</v>
      </c>
      <c r="I31" s="30"/>
      <c r="J31" s="28">
        <f>ROUND((D31*Input!$C$14),2)+ROUND((Input!$N$14*D31),2)+ROUND((D31*Input!$J$14),2)</f>
        <v>72.559999999999988</v>
      </c>
      <c r="K31" s="28">
        <f>ROUND((D31*Input!$Q$14),2)+ROUND((Input!$Z$14*D31),2)</f>
        <v>93.3</v>
      </c>
      <c r="L31" s="28">
        <f t="shared" si="2"/>
        <v>20.740000000000009</v>
      </c>
      <c r="M31" s="29">
        <f t="shared" si="3"/>
        <v>0.28599999999999998</v>
      </c>
      <c r="N31" s="28">
        <v>0</v>
      </c>
      <c r="O31" s="28">
        <f t="shared" si="4"/>
        <v>95.769999999999982</v>
      </c>
      <c r="P31" s="28">
        <f t="shared" si="5"/>
        <v>123.09</v>
      </c>
      <c r="Q31" s="29">
        <f t="shared" si="6"/>
        <v>0.28499999999999998</v>
      </c>
      <c r="S31" s="87"/>
      <c r="T31" s="87"/>
      <c r="U31" s="47">
        <f t="shared" si="7"/>
        <v>0</v>
      </c>
      <c r="V31" s="29" t="e">
        <f t="shared" si="8"/>
        <v>#DIV/0!</v>
      </c>
      <c r="W31" s="47">
        <v>0</v>
      </c>
      <c r="X31" s="47">
        <f t="shared" si="9"/>
        <v>0</v>
      </c>
      <c r="Y31" s="47">
        <f t="shared" si="10"/>
        <v>0</v>
      </c>
      <c r="Z31" s="29" t="e">
        <f t="shared" si="11"/>
        <v>#DIV/0!</v>
      </c>
    </row>
    <row r="32" spans="1:26" x14ac:dyDescent="0.3">
      <c r="A32" s="69">
        <v>11</v>
      </c>
      <c r="D32" s="49">
        <v>25</v>
      </c>
      <c r="E32" s="28">
        <f>Input!$H$14+Input!$K$14+Input!$L$14+Input!$L$14</f>
        <v>23.209999999999997</v>
      </c>
      <c r="F32" s="28">
        <f>Input!$V$14+Input!$X$14+Input!$Y$14</f>
        <v>29.79</v>
      </c>
      <c r="G32" s="28">
        <f>F32-E32</f>
        <v>6.5800000000000018</v>
      </c>
      <c r="H32" s="29">
        <f>ROUND(G32/E32,3)</f>
        <v>0.28299999999999997</v>
      </c>
      <c r="I32" s="30"/>
      <c r="J32" s="28">
        <f>ROUND((D32*Input!$C$14),2)+ROUND((Input!$N$14*D32),2)+ROUND((D32*Input!$J$14),2)</f>
        <v>82.46</v>
      </c>
      <c r="K32" s="28">
        <f>ROUND((D32*Input!$Q$14),2)+ROUND((Input!$Z$14*D32),2)</f>
        <v>106.02</v>
      </c>
      <c r="L32" s="28">
        <f>K32-J32</f>
        <v>23.560000000000002</v>
      </c>
      <c r="M32" s="29">
        <f>ROUND(L32/J32,3)</f>
        <v>0.28599999999999998</v>
      </c>
      <c r="N32" s="28">
        <v>0</v>
      </c>
      <c r="O32" s="28">
        <f t="shared" si="4"/>
        <v>105.66999999999999</v>
      </c>
      <c r="P32" s="28">
        <f t="shared" si="5"/>
        <v>135.81</v>
      </c>
      <c r="Q32" s="29">
        <f>ROUND((P32-O32)/O32,3)</f>
        <v>0.28499999999999998</v>
      </c>
      <c r="S32" s="87"/>
      <c r="T32" s="87"/>
      <c r="U32" s="47">
        <f t="shared" si="7"/>
        <v>0</v>
      </c>
      <c r="V32" s="29" t="e">
        <f t="shared" si="8"/>
        <v>#DIV/0!</v>
      </c>
      <c r="W32" s="47">
        <v>0</v>
      </c>
      <c r="X32" s="47">
        <f t="shared" si="9"/>
        <v>0</v>
      </c>
      <c r="Y32" s="47">
        <f t="shared" si="10"/>
        <v>0</v>
      </c>
      <c r="Z32" s="29" t="e">
        <f t="shared" si="11"/>
        <v>#DIV/0!</v>
      </c>
    </row>
    <row r="33" spans="1:22" x14ac:dyDescent="0.3">
      <c r="A33" s="69"/>
      <c r="D33" s="69"/>
      <c r="E33" s="69"/>
      <c r="F33" s="69"/>
      <c r="H33" s="69"/>
      <c r="I33" s="69"/>
      <c r="J33" s="69"/>
      <c r="K33" s="69"/>
      <c r="L33" s="69"/>
      <c r="M33" s="69"/>
      <c r="N33" s="69"/>
      <c r="V33" s="29"/>
    </row>
    <row r="34" spans="1:22" x14ac:dyDescent="0.3">
      <c r="A34" s="69"/>
      <c r="B34" s="8" t="s">
        <v>98</v>
      </c>
      <c r="D34" s="50">
        <f>Input!AS14</f>
        <v>6.2</v>
      </c>
      <c r="E34" s="69"/>
      <c r="F34" s="69"/>
      <c r="H34" s="69"/>
      <c r="I34" s="69"/>
      <c r="J34" s="69"/>
      <c r="K34" s="69"/>
      <c r="L34" s="69"/>
      <c r="M34" s="69"/>
      <c r="N34" s="69"/>
    </row>
    <row r="35" spans="1:22" x14ac:dyDescent="0.3">
      <c r="A35" s="69"/>
      <c r="D35" s="69"/>
      <c r="E35" s="69"/>
      <c r="F35" s="69"/>
      <c r="H35" s="69"/>
      <c r="I35" s="69"/>
      <c r="J35" s="69"/>
      <c r="K35" s="69"/>
      <c r="L35" s="69"/>
      <c r="M35" s="69"/>
      <c r="N35" s="69"/>
    </row>
    <row r="36" spans="1:22" x14ac:dyDescent="0.3">
      <c r="A36" s="46" t="s">
        <v>145</v>
      </c>
      <c r="D36" s="69"/>
      <c r="E36" s="69"/>
      <c r="F36" s="69"/>
      <c r="H36" s="69"/>
      <c r="I36" s="69"/>
      <c r="J36" s="69"/>
      <c r="K36" s="69"/>
      <c r="L36" s="69"/>
      <c r="M36" s="69"/>
      <c r="N36" s="69"/>
    </row>
    <row r="37" spans="1:22" x14ac:dyDescent="0.3">
      <c r="A37" s="69"/>
      <c r="D37" s="69"/>
      <c r="E37" s="69"/>
      <c r="F37" s="69"/>
      <c r="H37" s="69"/>
      <c r="I37" s="69"/>
      <c r="J37" s="69"/>
      <c r="K37" s="69"/>
      <c r="L37" s="69"/>
      <c r="M37" s="69"/>
      <c r="N37" s="69"/>
    </row>
    <row r="38" spans="1:22" x14ac:dyDescent="0.3">
      <c r="A38" s="69"/>
    </row>
    <row r="39" spans="1:22" x14ac:dyDescent="0.3">
      <c r="A39" s="69"/>
    </row>
    <row r="40" spans="1:22" x14ac:dyDescent="0.3">
      <c r="A40" s="69"/>
    </row>
    <row r="41" spans="1:22" x14ac:dyDescent="0.3">
      <c r="A41" s="69"/>
    </row>
    <row r="42" spans="1:22" x14ac:dyDescent="0.3">
      <c r="A42" s="69"/>
    </row>
  </sheetData>
  <mergeCells count="7">
    <mergeCell ref="A5:Q5"/>
    <mergeCell ref="E13:H13"/>
    <mergeCell ref="J13:M13"/>
    <mergeCell ref="A1:Q1"/>
    <mergeCell ref="A2:Q2"/>
    <mergeCell ref="A3:Q3"/>
    <mergeCell ref="A4:Q4"/>
  </mergeCells>
  <phoneticPr fontId="0" type="noConversion"/>
  <printOptions horizontalCentered="1"/>
  <pageMargins left="0.25" right="0.25" top="0.75" bottom="0.75" header="0.5" footer="0.5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43"/>
  <sheetViews>
    <sheetView zoomScaleNormal="100" workbookViewId="0">
      <selection activeCell="S1" sqref="S1:Z1048576"/>
    </sheetView>
  </sheetViews>
  <sheetFormatPr defaultColWidth="9.296875" defaultRowHeight="13" x14ac:dyDescent="0.3"/>
  <cols>
    <col min="1" max="1" width="4.3984375" style="8" customWidth="1"/>
    <col min="2" max="2" width="13.296875" style="8" customWidth="1"/>
    <col min="3" max="3" width="11.69921875" style="8" bestFit="1" customWidth="1"/>
    <col min="4" max="4" width="10.3984375" style="8" bestFit="1" customWidth="1"/>
    <col min="5" max="5" width="15.2968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2.8984375" style="8" bestFit="1" customWidth="1"/>
    <col min="12" max="13" width="12.09765625" style="8" bestFit="1" customWidth="1"/>
    <col min="14" max="14" width="10.296875" style="8" customWidth="1"/>
    <col min="15" max="15" width="13.09765625" style="69" bestFit="1" customWidth="1"/>
    <col min="16" max="16" width="12.69921875" style="69" bestFit="1" customWidth="1"/>
    <col min="17" max="17" width="13.69921875" style="69" customWidth="1"/>
    <col min="18" max="18" width="8.3984375" style="8" customWidth="1"/>
    <col min="19" max="19" width="17.59765625" style="8" bestFit="1" customWidth="1"/>
    <col min="20" max="20" width="11.3984375" style="8" bestFit="1" customWidth="1"/>
    <col min="21" max="24" width="0" style="8" hidden="1" customWidth="1"/>
    <col min="25" max="25" width="11.3984375" style="8" bestFit="1" customWidth="1"/>
    <col min="26" max="26" width="12.09765625" style="8" bestFit="1" customWidth="1"/>
    <col min="27" max="16384" width="9.296875" style="8"/>
  </cols>
  <sheetData>
    <row r="1" spans="1:26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6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26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6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26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26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</row>
    <row r="7" spans="1:26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</row>
    <row r="8" spans="1:26" x14ac:dyDescent="0.3">
      <c r="A8" s="8" t="s">
        <v>123</v>
      </c>
      <c r="Q8" s="31" t="s">
        <v>37</v>
      </c>
    </row>
    <row r="9" spans="1:26" x14ac:dyDescent="0.3">
      <c r="A9" s="8" t="s">
        <v>124</v>
      </c>
      <c r="Q9" s="31" t="s">
        <v>129</v>
      </c>
    </row>
    <row r="10" spans="1:26" x14ac:dyDescent="0.3">
      <c r="A10" s="8" t="s">
        <v>38</v>
      </c>
      <c r="Q10" s="31" t="str">
        <f>Input!$B$3</f>
        <v>Witness: Judith L. Siegler</v>
      </c>
    </row>
    <row r="12" spans="1:26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71"/>
      <c r="P12" s="71"/>
      <c r="Q12" s="71"/>
    </row>
    <row r="13" spans="1:26" x14ac:dyDescent="0.3">
      <c r="E13" s="91" t="s">
        <v>77</v>
      </c>
      <c r="F13" s="91"/>
      <c r="G13" s="91"/>
      <c r="H13" s="91"/>
      <c r="I13" s="26"/>
      <c r="J13" s="91" t="s">
        <v>78</v>
      </c>
      <c r="K13" s="91"/>
      <c r="L13" s="91"/>
      <c r="M13" s="91"/>
      <c r="N13" s="26"/>
      <c r="S13" s="2"/>
    </row>
    <row r="14" spans="1:26" x14ac:dyDescent="0.3">
      <c r="E14" s="69" t="s">
        <v>43</v>
      </c>
      <c r="F14" s="69" t="s">
        <v>44</v>
      </c>
      <c r="G14" s="69" t="s">
        <v>75</v>
      </c>
      <c r="H14" s="69" t="s">
        <v>46</v>
      </c>
      <c r="L14" s="69" t="s">
        <v>75</v>
      </c>
      <c r="M14" s="69" t="s">
        <v>46</v>
      </c>
      <c r="N14" s="69"/>
      <c r="O14" s="69" t="s">
        <v>39</v>
      </c>
      <c r="P14" s="69" t="s">
        <v>39</v>
      </c>
      <c r="Q14" s="69" t="s">
        <v>46</v>
      </c>
      <c r="Z14" s="83"/>
    </row>
    <row r="15" spans="1:26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43</v>
      </c>
      <c r="K15" s="69" t="s">
        <v>44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X15" s="83"/>
      <c r="Y15" s="83"/>
      <c r="Z15" s="83"/>
    </row>
    <row r="16" spans="1:26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79</v>
      </c>
      <c r="K16" s="69" t="s">
        <v>79</v>
      </c>
      <c r="L16" s="69" t="s">
        <v>76</v>
      </c>
      <c r="M16" s="69" t="s">
        <v>76</v>
      </c>
      <c r="N16" s="69" t="s">
        <v>139</v>
      </c>
      <c r="O16" s="69" t="s">
        <v>49</v>
      </c>
      <c r="P16" s="69" t="s">
        <v>49</v>
      </c>
      <c r="Q16" s="69" t="s">
        <v>76</v>
      </c>
      <c r="S16" s="83"/>
      <c r="T16" s="83"/>
      <c r="U16" s="83"/>
      <c r="V16" s="83"/>
      <c r="W16" s="27"/>
      <c r="X16" s="83"/>
      <c r="Y16" s="83"/>
      <c r="Z16" s="83"/>
    </row>
    <row r="17" spans="1:26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 t="s">
        <v>142</v>
      </c>
      <c r="O17" s="27" t="s">
        <v>116</v>
      </c>
      <c r="P17" s="27" t="s">
        <v>141</v>
      </c>
      <c r="Q17" s="27" t="s">
        <v>140</v>
      </c>
      <c r="S17" s="83"/>
      <c r="T17" s="83"/>
      <c r="U17" s="27"/>
      <c r="V17" s="27"/>
      <c r="W17" s="27"/>
      <c r="X17" s="83"/>
      <c r="Y17" s="83"/>
      <c r="Z17" s="27"/>
    </row>
    <row r="18" spans="1:26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 t="s">
        <v>53</v>
      </c>
      <c r="O18" s="27" t="s">
        <v>53</v>
      </c>
      <c r="P18" s="27" t="s">
        <v>53</v>
      </c>
      <c r="Q18" s="27" t="s">
        <v>54</v>
      </c>
      <c r="S18" s="27"/>
      <c r="T18" s="27"/>
      <c r="U18" s="27"/>
      <c r="V18" s="27"/>
      <c r="W18" s="27"/>
      <c r="X18" s="27"/>
      <c r="Y18" s="27"/>
      <c r="Z18" s="27"/>
    </row>
    <row r="19" spans="1:26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 t="s">
        <v>82</v>
      </c>
      <c r="O19" s="27" t="s">
        <v>83</v>
      </c>
      <c r="P19" s="27" t="s">
        <v>84</v>
      </c>
      <c r="Q19" s="27" t="s">
        <v>110</v>
      </c>
      <c r="S19" s="27"/>
      <c r="T19" s="27"/>
      <c r="U19" s="27"/>
      <c r="V19" s="27"/>
      <c r="W19" s="27"/>
      <c r="X19" s="27"/>
      <c r="Y19" s="27"/>
      <c r="Z19" s="27"/>
    </row>
    <row r="20" spans="1:26" x14ac:dyDescent="0.3">
      <c r="D20" s="69"/>
      <c r="E20" s="69"/>
      <c r="F20" s="69"/>
      <c r="H20" s="69"/>
      <c r="I20" s="69"/>
      <c r="J20" s="69"/>
      <c r="K20" s="27"/>
      <c r="L20" s="27"/>
      <c r="M20" s="27"/>
      <c r="N20" s="27"/>
    </row>
    <row r="21" spans="1:26" x14ac:dyDescent="0.3">
      <c r="A21" s="69">
        <v>1</v>
      </c>
      <c r="B21" s="69" t="s">
        <v>19</v>
      </c>
      <c r="C21" s="69" t="s">
        <v>65</v>
      </c>
      <c r="D21" s="51">
        <v>10</v>
      </c>
      <c r="E21" s="28">
        <f>Input!$H$15+Input!$K$15</f>
        <v>69</v>
      </c>
      <c r="F21" s="28">
        <f>Input!$V$15</f>
        <v>87.149999999999991</v>
      </c>
      <c r="G21" s="58">
        <f>F21-E21</f>
        <v>18.149999999999991</v>
      </c>
      <c r="H21" s="29">
        <f>ROUND(G21/E21,3)</f>
        <v>0.26300000000000001</v>
      </c>
      <c r="I21" s="30"/>
      <c r="J21" s="28">
        <f>ROUND((D21*Input!$M$15),2)+ROUND((D21*Input!$C$15),2)+ROUND((D21*Input!$J$15),2)+ROUND((D21*Input!$N$15),2)</f>
        <v>28.64</v>
      </c>
      <c r="K21" s="28">
        <f>ROUND((D21*Input!$Z$15),2)+ROUND((D21*Input!$Q$15),2)</f>
        <v>35.76</v>
      </c>
      <c r="L21" s="28">
        <f>K21-J21</f>
        <v>7.1199999999999974</v>
      </c>
      <c r="M21" s="29">
        <f>ROUND(L21/J21,3)</f>
        <v>0.249</v>
      </c>
      <c r="N21" s="28">
        <v>0</v>
      </c>
      <c r="O21" s="28">
        <f>E21+J21+N21</f>
        <v>97.64</v>
      </c>
      <c r="P21" s="28">
        <f>F21+K21+N21</f>
        <v>122.91</v>
      </c>
      <c r="Q21" s="29">
        <f>ROUND((P21-O21)/O21,3)</f>
        <v>0.25900000000000001</v>
      </c>
      <c r="S21" s="47"/>
      <c r="T21" s="47"/>
      <c r="U21" s="47"/>
      <c r="V21" s="29"/>
      <c r="W21" s="47"/>
      <c r="X21" s="47"/>
      <c r="Y21" s="47"/>
      <c r="Z21" s="29"/>
    </row>
    <row r="22" spans="1:26" x14ac:dyDescent="0.3">
      <c r="A22" s="69">
        <v>2</v>
      </c>
      <c r="B22" s="69" t="s">
        <v>69</v>
      </c>
      <c r="C22" s="69" t="s">
        <v>67</v>
      </c>
      <c r="D22" s="51">
        <v>30</v>
      </c>
      <c r="E22" s="28">
        <f>Input!$H$15+Input!$K$15</f>
        <v>69</v>
      </c>
      <c r="F22" s="28">
        <f>Input!$V$15</f>
        <v>87.149999999999991</v>
      </c>
      <c r="G22" s="58">
        <f t="shared" ref="G22:G32" si="0">F22-E22</f>
        <v>18.149999999999991</v>
      </c>
      <c r="H22" s="29">
        <f t="shared" ref="H22:H38" si="1">ROUND(G22/E22,3)</f>
        <v>0.26300000000000001</v>
      </c>
      <c r="I22" s="30"/>
      <c r="J22" s="28">
        <f>ROUND((D22*Input!$M$15),2)+ROUND((D22*Input!$C$15),2)+ROUND((D22*Input!$J$15),2)+ROUND((D22*Input!$N$15),2)</f>
        <v>85.93</v>
      </c>
      <c r="K22" s="28">
        <f>ROUND((D22*Input!$Z$15),2)+ROUND((D22*Input!$Q$15),2)</f>
        <v>107.30000000000001</v>
      </c>
      <c r="L22" s="28">
        <f t="shared" ref="L22:L32" si="2">K22-J22</f>
        <v>21.370000000000005</v>
      </c>
      <c r="M22" s="29">
        <f t="shared" ref="M22:M38" si="3">ROUND(L22/J22,3)</f>
        <v>0.249</v>
      </c>
      <c r="N22" s="28">
        <v>0</v>
      </c>
      <c r="O22" s="28">
        <f t="shared" ref="O22:O38" si="4">E22+J22+N22</f>
        <v>154.93</v>
      </c>
      <c r="P22" s="28">
        <f t="shared" ref="P22:P38" si="5">F22+K22+N22</f>
        <v>194.45</v>
      </c>
      <c r="Q22" s="29">
        <f t="shared" ref="Q22:Q38" si="6">ROUND((P22-O22)/O22,3)</f>
        <v>0.255</v>
      </c>
      <c r="S22" s="47"/>
      <c r="T22" s="47"/>
      <c r="U22" s="47"/>
      <c r="V22" s="29"/>
      <c r="W22" s="47"/>
      <c r="X22" s="47"/>
      <c r="Y22" s="47"/>
      <c r="Z22" s="29"/>
    </row>
    <row r="23" spans="1:26" x14ac:dyDescent="0.3">
      <c r="A23" s="69">
        <v>3</v>
      </c>
      <c r="B23" s="69" t="s">
        <v>70</v>
      </c>
      <c r="C23" s="69"/>
      <c r="D23" s="51">
        <f>D40</f>
        <v>38.6</v>
      </c>
      <c r="E23" s="28">
        <f>Input!$H$15+Input!$K$15</f>
        <v>69</v>
      </c>
      <c r="F23" s="28">
        <f>Input!$V$15</f>
        <v>87.149999999999991</v>
      </c>
      <c r="G23" s="58">
        <f>F23-E23</f>
        <v>18.149999999999991</v>
      </c>
      <c r="H23" s="29">
        <f t="shared" si="1"/>
        <v>0.26300000000000001</v>
      </c>
      <c r="I23" s="30"/>
      <c r="J23" s="28">
        <f>ROUND((D23*Input!$M$15),2)+ROUND((D23*Input!$C$15),2)+ROUND((D23*Input!$J$15),2)+ROUND((D23*Input!$N$15),2)</f>
        <v>110.58</v>
      </c>
      <c r="K23" s="28">
        <f>ROUND((D23*Input!$Z$15),2)+ROUND((D23*Input!$Q$15),2)</f>
        <v>138.06</v>
      </c>
      <c r="L23" s="28">
        <f>K23-J23</f>
        <v>27.480000000000004</v>
      </c>
      <c r="M23" s="29">
        <f t="shared" si="3"/>
        <v>0.249</v>
      </c>
      <c r="N23" s="28">
        <v>0</v>
      </c>
      <c r="O23" s="28">
        <f t="shared" si="4"/>
        <v>179.57999999999998</v>
      </c>
      <c r="P23" s="28">
        <f t="shared" si="5"/>
        <v>225.20999999999998</v>
      </c>
      <c r="Q23" s="29">
        <f t="shared" si="6"/>
        <v>0.254</v>
      </c>
      <c r="S23" s="47"/>
      <c r="T23" s="47"/>
      <c r="U23" s="47"/>
      <c r="V23" s="29"/>
      <c r="W23" s="47"/>
      <c r="X23" s="47"/>
      <c r="Y23" s="47"/>
      <c r="Z23" s="29"/>
    </row>
    <row r="24" spans="1:26" x14ac:dyDescent="0.3">
      <c r="A24" s="69">
        <v>4</v>
      </c>
      <c r="B24" s="69" t="s">
        <v>86</v>
      </c>
      <c r="D24" s="51">
        <v>50</v>
      </c>
      <c r="E24" s="28">
        <f>Input!$H$15+Input!$K$15</f>
        <v>69</v>
      </c>
      <c r="F24" s="28">
        <f>Input!$V$15</f>
        <v>87.149999999999991</v>
      </c>
      <c r="G24" s="58">
        <f t="shared" si="0"/>
        <v>18.149999999999991</v>
      </c>
      <c r="H24" s="29">
        <f t="shared" si="1"/>
        <v>0.26300000000000001</v>
      </c>
      <c r="I24" s="30"/>
      <c r="J24" s="28">
        <f>ROUND((D24*Input!$M$15),2)+ROUND((D24*Input!$C$15),2)+ROUND((D24*Input!$J$15),2)+ROUND((D24*Input!$N$15),2)</f>
        <v>143.22999999999999</v>
      </c>
      <c r="K24" s="28">
        <f>ROUND((D24*Input!$Z$15),2)+ROUND((D24*Input!$Q$15),2)</f>
        <v>178.83</v>
      </c>
      <c r="L24" s="28">
        <f t="shared" si="2"/>
        <v>35.600000000000023</v>
      </c>
      <c r="M24" s="29">
        <f t="shared" si="3"/>
        <v>0.249</v>
      </c>
      <c r="N24" s="28">
        <v>0</v>
      </c>
      <c r="O24" s="28">
        <f t="shared" si="4"/>
        <v>212.23</v>
      </c>
      <c r="P24" s="28">
        <f t="shared" si="5"/>
        <v>265.98</v>
      </c>
      <c r="Q24" s="29">
        <f t="shared" si="6"/>
        <v>0.253</v>
      </c>
      <c r="S24" s="47"/>
      <c r="T24" s="47"/>
      <c r="U24" s="47"/>
      <c r="V24" s="29"/>
      <c r="W24" s="47"/>
      <c r="X24" s="47"/>
      <c r="Y24" s="47"/>
      <c r="Z24" s="29"/>
    </row>
    <row r="25" spans="1:26" x14ac:dyDescent="0.3">
      <c r="A25" s="69">
        <v>5</v>
      </c>
      <c r="B25" s="69" t="s">
        <v>87</v>
      </c>
      <c r="D25" s="51">
        <v>70</v>
      </c>
      <c r="E25" s="28">
        <f>Input!$H$15+Input!$K$15</f>
        <v>69</v>
      </c>
      <c r="F25" s="28">
        <f>Input!$V$15</f>
        <v>87.149999999999991</v>
      </c>
      <c r="G25" s="58">
        <f t="shared" si="0"/>
        <v>18.149999999999991</v>
      </c>
      <c r="H25" s="29">
        <f t="shared" si="1"/>
        <v>0.26300000000000001</v>
      </c>
      <c r="I25" s="30"/>
      <c r="J25" s="28">
        <f>ROUND((D25*Input!$M$15),2)+ROUND((Input!$AC$15*Input!$C$15),2)+ROUND(((D25-Input!$AC$15)*Input!$D$15),2)+ROUND((D25*Input!$J$15),2)+ROUND((D25*Input!$N$15),2)</f>
        <v>186.75</v>
      </c>
      <c r="K25" s="28">
        <f>ROUND((D25*Input!$Z$15),2)+ROUND((Input!$AJ$15*Input!$Q$15),2)+ROUND(((D25-Input!$AJ$15)*Input!$R$15),2)</f>
        <v>234.11</v>
      </c>
      <c r="L25" s="28">
        <f t="shared" si="2"/>
        <v>47.360000000000014</v>
      </c>
      <c r="M25" s="29">
        <f t="shared" si="3"/>
        <v>0.254</v>
      </c>
      <c r="N25" s="28">
        <v>0</v>
      </c>
      <c r="O25" s="28">
        <f t="shared" si="4"/>
        <v>255.75</v>
      </c>
      <c r="P25" s="28">
        <f t="shared" si="5"/>
        <v>321.26</v>
      </c>
      <c r="Q25" s="29">
        <f t="shared" si="6"/>
        <v>0.25600000000000001</v>
      </c>
      <c r="S25" s="47"/>
      <c r="T25" s="47"/>
      <c r="U25" s="47"/>
      <c r="V25" s="29"/>
      <c r="W25" s="47"/>
      <c r="X25" s="47"/>
      <c r="Y25" s="47"/>
      <c r="Z25" s="29"/>
    </row>
    <row r="26" spans="1:26" x14ac:dyDescent="0.3">
      <c r="A26" s="69">
        <v>6</v>
      </c>
      <c r="B26" s="69" t="s">
        <v>88</v>
      </c>
      <c r="D26" s="51">
        <v>100</v>
      </c>
      <c r="E26" s="28">
        <f>Input!$H$15+Input!$K$15</f>
        <v>69</v>
      </c>
      <c r="F26" s="28">
        <f>Input!$V$15</f>
        <v>87.149999999999991</v>
      </c>
      <c r="G26" s="58">
        <f t="shared" si="0"/>
        <v>18.149999999999991</v>
      </c>
      <c r="H26" s="29">
        <f t="shared" si="1"/>
        <v>0.26300000000000001</v>
      </c>
      <c r="I26" s="30"/>
      <c r="J26" s="28">
        <f>ROUND((D26*Input!$M$15),2)+ROUND((Input!$AC$15*Input!$C$15),2)+ROUND(((D26-Input!$AC$15)*Input!$D$15),2)+ROUND((D26*Input!$J$15),2)+ROUND((D26*Input!$N$15),2)</f>
        <v>252.02999999999997</v>
      </c>
      <c r="K26" s="28">
        <f>ROUND((D26*Input!$Z$15),2)+ROUND((Input!$AJ$15*Input!$Q$15),2)+ROUND(((D26-Input!$AJ$15)*Input!$R$15),2)</f>
        <v>317.02</v>
      </c>
      <c r="L26" s="28">
        <f t="shared" si="2"/>
        <v>64.990000000000009</v>
      </c>
      <c r="M26" s="29">
        <f t="shared" si="3"/>
        <v>0.25800000000000001</v>
      </c>
      <c r="N26" s="28">
        <v>0</v>
      </c>
      <c r="O26" s="28">
        <f t="shared" si="4"/>
        <v>321.02999999999997</v>
      </c>
      <c r="P26" s="28">
        <f t="shared" si="5"/>
        <v>404.16999999999996</v>
      </c>
      <c r="Q26" s="29">
        <f t="shared" si="6"/>
        <v>0.25900000000000001</v>
      </c>
      <c r="S26" s="47"/>
      <c r="T26" s="47"/>
      <c r="U26" s="47"/>
      <c r="V26" s="29"/>
      <c r="W26" s="47"/>
      <c r="X26" s="47"/>
      <c r="Y26" s="47"/>
      <c r="Z26" s="29"/>
    </row>
    <row r="27" spans="1:26" x14ac:dyDescent="0.3">
      <c r="A27" s="69">
        <v>7</v>
      </c>
      <c r="D27" s="51">
        <v>150</v>
      </c>
      <c r="E27" s="28">
        <f>Input!$H$15+Input!$K$15</f>
        <v>69</v>
      </c>
      <c r="F27" s="28">
        <f>Input!$V$15</f>
        <v>87.149999999999991</v>
      </c>
      <c r="G27" s="58">
        <f t="shared" si="0"/>
        <v>18.149999999999991</v>
      </c>
      <c r="H27" s="29">
        <f t="shared" si="1"/>
        <v>0.26300000000000001</v>
      </c>
      <c r="I27" s="30"/>
      <c r="J27" s="28">
        <f>ROUND((D27*Input!$M$15),2)+ROUND((Input!$AC$15*Input!$C$15),2)+ROUND(((D27-Input!$AC$15)*Input!$D$15),2)+ROUND((D27*Input!$J$15),2)+ROUND((D27*Input!$N$15),2)</f>
        <v>360.82000000000005</v>
      </c>
      <c r="K27" s="28">
        <f>ROUND((D27*Input!$Z$15),2)+ROUND((Input!$AJ$15*Input!$Q$15),2)+ROUND(((D27-Input!$AJ$15)*Input!$R$15),2)</f>
        <v>455.21000000000004</v>
      </c>
      <c r="L27" s="28">
        <f t="shared" si="2"/>
        <v>94.389999999999986</v>
      </c>
      <c r="M27" s="29">
        <f t="shared" si="3"/>
        <v>0.26200000000000001</v>
      </c>
      <c r="N27" s="28">
        <v>0</v>
      </c>
      <c r="O27" s="28">
        <f t="shared" si="4"/>
        <v>429.82000000000005</v>
      </c>
      <c r="P27" s="28">
        <f t="shared" si="5"/>
        <v>542.36</v>
      </c>
      <c r="Q27" s="29">
        <f t="shared" si="6"/>
        <v>0.26200000000000001</v>
      </c>
      <c r="S27" s="47"/>
      <c r="T27" s="47"/>
      <c r="U27" s="47"/>
      <c r="V27" s="29"/>
      <c r="W27" s="47"/>
      <c r="X27" s="47"/>
      <c r="Y27" s="47"/>
      <c r="Z27" s="29"/>
    </row>
    <row r="28" spans="1:26" x14ac:dyDescent="0.3">
      <c r="A28" s="69">
        <v>8</v>
      </c>
      <c r="B28" s="69"/>
      <c r="D28" s="51">
        <v>200</v>
      </c>
      <c r="E28" s="28">
        <f>Input!$H$15+Input!$K$15</f>
        <v>69</v>
      </c>
      <c r="F28" s="28">
        <f>Input!$V$15</f>
        <v>87.149999999999991</v>
      </c>
      <c r="G28" s="58">
        <f t="shared" si="0"/>
        <v>18.149999999999991</v>
      </c>
      <c r="H28" s="29">
        <f t="shared" si="1"/>
        <v>0.26300000000000001</v>
      </c>
      <c r="I28" s="30"/>
      <c r="J28" s="28">
        <f>ROUND((D28*Input!$M$15),2)+ROUND((Input!$AC$15*Input!$C$15),2)+ROUND(((D28-Input!$AC$15)*Input!$D$15),2)+ROUND((D28*Input!$J$15),2)+ROUND((D28*Input!$N$15),2)</f>
        <v>469.62</v>
      </c>
      <c r="K28" s="28">
        <f>ROUND((D28*Input!$Z$15),2)+ROUND((Input!$AJ$15*Input!$Q$15),2)+ROUND(((D28-Input!$AJ$15)*Input!$R$15),2)</f>
        <v>593.40000000000009</v>
      </c>
      <c r="L28" s="28">
        <f t="shared" si="2"/>
        <v>123.78000000000009</v>
      </c>
      <c r="M28" s="29">
        <f t="shared" si="3"/>
        <v>0.26400000000000001</v>
      </c>
      <c r="N28" s="28">
        <v>0</v>
      </c>
      <c r="O28" s="28">
        <f t="shared" si="4"/>
        <v>538.62</v>
      </c>
      <c r="P28" s="28">
        <f t="shared" si="5"/>
        <v>680.55000000000007</v>
      </c>
      <c r="Q28" s="29">
        <f t="shared" si="6"/>
        <v>0.26400000000000001</v>
      </c>
      <c r="S28" s="47"/>
      <c r="T28" s="47"/>
      <c r="U28" s="47"/>
      <c r="V28" s="29"/>
      <c r="W28" s="47"/>
      <c r="X28" s="47"/>
      <c r="Y28" s="47"/>
      <c r="Z28" s="29"/>
    </row>
    <row r="29" spans="1:26" x14ac:dyDescent="0.3">
      <c r="A29" s="69">
        <v>9</v>
      </c>
      <c r="B29" s="69"/>
      <c r="D29" s="51">
        <v>250</v>
      </c>
      <c r="E29" s="28">
        <f>Input!$H$15+Input!$K$15</f>
        <v>69</v>
      </c>
      <c r="F29" s="28">
        <f>Input!$V$15</f>
        <v>87.149999999999991</v>
      </c>
      <c r="G29" s="58">
        <f t="shared" si="0"/>
        <v>18.149999999999991</v>
      </c>
      <c r="H29" s="29">
        <f t="shared" si="1"/>
        <v>0.26300000000000001</v>
      </c>
      <c r="I29" s="30"/>
      <c r="J29" s="28">
        <f>ROUND((D29*Input!$M$15),2)+ROUND((Input!$AC$15*Input!$C$15),2)+ROUND(((D29-Input!$AC$15)*Input!$D$15),2)+ROUND((D29*Input!$J$15),2)+ROUND((D29*Input!$N$15),2)</f>
        <v>578.41</v>
      </c>
      <c r="K29" s="28">
        <f>ROUND((D29*Input!$Z$15),2)+ROUND((Input!$AJ$15*Input!$Q$15),2)+ROUND(((D29-Input!$AJ$15)*Input!$R$15),2)</f>
        <v>731.59</v>
      </c>
      <c r="L29" s="28">
        <f t="shared" si="2"/>
        <v>153.18000000000006</v>
      </c>
      <c r="M29" s="29">
        <f t="shared" si="3"/>
        <v>0.26500000000000001</v>
      </c>
      <c r="N29" s="28">
        <v>0</v>
      </c>
      <c r="O29" s="28">
        <f t="shared" si="4"/>
        <v>647.41</v>
      </c>
      <c r="P29" s="28">
        <f t="shared" si="5"/>
        <v>818.74</v>
      </c>
      <c r="Q29" s="29">
        <f t="shared" si="6"/>
        <v>0.26500000000000001</v>
      </c>
      <c r="S29" s="47"/>
      <c r="T29" s="47"/>
      <c r="U29" s="47"/>
      <c r="V29" s="29"/>
      <c r="W29" s="47"/>
      <c r="X29" s="47"/>
      <c r="Y29" s="47"/>
      <c r="Z29" s="29"/>
    </row>
    <row r="30" spans="1:26" x14ac:dyDescent="0.3">
      <c r="A30" s="69">
        <v>10</v>
      </c>
      <c r="B30" s="69"/>
      <c r="D30" s="51">
        <v>300</v>
      </c>
      <c r="E30" s="28">
        <f>Input!$H$15+Input!$K$15</f>
        <v>69</v>
      </c>
      <c r="F30" s="28">
        <f>Input!$V$15</f>
        <v>87.149999999999991</v>
      </c>
      <c r="G30" s="58">
        <f t="shared" si="0"/>
        <v>18.149999999999991</v>
      </c>
      <c r="H30" s="29">
        <f t="shared" si="1"/>
        <v>0.26300000000000001</v>
      </c>
      <c r="I30" s="30"/>
      <c r="J30" s="28">
        <f>ROUND((D30*Input!$M$15),2)+ROUND((Input!$AC$15*Input!$C$15),2)+ROUND(((D30-Input!$AC$15)*Input!$D$15),2)+ROUND((D30*Input!$J$15),2)+ROUND((D30*Input!$N$15),2)</f>
        <v>687.21</v>
      </c>
      <c r="K30" s="28">
        <f>ROUND((D30*Input!$Z$15),2)+ROUND((Input!$AJ$15*Input!$Q$15),2)+ROUND(((D30-Input!$AJ$15)*Input!$R$15),2)</f>
        <v>869.78</v>
      </c>
      <c r="L30" s="28">
        <f t="shared" si="2"/>
        <v>182.56999999999994</v>
      </c>
      <c r="M30" s="29">
        <f t="shared" si="3"/>
        <v>0.26600000000000001</v>
      </c>
      <c r="N30" s="28">
        <v>0</v>
      </c>
      <c r="O30" s="28">
        <f t="shared" si="4"/>
        <v>756.21</v>
      </c>
      <c r="P30" s="28">
        <f t="shared" si="5"/>
        <v>956.93</v>
      </c>
      <c r="Q30" s="29">
        <f t="shared" si="6"/>
        <v>0.26500000000000001</v>
      </c>
      <c r="S30" s="47"/>
      <c r="T30" s="47"/>
      <c r="U30" s="47"/>
      <c r="V30" s="29"/>
      <c r="W30" s="47"/>
      <c r="X30" s="47"/>
      <c r="Y30" s="47"/>
      <c r="Z30" s="29"/>
    </row>
    <row r="31" spans="1:26" x14ac:dyDescent="0.3">
      <c r="A31" s="69">
        <v>11</v>
      </c>
      <c r="D31" s="51">
        <f>D41</f>
        <v>313.10000000000002</v>
      </c>
      <c r="E31" s="28">
        <f>Input!$H$15+Input!$K$15</f>
        <v>69</v>
      </c>
      <c r="F31" s="28">
        <f>Input!$V$15</f>
        <v>87.149999999999991</v>
      </c>
      <c r="G31" s="58">
        <f t="shared" si="0"/>
        <v>18.149999999999991</v>
      </c>
      <c r="H31" s="29">
        <f t="shared" si="1"/>
        <v>0.26300000000000001</v>
      </c>
      <c r="I31" s="30"/>
      <c r="J31" s="28">
        <f>+ROUND((Input!$AC$15*Input!$C$15),2)+ROUND(((D31-Input!$AC$15)*Input!$D$15),2)+ROUND((D31*Input!$J$15),2)+ROUND((D31*Input!$N$15),2)</f>
        <v>715.70999999999992</v>
      </c>
      <c r="K31" s="28">
        <f>ROUND((D31*Input!$Z$15),2)+ROUND((Input!$AJ$15*Input!$Q$15),2)+ROUND(((D31-Input!$AJ$15)*Input!$R$15),2)</f>
        <v>905.99</v>
      </c>
      <c r="L31" s="28">
        <f t="shared" si="2"/>
        <v>190.28000000000009</v>
      </c>
      <c r="M31" s="29">
        <f t="shared" si="3"/>
        <v>0.26600000000000001</v>
      </c>
      <c r="N31" s="28">
        <v>0</v>
      </c>
      <c r="O31" s="28">
        <f t="shared" si="4"/>
        <v>784.70999999999992</v>
      </c>
      <c r="P31" s="28">
        <f t="shared" si="5"/>
        <v>993.14</v>
      </c>
      <c r="Q31" s="29">
        <f t="shared" si="6"/>
        <v>0.26600000000000001</v>
      </c>
      <c r="S31" s="47"/>
      <c r="T31" s="47"/>
      <c r="U31" s="47"/>
      <c r="V31" s="29"/>
      <c r="W31" s="47"/>
      <c r="X31" s="47"/>
      <c r="Y31" s="47"/>
      <c r="Z31" s="29"/>
    </row>
    <row r="32" spans="1:26" x14ac:dyDescent="0.3">
      <c r="A32" s="69">
        <v>12</v>
      </c>
      <c r="D32" s="51">
        <v>350</v>
      </c>
      <c r="E32" s="28">
        <f>Input!$H$15+Input!$K$15</f>
        <v>69</v>
      </c>
      <c r="F32" s="28">
        <f>Input!$V$15</f>
        <v>87.149999999999991</v>
      </c>
      <c r="G32" s="58">
        <f t="shared" si="0"/>
        <v>18.149999999999991</v>
      </c>
      <c r="H32" s="29">
        <f t="shared" si="1"/>
        <v>0.26300000000000001</v>
      </c>
      <c r="I32" s="30"/>
      <c r="J32" s="28">
        <f>+ROUND((Input!$AC$15*Input!$C$15),2)+ROUND(((D32-Input!$AC$15)*Input!$D$15),2)+ROUND((D32*Input!$J$15),2)+ROUND((D32*Input!$N$15),2)</f>
        <v>796</v>
      </c>
      <c r="K32" s="28">
        <f>ROUND((D32*Input!$Z$15),2)+ROUND((Input!$AJ$15*Input!$Q$15),2)+ROUND(((D32-Input!$AJ$15)*Input!$R$15),2)</f>
        <v>1007.97</v>
      </c>
      <c r="L32" s="28">
        <f t="shared" si="2"/>
        <v>211.97000000000003</v>
      </c>
      <c r="M32" s="29">
        <f t="shared" si="3"/>
        <v>0.26600000000000001</v>
      </c>
      <c r="N32" s="28">
        <v>0</v>
      </c>
      <c r="O32" s="28">
        <f t="shared" si="4"/>
        <v>865</v>
      </c>
      <c r="P32" s="28">
        <f t="shared" si="5"/>
        <v>1095.1200000000001</v>
      </c>
      <c r="Q32" s="29">
        <f t="shared" si="6"/>
        <v>0.26600000000000001</v>
      </c>
      <c r="S32" s="47"/>
      <c r="T32" s="47"/>
      <c r="U32" s="47"/>
      <c r="V32" s="29"/>
      <c r="W32" s="47"/>
      <c r="X32" s="47"/>
      <c r="Y32" s="47"/>
      <c r="Z32" s="29"/>
    </row>
    <row r="33" spans="1:26" x14ac:dyDescent="0.3">
      <c r="A33" s="69">
        <v>13</v>
      </c>
      <c r="D33" s="51">
        <v>400</v>
      </c>
      <c r="E33" s="28">
        <f>Input!$H$15+Input!$K$15</f>
        <v>69</v>
      </c>
      <c r="F33" s="28">
        <f>Input!$V$15</f>
        <v>87.149999999999991</v>
      </c>
      <c r="G33" s="58">
        <f t="shared" ref="G33:G38" si="7">F33-E33</f>
        <v>18.149999999999991</v>
      </c>
      <c r="H33" s="29">
        <f t="shared" si="1"/>
        <v>0.26300000000000001</v>
      </c>
      <c r="I33" s="31"/>
      <c r="J33" s="28">
        <f>ROUND((D33*Input!$M$15),2)+ROUND((Input!$AC$15*Input!$C$15),2)+ROUND((Input!$AD$15*Input!$D$15),2)+ROUND(((D33-Input!$AD$15-Input!$AC$15)*Input!$E$15),2)+ROUND((D33*Input!$J$15),2)+ROUND((D33*Input!$N$15),2)</f>
        <v>904.8</v>
      </c>
      <c r="K33" s="28">
        <f>ROUND((D33*Input!$Z$15),2)+ROUND((Input!$AJ$15*Input!$Q$15),2)+ROUND((Input!$AK$15*Input!$R$15),2)+ROUND(((D33-Input!$AJ$15-Input!$AK$15)*Input!$S$15),2)</f>
        <v>1146.1599999999999</v>
      </c>
      <c r="L33" s="28">
        <f t="shared" ref="L33:L38" si="8">K33-J33</f>
        <v>241.3599999999999</v>
      </c>
      <c r="M33" s="29">
        <f t="shared" si="3"/>
        <v>0.26700000000000002</v>
      </c>
      <c r="N33" s="28">
        <v>0</v>
      </c>
      <c r="O33" s="28">
        <f t="shared" si="4"/>
        <v>973.8</v>
      </c>
      <c r="P33" s="28">
        <f t="shared" si="5"/>
        <v>1233.31</v>
      </c>
      <c r="Q33" s="29">
        <f t="shared" si="6"/>
        <v>0.26600000000000001</v>
      </c>
      <c r="S33" s="47"/>
      <c r="T33" s="47"/>
      <c r="U33" s="47"/>
      <c r="V33" s="29"/>
      <c r="W33" s="47"/>
      <c r="X33" s="47"/>
      <c r="Y33" s="47"/>
      <c r="Z33" s="29"/>
    </row>
    <row r="34" spans="1:26" x14ac:dyDescent="0.3">
      <c r="A34" s="69">
        <v>14</v>
      </c>
      <c r="D34" s="51">
        <v>450</v>
      </c>
      <c r="E34" s="28">
        <f>Input!$H$15+Input!$K$15</f>
        <v>69</v>
      </c>
      <c r="F34" s="28">
        <f>Input!$V$15</f>
        <v>87.149999999999991</v>
      </c>
      <c r="G34" s="58">
        <f t="shared" si="7"/>
        <v>18.149999999999991</v>
      </c>
      <c r="H34" s="29">
        <f t="shared" si="1"/>
        <v>0.26300000000000001</v>
      </c>
      <c r="I34" s="31"/>
      <c r="J34" s="28">
        <f>ROUND((D34*Input!$M$15),2)+ROUND((Input!$AC$15*Input!$C$15),2)+ROUND((Input!$AD$15*Input!$D$15),2)+ROUND(((D34-Input!$AD$15-Input!$AC$15)*Input!$E$15),2)+ROUND((D34*Input!$J$15),2)+ROUND((D34*Input!$N$15),2)</f>
        <v>1007.84</v>
      </c>
      <c r="K34" s="28">
        <f>ROUND((D34*Input!$Z$15),2)+ROUND((Input!$AJ$15*Input!$Q$15),2)+ROUND((Input!$AK$15*Input!$R$15),2)+ROUND(((D34-Input!$AJ$15-Input!$AK$15)*Input!$S$15),2)</f>
        <v>1277.56</v>
      </c>
      <c r="L34" s="28">
        <f t="shared" si="8"/>
        <v>269.71999999999991</v>
      </c>
      <c r="M34" s="29">
        <f t="shared" si="3"/>
        <v>0.26800000000000002</v>
      </c>
      <c r="N34" s="28">
        <v>0</v>
      </c>
      <c r="O34" s="28">
        <f t="shared" si="4"/>
        <v>1076.8400000000001</v>
      </c>
      <c r="P34" s="28">
        <f t="shared" si="5"/>
        <v>1364.71</v>
      </c>
      <c r="Q34" s="29">
        <f t="shared" si="6"/>
        <v>0.26700000000000002</v>
      </c>
      <c r="S34" s="47"/>
      <c r="T34" s="47"/>
      <c r="U34" s="47"/>
      <c r="V34" s="29"/>
      <c r="W34" s="47"/>
      <c r="X34" s="47"/>
      <c r="Y34" s="47"/>
      <c r="Z34" s="29"/>
    </row>
    <row r="35" spans="1:26" x14ac:dyDescent="0.3">
      <c r="A35" s="69">
        <v>15</v>
      </c>
      <c r="D35" s="51">
        <v>500</v>
      </c>
      <c r="E35" s="28">
        <f>Input!$H$15+Input!$K$15</f>
        <v>69</v>
      </c>
      <c r="F35" s="28">
        <f>Input!$V$15</f>
        <v>87.149999999999991</v>
      </c>
      <c r="G35" s="58">
        <f t="shared" si="7"/>
        <v>18.149999999999991</v>
      </c>
      <c r="H35" s="29">
        <f t="shared" si="1"/>
        <v>0.26300000000000001</v>
      </c>
      <c r="I35" s="31"/>
      <c r="J35" s="28">
        <f>ROUND((D35*Input!$M$15),2)+ROUND((Input!$AC$15*Input!$C$15),2)+ROUND((Input!$AD$15*Input!$D$15),2)+ROUND(((D35-Input!$AD$15-Input!$AC$15)*Input!$E$15),2)+ROUND((D35*Input!$J$15),2)+ROUND((D35*Input!$N$15),2)</f>
        <v>1110.8700000000001</v>
      </c>
      <c r="K35" s="28">
        <f>ROUND((D35*Input!$Z$15),2)+ROUND((Input!$AJ$15*Input!$Q$15),2)+ROUND((Input!$AK$15*Input!$R$15),2)+ROUND(((D35-Input!$AJ$15-Input!$AK$15)*Input!$S$15),2)</f>
        <v>1408.9499999999998</v>
      </c>
      <c r="L35" s="28">
        <f t="shared" si="8"/>
        <v>298.0799999999997</v>
      </c>
      <c r="M35" s="29">
        <f t="shared" si="3"/>
        <v>0.26800000000000002</v>
      </c>
      <c r="N35" s="28">
        <v>0</v>
      </c>
      <c r="O35" s="28">
        <f t="shared" si="4"/>
        <v>1179.8700000000001</v>
      </c>
      <c r="P35" s="28">
        <f t="shared" si="5"/>
        <v>1496.1</v>
      </c>
      <c r="Q35" s="29">
        <f t="shared" si="6"/>
        <v>0.26800000000000002</v>
      </c>
      <c r="S35" s="47"/>
      <c r="T35" s="47"/>
      <c r="U35" s="47"/>
      <c r="V35" s="29"/>
      <c r="W35" s="47"/>
      <c r="X35" s="47"/>
      <c r="Y35" s="47"/>
      <c r="Z35" s="29"/>
    </row>
    <row r="36" spans="1:26" x14ac:dyDescent="0.3">
      <c r="A36" s="69">
        <v>16</v>
      </c>
      <c r="D36" s="51">
        <v>700</v>
      </c>
      <c r="E36" s="28">
        <f>Input!$H$15+Input!$K$15</f>
        <v>69</v>
      </c>
      <c r="F36" s="28">
        <f>Input!$V$15</f>
        <v>87.149999999999991</v>
      </c>
      <c r="G36" s="58">
        <f t="shared" si="7"/>
        <v>18.149999999999991</v>
      </c>
      <c r="H36" s="29">
        <f t="shared" si="1"/>
        <v>0.26300000000000001</v>
      </c>
      <c r="I36" s="31"/>
      <c r="J36" s="28">
        <f>ROUND((D36*Input!$M$15),2)+ROUND((Input!$AC$15*Input!$C$15),2)+ROUND((Input!$AD$15*Input!$D$15),2)+ROUND(((D36-Input!$AD$15-Input!$AC$15)*Input!$E$15),2)+ROUND((D36*Input!$J$15),2)+ROUND((D36*Input!$N$15),2)</f>
        <v>1523.01</v>
      </c>
      <c r="K36" s="28">
        <f>ROUND((D36*Input!$Z$15),2)+ROUND((Input!$AJ$15*Input!$Q$15),2)+ROUND((Input!$AK$15*Input!$R$15),2)+ROUND(((D36-Input!$AJ$15-Input!$AK$15)*Input!$S$15),2)</f>
        <v>1934.53</v>
      </c>
      <c r="L36" s="28">
        <f t="shared" si="8"/>
        <v>411.52</v>
      </c>
      <c r="M36" s="29">
        <f t="shared" si="3"/>
        <v>0.27</v>
      </c>
      <c r="N36" s="28">
        <v>0</v>
      </c>
      <c r="O36" s="28">
        <f t="shared" si="4"/>
        <v>1592.01</v>
      </c>
      <c r="P36" s="28">
        <f t="shared" si="5"/>
        <v>2021.68</v>
      </c>
      <c r="Q36" s="29">
        <f t="shared" si="6"/>
        <v>0.27</v>
      </c>
      <c r="S36" s="47"/>
      <c r="T36" s="47"/>
      <c r="U36" s="47"/>
      <c r="V36" s="29"/>
      <c r="W36" s="47"/>
      <c r="X36" s="47"/>
      <c r="Y36" s="47"/>
      <c r="Z36" s="29"/>
    </row>
    <row r="37" spans="1:26" x14ac:dyDescent="0.3">
      <c r="A37" s="69">
        <v>17</v>
      </c>
      <c r="D37" s="51">
        <v>1000</v>
      </c>
      <c r="E37" s="28">
        <f>Input!$H$15+Input!$K$15</f>
        <v>69</v>
      </c>
      <c r="F37" s="28">
        <f>Input!$V$15</f>
        <v>87.149999999999991</v>
      </c>
      <c r="G37" s="58">
        <f t="shared" si="7"/>
        <v>18.149999999999991</v>
      </c>
      <c r="H37" s="29">
        <f t="shared" si="1"/>
        <v>0.26300000000000001</v>
      </c>
      <c r="I37" s="31"/>
      <c r="J37" s="28">
        <f>ROUND((D37*Input!$M$15),2)+ROUND((Input!$AC$15*Input!$C$15),2)+ROUND((Input!$AD$15*Input!$D$15),2)+ROUND(((D37-Input!$AD$15-Input!$AC$15)*Input!$E$15),2)+ROUND((D37*Input!$J$15),2)+ROUND((D37*Input!$N$15),2)</f>
        <v>2141.2199999999998</v>
      </c>
      <c r="K37" s="28">
        <f>ROUND((D37*Input!$Z$15),2)+ROUND((Input!$AJ$15*Input!$Q$15),2)+ROUND((Input!$AK$15*Input!$R$15),2)+ROUND(((D37-Input!$AJ$15-Input!$AK$15)*Input!$S$15),2)</f>
        <v>2722.8999999999996</v>
      </c>
      <c r="L37" s="28">
        <f t="shared" si="8"/>
        <v>581.67999999999984</v>
      </c>
      <c r="M37" s="29">
        <f t="shared" si="3"/>
        <v>0.27200000000000002</v>
      </c>
      <c r="N37" s="28">
        <v>0</v>
      </c>
      <c r="O37" s="28">
        <f t="shared" si="4"/>
        <v>2210.2199999999998</v>
      </c>
      <c r="P37" s="28">
        <f t="shared" si="5"/>
        <v>2810.0499999999997</v>
      </c>
      <c r="Q37" s="29">
        <f t="shared" si="6"/>
        <v>0.27100000000000002</v>
      </c>
      <c r="S37" s="47"/>
      <c r="T37" s="47"/>
      <c r="U37" s="47"/>
      <c r="V37" s="29"/>
      <c r="W37" s="47"/>
      <c r="X37" s="47"/>
      <c r="Y37" s="47"/>
      <c r="Z37" s="29"/>
    </row>
    <row r="38" spans="1:26" x14ac:dyDescent="0.3">
      <c r="A38" s="69">
        <v>18</v>
      </c>
      <c r="D38" s="51">
        <v>1200</v>
      </c>
      <c r="E38" s="28">
        <f>Input!$H$15+Input!$K$15</f>
        <v>69</v>
      </c>
      <c r="F38" s="28">
        <f>Input!$V$15</f>
        <v>87.149999999999991</v>
      </c>
      <c r="G38" s="58">
        <f t="shared" si="7"/>
        <v>18.149999999999991</v>
      </c>
      <c r="H38" s="29">
        <f t="shared" si="1"/>
        <v>0.26300000000000001</v>
      </c>
      <c r="I38" s="31"/>
      <c r="J38" s="28">
        <f>ROUND((D38*Input!$M$15),2)+ROUND((Input!$AC$15*Input!$C$15),2)+ROUND((Input!$AD$15*Input!$D$15),2)+ROUND((Input!$AE$15*Input!$E$15),2)+ROUND(((D38-Input!$AC$15-Input!$AD$15-Input!$AE$15)*Input!$F$15),2)+ROUND((D38*Input!$J$15),2)+ROUND((D38*Input!$N$15),2)</f>
        <v>2513.36</v>
      </c>
      <c r="K38" s="28">
        <f>ROUND((D38*Input!$Z$15),2)+ROUND((Input!$AJ$15*Input!$Q$15),2)+ROUND((Input!$AK$15*Input!$R$15),2)+ROUND((Input!$AL$15*Input!$S$15),2)+ROUND(((D38-Input!$AJ$15-Input!$AK$15-Input!$AL$15)*Input!$T$15),2)</f>
        <v>3201.4199999999996</v>
      </c>
      <c r="L38" s="28">
        <f t="shared" si="8"/>
        <v>688.05999999999949</v>
      </c>
      <c r="M38" s="29">
        <f t="shared" si="3"/>
        <v>0.27400000000000002</v>
      </c>
      <c r="N38" s="28">
        <v>0</v>
      </c>
      <c r="O38" s="28">
        <f t="shared" si="4"/>
        <v>2582.36</v>
      </c>
      <c r="P38" s="28">
        <f t="shared" si="5"/>
        <v>3288.5699999999997</v>
      </c>
      <c r="Q38" s="29">
        <f t="shared" si="6"/>
        <v>0.27300000000000002</v>
      </c>
      <c r="S38" s="47"/>
      <c r="T38" s="47"/>
      <c r="U38" s="47"/>
      <c r="V38" s="29"/>
      <c r="W38" s="47"/>
      <c r="X38" s="47"/>
      <c r="Y38" s="47"/>
      <c r="Z38" s="29"/>
    </row>
    <row r="39" spans="1:26" x14ac:dyDescent="0.3">
      <c r="A39" s="69"/>
    </row>
    <row r="40" spans="1:26" x14ac:dyDescent="0.3">
      <c r="A40" s="69"/>
      <c r="B40" s="8" t="s">
        <v>98</v>
      </c>
      <c r="D40" s="50">
        <f>ROUND(Input!AS15,2)</f>
        <v>38.6</v>
      </c>
      <c r="E40" s="43" t="s">
        <v>99</v>
      </c>
    </row>
    <row r="41" spans="1:26" x14ac:dyDescent="0.3">
      <c r="A41" s="69"/>
      <c r="B41" s="8" t="s">
        <v>98</v>
      </c>
      <c r="D41" s="50">
        <f>ROUND(Input!AS16,2)</f>
        <v>313.10000000000002</v>
      </c>
      <c r="E41" s="43" t="s">
        <v>100</v>
      </c>
    </row>
    <row r="42" spans="1:26" x14ac:dyDescent="0.3">
      <c r="A42" s="69"/>
    </row>
    <row r="43" spans="1:26" x14ac:dyDescent="0.3">
      <c r="A43" s="46" t="s">
        <v>145</v>
      </c>
    </row>
  </sheetData>
  <mergeCells count="7">
    <mergeCell ref="A5:Q5"/>
    <mergeCell ref="E13:H13"/>
    <mergeCell ref="J13:M13"/>
    <mergeCell ref="A1:Q1"/>
    <mergeCell ref="A2:Q2"/>
    <mergeCell ref="A3:Q3"/>
    <mergeCell ref="A4:Q4"/>
  </mergeCells>
  <phoneticPr fontId="0" type="noConversion"/>
  <printOptions horizontalCentered="1"/>
  <pageMargins left="0.25" right="0.25" top="0.75" bottom="0.75" header="0.5" footer="0.5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47"/>
  <sheetViews>
    <sheetView topLeftCell="D1" zoomScaleNormal="100" workbookViewId="0">
      <selection activeCell="U30" sqref="U30"/>
    </sheetView>
  </sheetViews>
  <sheetFormatPr defaultColWidth="9.296875" defaultRowHeight="13" x14ac:dyDescent="0.3"/>
  <cols>
    <col min="1" max="1" width="4.3984375" style="8" customWidth="1"/>
    <col min="2" max="2" width="14.8984375" style="8" customWidth="1"/>
    <col min="3" max="3" width="11.69921875" style="8" bestFit="1" customWidth="1"/>
    <col min="4" max="4" width="13.09765625" style="8" bestFit="1" customWidth="1"/>
    <col min="5" max="5" width="15.296875" style="8" bestFit="1" customWidth="1"/>
    <col min="6" max="6" width="12.09765625" style="8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7" width="12.69921875" style="8" bestFit="1" customWidth="1"/>
    <col min="18" max="18" width="12.09765625" style="8" bestFit="1" customWidth="1"/>
    <col min="19" max="19" width="13.09765625" style="69" bestFit="1" customWidth="1"/>
    <col min="20" max="20" width="13" style="69" bestFit="1" customWidth="1"/>
    <col min="21" max="21" width="13" style="69" customWidth="1"/>
    <col min="22" max="22" width="9.296875" style="8"/>
    <col min="23" max="23" width="14.8984375" style="8" hidden="1" customWidth="1"/>
    <col min="24" max="24" width="10.09765625" style="8" hidden="1" customWidth="1"/>
    <col min="25" max="27" width="0" style="8" hidden="1" customWidth="1"/>
    <col min="28" max="29" width="10.09765625" style="8" hidden="1" customWidth="1"/>
    <col min="30" max="34" width="0" style="8" hidden="1" customWidth="1"/>
    <col min="35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S8" s="8"/>
      <c r="U8" s="31" t="s">
        <v>37</v>
      </c>
    </row>
    <row r="9" spans="1:30" x14ac:dyDescent="0.3">
      <c r="A9" s="8" t="s">
        <v>124</v>
      </c>
      <c r="S9" s="8"/>
      <c r="U9" s="31" t="s">
        <v>130</v>
      </c>
    </row>
    <row r="10" spans="1:30" x14ac:dyDescent="0.3">
      <c r="A10" s="8" t="s">
        <v>38</v>
      </c>
      <c r="S10" s="8"/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71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121</v>
      </c>
      <c r="C21" s="69" t="s">
        <v>65</v>
      </c>
      <c r="D21" s="51">
        <v>100</v>
      </c>
      <c r="E21" s="28">
        <f>Input!$H$17+Input!$K$17</f>
        <v>3228.21</v>
      </c>
      <c r="F21" s="28">
        <f>Input!$V$17</f>
        <v>4151</v>
      </c>
      <c r="G21" s="58">
        <f>F21-E21</f>
        <v>922.79</v>
      </c>
      <c r="H21" s="29">
        <f>ROUND(G21/E21,3)</f>
        <v>0.28599999999999998</v>
      </c>
      <c r="I21" s="29"/>
      <c r="J21" s="28">
        <f>Input!$I$17</f>
        <v>0</v>
      </c>
      <c r="K21" s="28">
        <f>Input!$W$17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ROUND((D21*Input!$C$17),2)+ROUND((D21*Input!$N$17),2)+ROUND((D21*Input!$O$17),2)+ROUND(+(D21*Input!$J$17),2)</f>
        <v>61.690000000000005</v>
      </c>
      <c r="P21" s="28">
        <f>ROUND((D21*Input!$Q$17),2)+ROUND((D21*Input!$Z$17),2)+ROUND((D21*Input!$AA$17),2)</f>
        <v>78.45</v>
      </c>
      <c r="Q21" s="28">
        <f>P21-O21</f>
        <v>16.759999999999998</v>
      </c>
      <c r="R21" s="29">
        <f>ROUND(Q21/O21,3)</f>
        <v>0.27200000000000002</v>
      </c>
      <c r="S21" s="28">
        <f t="shared" ref="S21:S36" si="0">E21+J21+O21</f>
        <v>3289.9</v>
      </c>
      <c r="T21" s="28">
        <f>F21+P21+K21</f>
        <v>4229.45</v>
      </c>
      <c r="U21" s="29">
        <f>ROUND((T21-S21)/S21,3)</f>
        <v>0.28599999999999998</v>
      </c>
      <c r="V21" s="31"/>
      <c r="W21" s="47">
        <f>E21+J21+O21</f>
        <v>3289.9</v>
      </c>
      <c r="X21" s="47">
        <f>F21+K21+P21</f>
        <v>4229.45</v>
      </c>
      <c r="Y21" s="47">
        <f>X21-W21</f>
        <v>939.54999999999973</v>
      </c>
      <c r="Z21" s="29">
        <f>(X21-W21)/W21</f>
        <v>0.28558618803003122</v>
      </c>
      <c r="AA21" s="47">
        <v>0</v>
      </c>
      <c r="AB21" s="47">
        <f>W21+AA21</f>
        <v>3289.9</v>
      </c>
      <c r="AC21" s="47">
        <f>X21+AA21</f>
        <v>4229.45</v>
      </c>
      <c r="AD21" s="29">
        <f>(AC21-AB21)/AB21</f>
        <v>0.28558618803003122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150</v>
      </c>
      <c r="E22" s="28">
        <f>Input!$H$17+Input!$K$17</f>
        <v>3228.21</v>
      </c>
      <c r="F22" s="28">
        <f>Input!$V$17</f>
        <v>4151</v>
      </c>
      <c r="G22" s="58">
        <f t="shared" ref="G22:G36" si="1">F22-E22</f>
        <v>922.79</v>
      </c>
      <c r="H22" s="29">
        <f t="shared" ref="H22:H36" si="2">ROUND(G22/E22,3)</f>
        <v>0.28599999999999998</v>
      </c>
      <c r="I22" s="29"/>
      <c r="J22" s="28">
        <f>Input!$I$17</f>
        <v>0</v>
      </c>
      <c r="K22" s="28">
        <f>Input!$W$17</f>
        <v>0</v>
      </c>
      <c r="L22" s="28">
        <f t="shared" ref="L22:L36" si="3">K22-J22</f>
        <v>0</v>
      </c>
      <c r="M22" s="29">
        <f t="shared" ref="M22:M36" si="4">IF(J22=0,0,ROUND(L22/J22,3))</f>
        <v>0</v>
      </c>
      <c r="N22" s="30"/>
      <c r="O22" s="28">
        <f>ROUND((D22*Input!$C$17),2)+ROUND((D22*Input!$N$17),2)+ROUND((D22*Input!$O$17),2)+ROUND((D22*Input!$J$17),2)</f>
        <v>92.539999999999992</v>
      </c>
      <c r="P22" s="28">
        <f>ROUND((D22*Input!$Q$17),2)+ROUND((D22*Input!$Z$17),2)+ROUND((D22*Input!$AA$17),2)</f>
        <v>117.67999999999999</v>
      </c>
      <c r="Q22" s="28">
        <f t="shared" ref="Q22:Q36" si="5">P22-O22</f>
        <v>25.14</v>
      </c>
      <c r="R22" s="29">
        <f t="shared" ref="R22:R36" si="6">ROUND(Q22/O22,3)</f>
        <v>0.27200000000000002</v>
      </c>
      <c r="S22" s="28">
        <f t="shared" si="0"/>
        <v>3320.75</v>
      </c>
      <c r="T22" s="28">
        <f t="shared" ref="T22:T36" si="7">F22+P22+K22</f>
        <v>4268.68</v>
      </c>
      <c r="U22" s="29">
        <f t="shared" ref="U22:U36" si="8">ROUND((T22-S22)/S22,3)</f>
        <v>0.28499999999999998</v>
      </c>
      <c r="V22" s="31"/>
      <c r="W22" s="47">
        <f t="shared" ref="W22:W36" si="9">E22+J22+O22</f>
        <v>3320.75</v>
      </c>
      <c r="X22" s="47">
        <f t="shared" ref="X22:X36" si="10">F22+K22+P22</f>
        <v>4268.68</v>
      </c>
      <c r="Y22" s="47">
        <f t="shared" ref="Y22:Y36" si="11">X22-W22</f>
        <v>947.93000000000029</v>
      </c>
      <c r="Z22" s="29">
        <f t="shared" ref="Z22:Z36" si="12">(X22-W22)/W22</f>
        <v>0.28545659865994139</v>
      </c>
      <c r="AA22" s="47">
        <v>0</v>
      </c>
      <c r="AB22" s="47">
        <f t="shared" ref="AB22:AB36" si="13">W22+AA22</f>
        <v>3320.75</v>
      </c>
      <c r="AC22" s="47">
        <f t="shared" ref="AC22:AC36" si="14">X22+AA22</f>
        <v>4268.68</v>
      </c>
      <c r="AD22" s="29">
        <f t="shared" ref="AD22:AD36" si="15">(AC22-AB22)/AB22</f>
        <v>0.28545659865994139</v>
      </c>
    </row>
    <row r="23" spans="1:30" x14ac:dyDescent="0.3">
      <c r="A23" s="69">
        <v>3</v>
      </c>
      <c r="B23" s="69" t="s">
        <v>89</v>
      </c>
      <c r="D23" s="51">
        <v>300</v>
      </c>
      <c r="E23" s="28">
        <f>Input!$H$17+Input!$K$17</f>
        <v>3228.21</v>
      </c>
      <c r="F23" s="28">
        <f>Input!$V$17</f>
        <v>4151</v>
      </c>
      <c r="G23" s="58">
        <f t="shared" si="1"/>
        <v>922.79</v>
      </c>
      <c r="H23" s="29">
        <f t="shared" si="2"/>
        <v>0.28599999999999998</v>
      </c>
      <c r="I23" s="29"/>
      <c r="J23" s="28">
        <f>Input!$I$17</f>
        <v>0</v>
      </c>
      <c r="K23" s="28">
        <f>Input!$W$17</f>
        <v>0</v>
      </c>
      <c r="L23" s="28">
        <f t="shared" si="3"/>
        <v>0</v>
      </c>
      <c r="M23" s="29">
        <f t="shared" si="4"/>
        <v>0</v>
      </c>
      <c r="N23" s="30"/>
      <c r="O23" s="28">
        <f>ROUND((D23*Input!$C$17),2)+ROUND((D23*Input!$N$17),2)+ROUND((D23*Input!$O$17),2)+ROUND((D23*Input!$J$17),2)</f>
        <v>185.07</v>
      </c>
      <c r="P23" s="28">
        <f>ROUND((D23*Input!$Q$17),2)+ROUND((D23*Input!$Z$17),2)+ROUND((D23*Input!$AA$17),2)</f>
        <v>235.35</v>
      </c>
      <c r="Q23" s="28">
        <f t="shared" si="5"/>
        <v>50.28</v>
      </c>
      <c r="R23" s="29">
        <f t="shared" si="6"/>
        <v>0.27200000000000002</v>
      </c>
      <c r="S23" s="28">
        <f t="shared" si="0"/>
        <v>3413.28</v>
      </c>
      <c r="T23" s="28">
        <f t="shared" si="7"/>
        <v>4386.3500000000004</v>
      </c>
      <c r="U23" s="29">
        <f t="shared" si="8"/>
        <v>0.28499999999999998</v>
      </c>
      <c r="V23" s="31"/>
      <c r="W23" s="47">
        <f t="shared" si="9"/>
        <v>3413.28</v>
      </c>
      <c r="X23" s="47">
        <f t="shared" si="10"/>
        <v>4386.3500000000004</v>
      </c>
      <c r="Y23" s="47">
        <f t="shared" si="11"/>
        <v>973.07000000000016</v>
      </c>
      <c r="Z23" s="29">
        <f t="shared" si="12"/>
        <v>0.2850835559930624</v>
      </c>
      <c r="AA23" s="47">
        <v>0</v>
      </c>
      <c r="AB23" s="47">
        <f t="shared" si="13"/>
        <v>3413.28</v>
      </c>
      <c r="AC23" s="47">
        <f t="shared" si="14"/>
        <v>4386.3500000000004</v>
      </c>
      <c r="AD23" s="29">
        <f t="shared" si="15"/>
        <v>0.2850835559930624</v>
      </c>
    </row>
    <row r="24" spans="1:30" x14ac:dyDescent="0.3">
      <c r="A24" s="69">
        <v>4</v>
      </c>
      <c r="B24" s="69" t="s">
        <v>90</v>
      </c>
      <c r="D24" s="51">
        <v>500</v>
      </c>
      <c r="E24" s="28">
        <f>Input!$H$17+Input!$K$17</f>
        <v>3228.21</v>
      </c>
      <c r="F24" s="28">
        <f>Input!$V$17</f>
        <v>4151</v>
      </c>
      <c r="G24" s="58">
        <f t="shared" si="1"/>
        <v>922.79</v>
      </c>
      <c r="H24" s="29">
        <f t="shared" si="2"/>
        <v>0.28599999999999998</v>
      </c>
      <c r="I24" s="29"/>
      <c r="J24" s="28">
        <f>Input!$I$17</f>
        <v>0</v>
      </c>
      <c r="K24" s="28">
        <f>Input!$W$17</f>
        <v>0</v>
      </c>
      <c r="L24" s="28">
        <f t="shared" si="3"/>
        <v>0</v>
      </c>
      <c r="M24" s="29">
        <f t="shared" si="4"/>
        <v>0</v>
      </c>
      <c r="N24" s="30"/>
      <c r="O24" s="28">
        <f>ROUND((D24*Input!$C$17),2)+ROUND((D24*Input!$N$17),2)+ROUND((D24*Input!$O$17),2)+ROUND((D24*Input!$J$17),2)</f>
        <v>308.45</v>
      </c>
      <c r="P24" s="28">
        <f>ROUND((D24*Input!$Q$17),2)+ROUND((D24*Input!$Z$17),2)+ROUND((D24*Input!$AA$17),2)</f>
        <v>392.25</v>
      </c>
      <c r="Q24" s="28">
        <f t="shared" si="5"/>
        <v>83.800000000000011</v>
      </c>
      <c r="R24" s="29">
        <f t="shared" si="6"/>
        <v>0.27200000000000002</v>
      </c>
      <c r="S24" s="28">
        <f t="shared" si="0"/>
        <v>3536.66</v>
      </c>
      <c r="T24" s="28">
        <f t="shared" si="7"/>
        <v>4543.25</v>
      </c>
      <c r="U24" s="29">
        <f t="shared" si="8"/>
        <v>0.28499999999999998</v>
      </c>
      <c r="V24" s="31"/>
      <c r="W24" s="47">
        <f t="shared" si="9"/>
        <v>3536.66</v>
      </c>
      <c r="X24" s="47">
        <f t="shared" si="10"/>
        <v>4543.25</v>
      </c>
      <c r="Y24" s="47">
        <f t="shared" si="11"/>
        <v>1006.5900000000001</v>
      </c>
      <c r="Z24" s="29">
        <f t="shared" si="12"/>
        <v>0.28461599362110018</v>
      </c>
      <c r="AA24" s="47">
        <v>0</v>
      </c>
      <c r="AB24" s="47">
        <f t="shared" si="13"/>
        <v>3536.66</v>
      </c>
      <c r="AC24" s="47">
        <f t="shared" si="14"/>
        <v>4543.25</v>
      </c>
      <c r="AD24" s="29">
        <f t="shared" si="15"/>
        <v>0.28461599362110018</v>
      </c>
    </row>
    <row r="25" spans="1:30" x14ac:dyDescent="0.3">
      <c r="A25" s="69">
        <v>5</v>
      </c>
      <c r="B25" s="69" t="s">
        <v>86</v>
      </c>
      <c r="D25" s="51">
        <v>1000</v>
      </c>
      <c r="E25" s="28">
        <f>Input!$H$17+Input!$K$17</f>
        <v>3228.21</v>
      </c>
      <c r="F25" s="28">
        <f>Input!$V$17</f>
        <v>4151</v>
      </c>
      <c r="G25" s="58">
        <f t="shared" si="1"/>
        <v>922.79</v>
      </c>
      <c r="H25" s="29">
        <f t="shared" si="2"/>
        <v>0.28599999999999998</v>
      </c>
      <c r="I25" s="29"/>
      <c r="J25" s="28">
        <f>Input!$I$17</f>
        <v>0</v>
      </c>
      <c r="K25" s="28">
        <f>Input!$W$17</f>
        <v>0</v>
      </c>
      <c r="L25" s="28">
        <f t="shared" si="3"/>
        <v>0</v>
      </c>
      <c r="M25" s="29">
        <f t="shared" si="4"/>
        <v>0</v>
      </c>
      <c r="N25" s="30"/>
      <c r="O25" s="28">
        <f>ROUND((D25*Input!$C$17),2)+ROUND((D25*Input!$N$17),2)+ROUND((D25*Input!$O$17),2)+ROUND((D25*Input!$J$17),2)</f>
        <v>616.9</v>
      </c>
      <c r="P25" s="28">
        <f>ROUND((D25*Input!$Q$17),2)+ROUND((D25*Input!$Z$17),2)+ROUND((D25*Input!$AA$17),2)</f>
        <v>784.5</v>
      </c>
      <c r="Q25" s="28">
        <f t="shared" si="5"/>
        <v>167.60000000000002</v>
      </c>
      <c r="R25" s="29">
        <f t="shared" si="6"/>
        <v>0.27200000000000002</v>
      </c>
      <c r="S25" s="28">
        <f t="shared" si="0"/>
        <v>3845.11</v>
      </c>
      <c r="T25" s="28">
        <f t="shared" si="7"/>
        <v>4935.5</v>
      </c>
      <c r="U25" s="29">
        <f t="shared" si="8"/>
        <v>0.28399999999999997</v>
      </c>
      <c r="V25" s="31"/>
      <c r="W25" s="47">
        <f t="shared" si="9"/>
        <v>3845.11</v>
      </c>
      <c r="X25" s="47">
        <f t="shared" si="10"/>
        <v>4935.5</v>
      </c>
      <c r="Y25" s="47">
        <f t="shared" si="11"/>
        <v>1090.3899999999999</v>
      </c>
      <c r="Z25" s="29">
        <f t="shared" si="12"/>
        <v>0.28357836316776369</v>
      </c>
      <c r="AA25" s="47">
        <v>0</v>
      </c>
      <c r="AB25" s="47">
        <f t="shared" si="13"/>
        <v>3845.11</v>
      </c>
      <c r="AC25" s="47">
        <f t="shared" si="14"/>
        <v>4935.5</v>
      </c>
      <c r="AD25" s="29">
        <f t="shared" si="15"/>
        <v>0.28357836316776369</v>
      </c>
    </row>
    <row r="26" spans="1:30" x14ac:dyDescent="0.3">
      <c r="A26" s="69">
        <v>6</v>
      </c>
      <c r="B26" s="69" t="s">
        <v>87</v>
      </c>
      <c r="D26" s="51">
        <v>3000</v>
      </c>
      <c r="E26" s="28">
        <f>Input!$H$17+Input!$K$17</f>
        <v>3228.21</v>
      </c>
      <c r="F26" s="28">
        <f>Input!$V$17</f>
        <v>4151</v>
      </c>
      <c r="G26" s="58">
        <f t="shared" si="1"/>
        <v>922.79</v>
      </c>
      <c r="H26" s="29">
        <f t="shared" si="2"/>
        <v>0.28599999999999998</v>
      </c>
      <c r="I26" s="29"/>
      <c r="J26" s="28">
        <f>Input!$I$17</f>
        <v>0</v>
      </c>
      <c r="K26" s="28">
        <f>Input!$W$17</f>
        <v>0</v>
      </c>
      <c r="L26" s="28">
        <f t="shared" si="3"/>
        <v>0</v>
      </c>
      <c r="M26" s="29">
        <f t="shared" si="4"/>
        <v>0</v>
      </c>
      <c r="N26" s="30"/>
      <c r="O26" s="28">
        <f>ROUND((D26*Input!$C$17),2)+ROUND((D26*Input!$N$17),2)+ROUND((D26*Input!$O$17),2)+ROUND((D26*Input!$J$17),2)</f>
        <v>1850.7</v>
      </c>
      <c r="P26" s="28">
        <f>ROUND((D26*Input!$Q$17),2)+ROUND((D26*Input!$Z$17),2)+ROUND((D26*Input!$AA$17),2)</f>
        <v>2353.5</v>
      </c>
      <c r="Q26" s="28">
        <f t="shared" si="5"/>
        <v>502.79999999999995</v>
      </c>
      <c r="R26" s="29">
        <f t="shared" si="6"/>
        <v>0.27200000000000002</v>
      </c>
      <c r="S26" s="28">
        <f t="shared" si="0"/>
        <v>5078.91</v>
      </c>
      <c r="T26" s="28">
        <f t="shared" si="7"/>
        <v>6504.5</v>
      </c>
      <c r="U26" s="29">
        <f t="shared" si="8"/>
        <v>0.28100000000000003</v>
      </c>
      <c r="V26" s="31"/>
      <c r="W26" s="47">
        <f t="shared" si="9"/>
        <v>5078.91</v>
      </c>
      <c r="X26" s="47">
        <f t="shared" si="10"/>
        <v>6504.5</v>
      </c>
      <c r="Y26" s="47">
        <f t="shared" si="11"/>
        <v>1425.5900000000001</v>
      </c>
      <c r="Z26" s="29">
        <f t="shared" si="12"/>
        <v>0.28068817915655137</v>
      </c>
      <c r="AA26" s="47">
        <v>0</v>
      </c>
      <c r="AB26" s="47">
        <f t="shared" si="13"/>
        <v>5078.91</v>
      </c>
      <c r="AC26" s="47">
        <f t="shared" si="14"/>
        <v>6504.5</v>
      </c>
      <c r="AD26" s="29">
        <f t="shared" si="15"/>
        <v>0.28068817915655137</v>
      </c>
    </row>
    <row r="27" spans="1:30" x14ac:dyDescent="0.3">
      <c r="A27" s="69">
        <v>7</v>
      </c>
      <c r="B27" s="69" t="s">
        <v>88</v>
      </c>
      <c r="D27" s="51">
        <v>5000</v>
      </c>
      <c r="E27" s="28">
        <f>Input!$H$17+Input!$K$17</f>
        <v>3228.21</v>
      </c>
      <c r="F27" s="28">
        <f>Input!$V$17</f>
        <v>4151</v>
      </c>
      <c r="G27" s="58">
        <f>F27-E27</f>
        <v>922.79</v>
      </c>
      <c r="H27" s="29">
        <f t="shared" si="2"/>
        <v>0.28599999999999998</v>
      </c>
      <c r="I27" s="29"/>
      <c r="J27" s="28">
        <f>Input!$I$17</f>
        <v>0</v>
      </c>
      <c r="K27" s="28">
        <f>Input!$W$17</f>
        <v>0</v>
      </c>
      <c r="L27" s="28">
        <f t="shared" si="3"/>
        <v>0</v>
      </c>
      <c r="M27" s="29">
        <f t="shared" si="4"/>
        <v>0</v>
      </c>
      <c r="N27" s="30"/>
      <c r="O27" s="28">
        <f>ROUND((D27*Input!$C$17),2)+ROUND((D27*Input!$N$17),2)+ROUND((D27*Input!$O$17),2)+ROUND((D27*Input!$J$17),2)</f>
        <v>3084.5</v>
      </c>
      <c r="P27" s="28">
        <f>ROUND((D27*Input!$Q$17),2)+ROUND((D27*Input!$Z$17),2)+ROUND((D27*Input!$AA$17),2)</f>
        <v>3922.5</v>
      </c>
      <c r="Q27" s="28">
        <f>P27-O27</f>
        <v>838</v>
      </c>
      <c r="R27" s="29">
        <f t="shared" si="6"/>
        <v>0.27200000000000002</v>
      </c>
      <c r="S27" s="28">
        <f t="shared" si="0"/>
        <v>6312.71</v>
      </c>
      <c r="T27" s="28">
        <f t="shared" si="7"/>
        <v>8073.5</v>
      </c>
      <c r="U27" s="29">
        <f t="shared" si="8"/>
        <v>0.27900000000000003</v>
      </c>
      <c r="V27" s="31"/>
      <c r="W27" s="47">
        <f t="shared" si="9"/>
        <v>6312.71</v>
      </c>
      <c r="X27" s="47">
        <f t="shared" si="10"/>
        <v>8073.5</v>
      </c>
      <c r="Y27" s="47">
        <f t="shared" si="11"/>
        <v>1760.79</v>
      </c>
      <c r="Z27" s="29">
        <f t="shared" si="12"/>
        <v>0.27892775052235885</v>
      </c>
      <c r="AA27" s="47">
        <v>0</v>
      </c>
      <c r="AB27" s="47">
        <f t="shared" si="13"/>
        <v>6312.71</v>
      </c>
      <c r="AC27" s="47">
        <f t="shared" si="14"/>
        <v>8073.5</v>
      </c>
      <c r="AD27" s="29">
        <f t="shared" si="15"/>
        <v>0.27892775052235885</v>
      </c>
    </row>
    <row r="28" spans="1:30" x14ac:dyDescent="0.3">
      <c r="A28" s="69">
        <v>8</v>
      </c>
      <c r="D28" s="51">
        <f>+D42</f>
        <v>8487</v>
      </c>
      <c r="E28" s="28">
        <f>Input!$H$17+Input!$K$17</f>
        <v>3228.21</v>
      </c>
      <c r="F28" s="28">
        <f>Input!$V$17</f>
        <v>4151</v>
      </c>
      <c r="G28" s="58">
        <f t="shared" si="1"/>
        <v>922.79</v>
      </c>
      <c r="H28" s="29">
        <f t="shared" si="2"/>
        <v>0.28599999999999998</v>
      </c>
      <c r="I28" s="29"/>
      <c r="J28" s="28">
        <f>Input!$I$17</f>
        <v>0</v>
      </c>
      <c r="K28" s="28">
        <f>Input!$W$17</f>
        <v>0</v>
      </c>
      <c r="L28" s="28">
        <f t="shared" si="3"/>
        <v>0</v>
      </c>
      <c r="M28" s="29">
        <f t="shared" si="4"/>
        <v>0</v>
      </c>
      <c r="N28" s="30"/>
      <c r="O28" s="28">
        <f>ROUND((D28*Input!$C$17),2)+ROUND((D28*Input!$N$17),2)+ROUND((D28*Input!$O$17),2)+ROUND((D28*Input!$J$17),2)</f>
        <v>5235.63</v>
      </c>
      <c r="P28" s="28">
        <f>ROUND((D28*Input!$Q$17),2)+ROUND((D28*Input!$Z$17),2)+ROUND((D28*Input!$AA$17),2)</f>
        <v>6658.05</v>
      </c>
      <c r="Q28" s="28">
        <f t="shared" si="5"/>
        <v>1422.42</v>
      </c>
      <c r="R28" s="29">
        <f t="shared" si="6"/>
        <v>0.27200000000000002</v>
      </c>
      <c r="S28" s="28">
        <f t="shared" si="0"/>
        <v>8463.84</v>
      </c>
      <c r="T28" s="28">
        <f t="shared" si="7"/>
        <v>10809.05</v>
      </c>
      <c r="U28" s="29">
        <f t="shared" si="8"/>
        <v>0.27700000000000002</v>
      </c>
      <c r="V28" s="31"/>
      <c r="W28" s="47">
        <f t="shared" si="9"/>
        <v>8463.84</v>
      </c>
      <c r="X28" s="47">
        <f t="shared" si="10"/>
        <v>10809.05</v>
      </c>
      <c r="Y28" s="47">
        <f t="shared" si="11"/>
        <v>2345.2099999999991</v>
      </c>
      <c r="Z28" s="29">
        <f t="shared" si="12"/>
        <v>0.27708581447664404</v>
      </c>
      <c r="AA28" s="47">
        <v>0</v>
      </c>
      <c r="AB28" s="47">
        <f t="shared" si="13"/>
        <v>8463.84</v>
      </c>
      <c r="AC28" s="47">
        <f t="shared" si="14"/>
        <v>10809.05</v>
      </c>
      <c r="AD28" s="29">
        <f t="shared" si="15"/>
        <v>0.27708581447664404</v>
      </c>
    </row>
    <row r="29" spans="1:30" x14ac:dyDescent="0.3">
      <c r="A29" s="69">
        <v>9</v>
      </c>
      <c r="B29" s="69"/>
      <c r="D29" s="51">
        <v>10000</v>
      </c>
      <c r="E29" s="28">
        <f>Input!$H$17+Input!$K$17</f>
        <v>3228.21</v>
      </c>
      <c r="F29" s="28">
        <f>Input!$V$17</f>
        <v>4151</v>
      </c>
      <c r="G29" s="58">
        <f t="shared" si="1"/>
        <v>922.79</v>
      </c>
      <c r="H29" s="29">
        <f t="shared" si="2"/>
        <v>0.28599999999999998</v>
      </c>
      <c r="I29" s="29"/>
      <c r="J29" s="28">
        <f>Input!$I$17</f>
        <v>0</v>
      </c>
      <c r="K29" s="28">
        <f>Input!$W$17</f>
        <v>0</v>
      </c>
      <c r="L29" s="28">
        <f t="shared" si="3"/>
        <v>0</v>
      </c>
      <c r="M29" s="29">
        <f t="shared" si="4"/>
        <v>0</v>
      </c>
      <c r="N29" s="30"/>
      <c r="O29" s="28">
        <f>ROUND((D29*Input!$C$17),2)+ROUND((D29*Input!$N$17),2)+ROUND((D29*Input!$O$17),2)+ROUND((D29*Input!$J$17),2)</f>
        <v>6169</v>
      </c>
      <c r="P29" s="28">
        <f>ROUND((D29*Input!$Q$17),2)+ROUND((D29*Input!$Z$17),2)+ROUND((D29*Input!$AA$17),2)</f>
        <v>7845</v>
      </c>
      <c r="Q29" s="28">
        <f t="shared" si="5"/>
        <v>1676</v>
      </c>
      <c r="R29" s="29">
        <f t="shared" si="6"/>
        <v>0.27200000000000002</v>
      </c>
      <c r="S29" s="28">
        <f t="shared" si="0"/>
        <v>9397.2099999999991</v>
      </c>
      <c r="T29" s="28">
        <f t="shared" si="7"/>
        <v>11996</v>
      </c>
      <c r="U29" s="29">
        <f t="shared" si="8"/>
        <v>0.27700000000000002</v>
      </c>
      <c r="V29" s="31"/>
      <c r="W29" s="47">
        <f t="shared" si="9"/>
        <v>9397.2099999999991</v>
      </c>
      <c r="X29" s="47">
        <f t="shared" si="10"/>
        <v>11996</v>
      </c>
      <c r="Y29" s="47">
        <f t="shared" si="11"/>
        <v>2598.7900000000009</v>
      </c>
      <c r="Z29" s="29">
        <f t="shared" si="12"/>
        <v>0.27654910340409561</v>
      </c>
      <c r="AA29" s="47">
        <v>0</v>
      </c>
      <c r="AB29" s="47">
        <f t="shared" si="13"/>
        <v>9397.2099999999991</v>
      </c>
      <c r="AC29" s="47">
        <f t="shared" si="14"/>
        <v>11996</v>
      </c>
      <c r="AD29" s="29">
        <f t="shared" si="15"/>
        <v>0.27654910340409561</v>
      </c>
    </row>
    <row r="30" spans="1:30" x14ac:dyDescent="0.3">
      <c r="A30" s="69">
        <v>10</v>
      </c>
      <c r="B30" s="69"/>
      <c r="D30" s="51">
        <f>D43</f>
        <v>11870</v>
      </c>
      <c r="E30" s="28">
        <f>Input!$H$17+Input!$K$17</f>
        <v>3228.21</v>
      </c>
      <c r="F30" s="28">
        <f>Input!$V$17</f>
        <v>4151</v>
      </c>
      <c r="G30" s="58">
        <f>F30-E30</f>
        <v>922.79</v>
      </c>
      <c r="H30" s="29">
        <f t="shared" si="2"/>
        <v>0.28599999999999998</v>
      </c>
      <c r="I30" s="29"/>
      <c r="J30" s="28">
        <f>Input!$I$17</f>
        <v>0</v>
      </c>
      <c r="K30" s="28">
        <f>Input!$W$17</f>
        <v>0</v>
      </c>
      <c r="L30" s="28">
        <f t="shared" si="3"/>
        <v>0</v>
      </c>
      <c r="M30" s="29">
        <f t="shared" si="4"/>
        <v>0</v>
      </c>
      <c r="N30" s="30"/>
      <c r="O30" s="28">
        <f>ROUND((D30*Input!$C$17),2)+ROUND((D30*Input!$N$17),2)+ROUND((D30*Input!$O$17),2)+ROUND((D30*Input!$J$17),2)</f>
        <v>7322.6100000000006</v>
      </c>
      <c r="P30" s="28">
        <f>ROUND((D30*Input!$Q$17),2)+ROUND((D30*Input!$Z$17),2)+ROUND((D30*Input!$AA$17),2)</f>
        <v>9312.02</v>
      </c>
      <c r="Q30" s="28">
        <f>P30-O30</f>
        <v>1989.4099999999999</v>
      </c>
      <c r="R30" s="29">
        <f t="shared" si="6"/>
        <v>0.27200000000000002</v>
      </c>
      <c r="S30" s="28">
        <f t="shared" si="0"/>
        <v>10550.82</v>
      </c>
      <c r="T30" s="28">
        <f t="shared" si="7"/>
        <v>13463.02</v>
      </c>
      <c r="U30" s="29">
        <f t="shared" si="8"/>
        <v>0.27600000000000002</v>
      </c>
      <c r="V30" s="31"/>
      <c r="W30" s="47">
        <f t="shared" si="9"/>
        <v>10550.82</v>
      </c>
      <c r="X30" s="47">
        <f t="shared" si="10"/>
        <v>13463.02</v>
      </c>
      <c r="Y30" s="47">
        <f t="shared" si="11"/>
        <v>2912.2000000000007</v>
      </c>
      <c r="Z30" s="29">
        <f t="shared" si="12"/>
        <v>0.27601646127978685</v>
      </c>
      <c r="AA30" s="47">
        <v>0</v>
      </c>
      <c r="AB30" s="47">
        <f t="shared" si="13"/>
        <v>10550.82</v>
      </c>
      <c r="AC30" s="47">
        <f t="shared" si="14"/>
        <v>13463.02</v>
      </c>
      <c r="AD30" s="29">
        <f t="shared" si="15"/>
        <v>0.27601646127978685</v>
      </c>
    </row>
    <row r="31" spans="1:30" x14ac:dyDescent="0.3">
      <c r="A31" s="69">
        <v>11</v>
      </c>
      <c r="B31" s="69"/>
      <c r="D31" s="51">
        <v>15000</v>
      </c>
      <c r="E31" s="28">
        <f>Input!$H$17+Input!$K$17</f>
        <v>3228.21</v>
      </c>
      <c r="F31" s="28">
        <f>Input!$V$17</f>
        <v>4151</v>
      </c>
      <c r="G31" s="58">
        <f t="shared" si="1"/>
        <v>922.79</v>
      </c>
      <c r="H31" s="29">
        <f t="shared" si="2"/>
        <v>0.28599999999999998</v>
      </c>
      <c r="I31" s="29"/>
      <c r="J31" s="28">
        <f>Input!$I$17</f>
        <v>0</v>
      </c>
      <c r="K31" s="28">
        <f>Input!$W$17</f>
        <v>0</v>
      </c>
      <c r="L31" s="28">
        <f t="shared" si="3"/>
        <v>0</v>
      </c>
      <c r="M31" s="29">
        <f t="shared" si="4"/>
        <v>0</v>
      </c>
      <c r="N31" s="30"/>
      <c r="O31" s="28">
        <f>ROUND((D31*Input!$C$17),2)+ROUND((D31*Input!$N$17),2)+ROUND((D31*Input!$O$17),2)+ROUND((D31*Input!$J$17),2)</f>
        <v>9253.5</v>
      </c>
      <c r="P31" s="28">
        <f>ROUND((D31*Input!$Q$17),2)+ROUND((D31*Input!$Z$17),2)+ROUND((D31*Input!$AA$17),2)</f>
        <v>11767.5</v>
      </c>
      <c r="Q31" s="28">
        <f t="shared" si="5"/>
        <v>2514</v>
      </c>
      <c r="R31" s="29">
        <f t="shared" si="6"/>
        <v>0.27200000000000002</v>
      </c>
      <c r="S31" s="28">
        <f t="shared" si="0"/>
        <v>12481.71</v>
      </c>
      <c r="T31" s="28">
        <f t="shared" si="7"/>
        <v>15918.5</v>
      </c>
      <c r="U31" s="29">
        <f t="shared" si="8"/>
        <v>0.27500000000000002</v>
      </c>
      <c r="V31" s="31"/>
      <c r="W31" s="47">
        <f t="shared" si="9"/>
        <v>12481.71</v>
      </c>
      <c r="X31" s="47">
        <f t="shared" si="10"/>
        <v>15918.5</v>
      </c>
      <c r="Y31" s="47">
        <f t="shared" si="11"/>
        <v>3436.7900000000009</v>
      </c>
      <c r="Z31" s="29">
        <f t="shared" si="12"/>
        <v>0.27534608639361124</v>
      </c>
      <c r="AA31" s="47">
        <v>0</v>
      </c>
      <c r="AB31" s="47">
        <f t="shared" si="13"/>
        <v>12481.71</v>
      </c>
      <c r="AC31" s="47">
        <f t="shared" si="14"/>
        <v>15918.5</v>
      </c>
      <c r="AD31" s="29">
        <f t="shared" si="15"/>
        <v>0.27534608639361124</v>
      </c>
    </row>
    <row r="32" spans="1:30" x14ac:dyDescent="0.3">
      <c r="A32" s="69">
        <v>12</v>
      </c>
      <c r="D32" s="51">
        <v>20000</v>
      </c>
      <c r="E32" s="28">
        <f>Input!$H$17+Input!$K$17</f>
        <v>3228.21</v>
      </c>
      <c r="F32" s="28">
        <f>Input!$V$17</f>
        <v>4151</v>
      </c>
      <c r="G32" s="58">
        <f t="shared" si="1"/>
        <v>922.79</v>
      </c>
      <c r="H32" s="29">
        <f t="shared" si="2"/>
        <v>0.28599999999999998</v>
      </c>
      <c r="I32" s="29"/>
      <c r="J32" s="28">
        <f>Input!$I$17</f>
        <v>0</v>
      </c>
      <c r="K32" s="28">
        <f>Input!$W$17</f>
        <v>0</v>
      </c>
      <c r="L32" s="28">
        <f t="shared" si="3"/>
        <v>0</v>
      </c>
      <c r="M32" s="29">
        <f t="shared" si="4"/>
        <v>0</v>
      </c>
      <c r="N32" s="30"/>
      <c r="O32" s="28">
        <f>ROUND((D32*Input!$C$17),2)+ROUND((D32*Input!$N$17),2)+ROUND((D32*Input!$O$17),2)+ROUND((D32*Input!$J$17),2)</f>
        <v>12338</v>
      </c>
      <c r="P32" s="28">
        <f>ROUND((D32*Input!$Q$17),2)+ROUND((D32*Input!$Z$17),2)+ROUND((D32*Input!$AA$17),2)</f>
        <v>15690</v>
      </c>
      <c r="Q32" s="28">
        <f t="shared" si="5"/>
        <v>3352</v>
      </c>
      <c r="R32" s="29">
        <f t="shared" si="6"/>
        <v>0.27200000000000002</v>
      </c>
      <c r="S32" s="28">
        <f t="shared" si="0"/>
        <v>15566.21</v>
      </c>
      <c r="T32" s="28">
        <f t="shared" si="7"/>
        <v>19841</v>
      </c>
      <c r="U32" s="29">
        <f t="shared" si="8"/>
        <v>0.27500000000000002</v>
      </c>
      <c r="V32" s="31"/>
      <c r="W32" s="47">
        <f t="shared" si="9"/>
        <v>15566.21</v>
      </c>
      <c r="X32" s="47">
        <f t="shared" si="10"/>
        <v>19841</v>
      </c>
      <c r="Y32" s="47">
        <f t="shared" si="11"/>
        <v>4274.7900000000009</v>
      </c>
      <c r="Z32" s="29">
        <f t="shared" si="12"/>
        <v>0.2746198336011143</v>
      </c>
      <c r="AA32" s="47">
        <v>0</v>
      </c>
      <c r="AB32" s="47">
        <f t="shared" si="13"/>
        <v>15566.21</v>
      </c>
      <c r="AC32" s="47">
        <f t="shared" si="14"/>
        <v>19841</v>
      </c>
      <c r="AD32" s="29">
        <f t="shared" si="15"/>
        <v>0.2746198336011143</v>
      </c>
    </row>
    <row r="33" spans="1:30" x14ac:dyDescent="0.3">
      <c r="A33" s="69">
        <v>13</v>
      </c>
      <c r="D33" s="51">
        <v>25000</v>
      </c>
      <c r="E33" s="28">
        <f>Input!$H$17+Input!$K$17</f>
        <v>3228.21</v>
      </c>
      <c r="F33" s="28">
        <f>Input!$V$17</f>
        <v>4151</v>
      </c>
      <c r="G33" s="58">
        <f t="shared" si="1"/>
        <v>922.79</v>
      </c>
      <c r="H33" s="29">
        <f t="shared" si="2"/>
        <v>0.28599999999999998</v>
      </c>
      <c r="I33" s="29"/>
      <c r="J33" s="28">
        <f>Input!$I$17</f>
        <v>0</v>
      </c>
      <c r="K33" s="28">
        <f>Input!$W$17</f>
        <v>0</v>
      </c>
      <c r="L33" s="28">
        <f t="shared" si="3"/>
        <v>0</v>
      </c>
      <c r="M33" s="29">
        <f t="shared" si="4"/>
        <v>0</v>
      </c>
      <c r="N33" s="30"/>
      <c r="O33" s="28">
        <f>ROUND((D33*Input!$C$17),2)+ROUND((D33*Input!$N$17),2)+ROUND((D33*Input!$O$17),2)+ROUND((D33*Input!$J$17),2)</f>
        <v>15422.5</v>
      </c>
      <c r="P33" s="28">
        <f>ROUND((D33*Input!$Q$17),2)+ROUND((D33*Input!$Z$17),2)+ROUND((D33*Input!$AA$17),2)</f>
        <v>19612.5</v>
      </c>
      <c r="Q33" s="28">
        <f t="shared" si="5"/>
        <v>4190</v>
      </c>
      <c r="R33" s="29">
        <f t="shared" si="6"/>
        <v>0.27200000000000002</v>
      </c>
      <c r="S33" s="28">
        <f t="shared" si="0"/>
        <v>18650.71</v>
      </c>
      <c r="T33" s="28">
        <f t="shared" si="7"/>
        <v>23763.5</v>
      </c>
      <c r="U33" s="29">
        <f t="shared" si="8"/>
        <v>0.27400000000000002</v>
      </c>
      <c r="V33" s="31"/>
      <c r="W33" s="47">
        <f t="shared" si="9"/>
        <v>18650.71</v>
      </c>
      <c r="X33" s="47">
        <f t="shared" si="10"/>
        <v>23763.5</v>
      </c>
      <c r="Y33" s="47">
        <f t="shared" si="11"/>
        <v>5112.7900000000009</v>
      </c>
      <c r="Z33" s="29">
        <f t="shared" si="12"/>
        <v>0.27413379973202101</v>
      </c>
      <c r="AA33" s="47">
        <v>0</v>
      </c>
      <c r="AB33" s="47">
        <f t="shared" si="13"/>
        <v>18650.71</v>
      </c>
      <c r="AC33" s="47">
        <f t="shared" si="14"/>
        <v>23763.5</v>
      </c>
      <c r="AD33" s="29">
        <f t="shared" si="15"/>
        <v>0.27413379973202101</v>
      </c>
    </row>
    <row r="34" spans="1:30" x14ac:dyDescent="0.3">
      <c r="A34" s="69">
        <v>14</v>
      </c>
      <c r="D34" s="51">
        <v>30000</v>
      </c>
      <c r="E34" s="28">
        <f>Input!$H$17+Input!$K$17</f>
        <v>3228.21</v>
      </c>
      <c r="F34" s="28">
        <f>Input!$V$17</f>
        <v>4151</v>
      </c>
      <c r="G34" s="58">
        <f t="shared" si="1"/>
        <v>922.79</v>
      </c>
      <c r="H34" s="29">
        <f t="shared" si="2"/>
        <v>0.28599999999999998</v>
      </c>
      <c r="I34" s="29"/>
      <c r="J34" s="28">
        <f>Input!$I$17</f>
        <v>0</v>
      </c>
      <c r="K34" s="28">
        <f>Input!$W$17</f>
        <v>0</v>
      </c>
      <c r="L34" s="28">
        <f t="shared" si="3"/>
        <v>0</v>
      </c>
      <c r="M34" s="29">
        <f t="shared" si="4"/>
        <v>0</v>
      </c>
      <c r="N34" s="31"/>
      <c r="O34" s="28">
        <f>ROUND((D34*Input!$C$17),2)+ROUND((D34*Input!$N$17),2)+ROUND((D34*Input!$O$17),2)+ROUND((D34*Input!$J$17),2)</f>
        <v>18507</v>
      </c>
      <c r="P34" s="28">
        <f>ROUND((D34*Input!$Q$17),2)+ROUND((D34*Input!$Z$17),2)+ROUND((D34*Input!$AA$17),2)</f>
        <v>23535</v>
      </c>
      <c r="Q34" s="28">
        <f t="shared" si="5"/>
        <v>5028</v>
      </c>
      <c r="R34" s="29">
        <f t="shared" si="6"/>
        <v>0.27200000000000002</v>
      </c>
      <c r="S34" s="28">
        <f t="shared" si="0"/>
        <v>21735.21</v>
      </c>
      <c r="T34" s="28">
        <f t="shared" si="7"/>
        <v>27686</v>
      </c>
      <c r="U34" s="29">
        <f t="shared" si="8"/>
        <v>0.27400000000000002</v>
      </c>
      <c r="V34" s="31"/>
      <c r="W34" s="47">
        <f t="shared" si="9"/>
        <v>21735.21</v>
      </c>
      <c r="X34" s="47">
        <f t="shared" si="10"/>
        <v>27686</v>
      </c>
      <c r="Y34" s="47">
        <f t="shared" si="11"/>
        <v>5950.7900000000009</v>
      </c>
      <c r="Z34" s="29">
        <f t="shared" si="12"/>
        <v>0.27378571451575584</v>
      </c>
      <c r="AA34" s="47">
        <v>0</v>
      </c>
      <c r="AB34" s="47">
        <f t="shared" si="13"/>
        <v>21735.21</v>
      </c>
      <c r="AC34" s="47">
        <f t="shared" si="14"/>
        <v>27686</v>
      </c>
      <c r="AD34" s="29">
        <f t="shared" si="15"/>
        <v>0.27378571451575584</v>
      </c>
    </row>
    <row r="35" spans="1:30" x14ac:dyDescent="0.3">
      <c r="A35" s="69">
        <v>15</v>
      </c>
      <c r="D35" s="51">
        <v>35000</v>
      </c>
      <c r="E35" s="28">
        <f>Input!$H$17+Input!$K$17</f>
        <v>3228.21</v>
      </c>
      <c r="F35" s="28">
        <f>Input!$V$17</f>
        <v>4151</v>
      </c>
      <c r="G35" s="58">
        <f t="shared" si="1"/>
        <v>922.79</v>
      </c>
      <c r="H35" s="29">
        <f t="shared" si="2"/>
        <v>0.28599999999999998</v>
      </c>
      <c r="I35" s="29"/>
      <c r="J35" s="28">
        <f>Input!$I$17</f>
        <v>0</v>
      </c>
      <c r="K35" s="28">
        <f>Input!$W$17</f>
        <v>0</v>
      </c>
      <c r="L35" s="28">
        <f t="shared" si="3"/>
        <v>0</v>
      </c>
      <c r="M35" s="29">
        <f t="shared" si="4"/>
        <v>0</v>
      </c>
      <c r="N35" s="31"/>
      <c r="O35" s="28">
        <f>ROUND((Input!$C$17*Input!$AC$17),2)+ROUND((Input!$D$17*(D35-Input!$AC$17)),2)+ROUND((D35*Input!$N$17),2)+ROUND((D35*Input!$O$17),2)+ROUND((D35*Input!$J$17),2)</f>
        <v>20317.5</v>
      </c>
      <c r="P35" s="28">
        <f>ROUND((Input!$Q$17*Input!$AJ$17),2)+ROUND((Input!$R$17*(D35-Input!$AJ$17)),2)+ROUND((D35*Input!$Z$17),2)+ROUND((D35*Input!$AA$17),2)</f>
        <v>25896.5</v>
      </c>
      <c r="Q35" s="28">
        <f t="shared" si="5"/>
        <v>5579</v>
      </c>
      <c r="R35" s="29">
        <f t="shared" si="6"/>
        <v>0.27500000000000002</v>
      </c>
      <c r="S35" s="28">
        <f t="shared" si="0"/>
        <v>23545.71</v>
      </c>
      <c r="T35" s="28">
        <f t="shared" si="7"/>
        <v>30047.5</v>
      </c>
      <c r="U35" s="29">
        <f t="shared" si="8"/>
        <v>0.27600000000000002</v>
      </c>
      <c r="V35" s="31"/>
      <c r="W35" s="47">
        <f t="shared" si="9"/>
        <v>23545.71</v>
      </c>
      <c r="X35" s="47">
        <f t="shared" si="10"/>
        <v>30047.5</v>
      </c>
      <c r="Y35" s="47">
        <f t="shared" si="11"/>
        <v>6501.7900000000009</v>
      </c>
      <c r="Z35" s="29">
        <f t="shared" si="12"/>
        <v>0.27613480332510681</v>
      </c>
      <c r="AA35" s="47">
        <v>0</v>
      </c>
      <c r="AB35" s="47">
        <f t="shared" si="13"/>
        <v>23545.71</v>
      </c>
      <c r="AC35" s="47">
        <f t="shared" si="14"/>
        <v>30047.5</v>
      </c>
      <c r="AD35" s="29">
        <f t="shared" si="15"/>
        <v>0.27613480332510681</v>
      </c>
    </row>
    <row r="36" spans="1:30" x14ac:dyDescent="0.3">
      <c r="A36" s="69">
        <v>16</v>
      </c>
      <c r="D36" s="51">
        <v>40000</v>
      </c>
      <c r="E36" s="28">
        <f>Input!$H$17+Input!$K$17</f>
        <v>3228.21</v>
      </c>
      <c r="F36" s="28">
        <f>Input!$V$17</f>
        <v>4151</v>
      </c>
      <c r="G36" s="58">
        <f t="shared" si="1"/>
        <v>922.79</v>
      </c>
      <c r="H36" s="29">
        <f t="shared" si="2"/>
        <v>0.28599999999999998</v>
      </c>
      <c r="I36" s="29"/>
      <c r="J36" s="28">
        <f>Input!$I$17</f>
        <v>0</v>
      </c>
      <c r="K36" s="28">
        <f>Input!$W$17</f>
        <v>0</v>
      </c>
      <c r="L36" s="28">
        <f t="shared" si="3"/>
        <v>0</v>
      </c>
      <c r="M36" s="29">
        <f t="shared" si="4"/>
        <v>0</v>
      </c>
      <c r="N36" s="31"/>
      <c r="O36" s="28">
        <f>ROUND((Input!$C$17*Input!$AC$17),2)+ROUND((Input!$D$17*(D36-Input!$AC$17)),2)+ROUND((D36*Input!$N$17),2)+ROUND((D36*Input!$O$17),2)+ROUND((D36*Input!$J$17),2)</f>
        <v>22128</v>
      </c>
      <c r="P36" s="28">
        <f>ROUND((Input!$Q$17*Input!$AJ$17),2)+ROUND((Input!$R$17*(D36-Input!$AJ$17)),2)+ROUND((D36*Input!$Z$17),2)+ROUND((D36*Input!$AA$17),2)</f>
        <v>28258</v>
      </c>
      <c r="Q36" s="28">
        <f t="shared" si="5"/>
        <v>6130</v>
      </c>
      <c r="R36" s="29">
        <f t="shared" si="6"/>
        <v>0.27700000000000002</v>
      </c>
      <c r="S36" s="28">
        <f t="shared" si="0"/>
        <v>25356.21</v>
      </c>
      <c r="T36" s="28">
        <f t="shared" si="7"/>
        <v>32409</v>
      </c>
      <c r="U36" s="29">
        <f t="shared" si="8"/>
        <v>0.27800000000000002</v>
      </c>
      <c r="V36" s="31"/>
      <c r="W36" s="47">
        <f t="shared" si="9"/>
        <v>25356.21</v>
      </c>
      <c r="X36" s="47">
        <f t="shared" si="10"/>
        <v>32409</v>
      </c>
      <c r="Y36" s="47">
        <f t="shared" si="11"/>
        <v>7052.7900000000009</v>
      </c>
      <c r="Z36" s="29">
        <f t="shared" si="12"/>
        <v>0.27814842991125255</v>
      </c>
      <c r="AA36" s="47">
        <v>0</v>
      </c>
      <c r="AB36" s="47">
        <f t="shared" si="13"/>
        <v>25356.21</v>
      </c>
      <c r="AC36" s="47">
        <f t="shared" si="14"/>
        <v>32409</v>
      </c>
      <c r="AD36" s="29">
        <f t="shared" si="15"/>
        <v>0.27814842991125255</v>
      </c>
    </row>
    <row r="37" spans="1:30" x14ac:dyDescent="0.3">
      <c r="A37" s="69">
        <v>17</v>
      </c>
      <c r="D37" s="51">
        <v>70000</v>
      </c>
      <c r="E37" s="28">
        <f>Input!$H$17+Input!$K$17</f>
        <v>3228.21</v>
      </c>
      <c r="F37" s="28">
        <f>Input!$V$17</f>
        <v>4151</v>
      </c>
      <c r="G37" s="58">
        <f t="shared" ref="G37:G40" si="16">F37-E37</f>
        <v>922.79</v>
      </c>
      <c r="H37" s="29">
        <f t="shared" ref="H37:H40" si="17">ROUND(G37/E37,3)</f>
        <v>0.28599999999999998</v>
      </c>
      <c r="I37" s="29"/>
      <c r="J37" s="28">
        <f>Input!$I$17</f>
        <v>0</v>
      </c>
      <c r="K37" s="28">
        <f>Input!$W$17</f>
        <v>0</v>
      </c>
      <c r="L37" s="28">
        <f t="shared" ref="L37:L40" si="18">K37-J37</f>
        <v>0</v>
      </c>
      <c r="M37" s="29">
        <f t="shared" ref="M37:M40" si="19">IF(J37=0,0,ROUND(L37/J37,3))</f>
        <v>0</v>
      </c>
      <c r="N37" s="31"/>
      <c r="O37" s="28">
        <f>ROUND((Input!$C$17*Input!$AC$17),2)+ROUND((Input!$D$17*(D37-Input!$AC$17)),2)+ROUND((D37*Input!$N$17),2)+ROUND((D37*Input!$O$17),2)+ROUND((D37*Input!$J$17),2)</f>
        <v>32991</v>
      </c>
      <c r="P37" s="28">
        <f>ROUND((Input!$Q$17*Input!$AJ$17),2)+ROUND((Input!$R$17*(D37-Input!$AJ$17)),2)+ROUND((D37*Input!$Z$17),2)+ROUND((D37*Input!$AA$17),2)</f>
        <v>42427</v>
      </c>
      <c r="Q37" s="28">
        <f t="shared" ref="Q37:Q40" si="20">P37-O37</f>
        <v>9436</v>
      </c>
      <c r="R37" s="29">
        <f t="shared" ref="R37:R40" si="21">ROUND(Q37/O37,3)</f>
        <v>0.28599999999999998</v>
      </c>
      <c r="S37" s="28">
        <f t="shared" ref="S37:S40" si="22">E37+J37+O37</f>
        <v>36219.21</v>
      </c>
      <c r="T37" s="28">
        <f t="shared" ref="T37:T40" si="23">F37+P37+K37</f>
        <v>46578</v>
      </c>
      <c r="U37" s="29">
        <f t="shared" ref="U37:U40" si="24">ROUND((T37-S37)/S37,3)</f>
        <v>0.28599999999999998</v>
      </c>
      <c r="V37" s="31"/>
      <c r="W37" s="47"/>
      <c r="X37" s="47"/>
      <c r="Y37" s="47"/>
      <c r="Z37" s="29"/>
      <c r="AA37" s="47"/>
      <c r="AB37" s="47"/>
      <c r="AC37" s="47"/>
      <c r="AD37" s="29"/>
    </row>
    <row r="38" spans="1:30" x14ac:dyDescent="0.3">
      <c r="A38" s="69">
        <v>18</v>
      </c>
      <c r="D38" s="51">
        <v>90000</v>
      </c>
      <c r="E38" s="28">
        <f>Input!$H$17+Input!$K$17</f>
        <v>3228.21</v>
      </c>
      <c r="F38" s="28">
        <f>Input!$V$17</f>
        <v>4151</v>
      </c>
      <c r="G38" s="58">
        <f t="shared" si="16"/>
        <v>922.79</v>
      </c>
      <c r="H38" s="29">
        <f t="shared" si="17"/>
        <v>0.28599999999999998</v>
      </c>
      <c r="I38" s="29"/>
      <c r="J38" s="28">
        <f>Input!$I$17</f>
        <v>0</v>
      </c>
      <c r="K38" s="28">
        <f>Input!$W$17</f>
        <v>0</v>
      </c>
      <c r="L38" s="28">
        <f t="shared" si="18"/>
        <v>0</v>
      </c>
      <c r="M38" s="29">
        <f t="shared" si="19"/>
        <v>0</v>
      </c>
      <c r="N38" s="31"/>
      <c r="O38" s="28">
        <f>ROUND((Input!$C$17*Input!$AC$17),2)+ROUND((Input!$D$17*(D38-Input!$AC$17)),2)+ROUND((D38*Input!$N$17),2)+ROUND((D38*Input!$O$17),2)+ROUND((D38*Input!$J$17),2)</f>
        <v>40233</v>
      </c>
      <c r="P38" s="28">
        <f>ROUND((Input!$Q$17*Input!$AJ$17),2)+ROUND((Input!$R$17*(D38-Input!$AJ$17)),2)+ROUND((D38*Input!$Z$17),2)+ROUND((D38*Input!$AA$17),2)</f>
        <v>51873</v>
      </c>
      <c r="Q38" s="28">
        <f t="shared" si="20"/>
        <v>11640</v>
      </c>
      <c r="R38" s="29">
        <f t="shared" si="21"/>
        <v>0.28899999999999998</v>
      </c>
      <c r="S38" s="28">
        <f t="shared" si="22"/>
        <v>43461.21</v>
      </c>
      <c r="T38" s="28">
        <f t="shared" si="23"/>
        <v>56024</v>
      </c>
      <c r="U38" s="29">
        <f t="shared" si="24"/>
        <v>0.28899999999999998</v>
      </c>
      <c r="V38" s="31"/>
      <c r="W38" s="47"/>
      <c r="X38" s="47"/>
      <c r="Y38" s="47"/>
      <c r="Z38" s="29"/>
      <c r="AA38" s="47"/>
      <c r="AB38" s="47"/>
      <c r="AC38" s="47"/>
      <c r="AD38" s="29"/>
    </row>
    <row r="39" spans="1:30" x14ac:dyDescent="0.3">
      <c r="A39" s="69">
        <v>19</v>
      </c>
      <c r="D39" s="51">
        <v>100000</v>
      </c>
      <c r="E39" s="28">
        <f>Input!$H$17+Input!$K$17</f>
        <v>3228.21</v>
      </c>
      <c r="F39" s="28">
        <f>Input!$V$17</f>
        <v>4151</v>
      </c>
      <c r="G39" s="58">
        <f t="shared" si="16"/>
        <v>922.79</v>
      </c>
      <c r="H39" s="29">
        <f t="shared" si="17"/>
        <v>0.28599999999999998</v>
      </c>
      <c r="I39" s="29"/>
      <c r="J39" s="28">
        <f>Input!$I$17</f>
        <v>0</v>
      </c>
      <c r="K39" s="28">
        <f>Input!$W$17</f>
        <v>0</v>
      </c>
      <c r="L39" s="28">
        <f t="shared" si="18"/>
        <v>0</v>
      </c>
      <c r="M39" s="29">
        <f t="shared" si="19"/>
        <v>0</v>
      </c>
      <c r="N39" s="31"/>
      <c r="O39" s="28">
        <f>ROUND((Input!$C$17*Input!$AC$17),2)+ROUND((Input!$D$17*(D39-Input!$AC$17)),2)+ROUND((D39*Input!$N$17),2)+ROUND((D39*Input!$O$17),2)+ROUND((D39*Input!$J$17),2)</f>
        <v>43854</v>
      </c>
      <c r="P39" s="28">
        <f>ROUND((Input!$Q$17*Input!$AJ$17),2)+ROUND((Input!$R$17*(D39-Input!$AJ$17)),2)+ROUND((D39*Input!$Z$17),2)+ROUND((D39*Input!$AA$17),2)</f>
        <v>56596</v>
      </c>
      <c r="Q39" s="28">
        <f t="shared" si="20"/>
        <v>12742</v>
      </c>
      <c r="R39" s="29">
        <f t="shared" si="21"/>
        <v>0.29099999999999998</v>
      </c>
      <c r="S39" s="28">
        <f t="shared" si="22"/>
        <v>47082.21</v>
      </c>
      <c r="T39" s="28">
        <f t="shared" si="23"/>
        <v>60747</v>
      </c>
      <c r="U39" s="29">
        <f t="shared" si="24"/>
        <v>0.28999999999999998</v>
      </c>
      <c r="V39" s="31"/>
      <c r="W39" s="47"/>
      <c r="X39" s="47"/>
      <c r="Y39" s="47"/>
      <c r="Z39" s="29"/>
      <c r="AA39" s="47"/>
      <c r="AB39" s="47"/>
      <c r="AC39" s="47"/>
      <c r="AD39" s="29"/>
    </row>
    <row r="40" spans="1:30" x14ac:dyDescent="0.3">
      <c r="A40" s="69">
        <v>20</v>
      </c>
      <c r="D40" s="51">
        <v>125000</v>
      </c>
      <c r="E40" s="28">
        <f>Input!$H$17+Input!$K$17</f>
        <v>3228.21</v>
      </c>
      <c r="F40" s="28">
        <f>Input!$V$17</f>
        <v>4151</v>
      </c>
      <c r="G40" s="58">
        <f t="shared" si="16"/>
        <v>922.79</v>
      </c>
      <c r="H40" s="29">
        <f t="shared" si="17"/>
        <v>0.28599999999999998</v>
      </c>
      <c r="I40" s="29"/>
      <c r="J40" s="28">
        <f>Input!$I$17</f>
        <v>0</v>
      </c>
      <c r="K40" s="28">
        <f>Input!$W$17</f>
        <v>0</v>
      </c>
      <c r="L40" s="28">
        <f t="shared" si="18"/>
        <v>0</v>
      </c>
      <c r="M40" s="29">
        <f t="shared" si="19"/>
        <v>0</v>
      </c>
      <c r="N40" s="31"/>
      <c r="O40" s="28">
        <f>ROUND((Input!$C$17*Input!$AC$17),2)+ROUND((Input!$D$17*(D40-Input!$AC$17)),2)+ROUND((D40*Input!$N$17),2)+ROUND((D40*Input!$O$17),2)+ROUND((D40*Input!$J$17),2)</f>
        <v>52906.5</v>
      </c>
      <c r="P40" s="28">
        <f>ROUND((Input!$Q$17*Input!$AJ$17),2)+ROUND((Input!$R$17*(D40-Input!$AJ$17)),2)+ROUND((D40*Input!$Z$17),2)+ROUND((D40*Input!$AA$17),2)</f>
        <v>68403.5</v>
      </c>
      <c r="Q40" s="28">
        <f t="shared" si="20"/>
        <v>15497</v>
      </c>
      <c r="R40" s="29">
        <f t="shared" si="21"/>
        <v>0.29299999999999998</v>
      </c>
      <c r="S40" s="28">
        <f t="shared" si="22"/>
        <v>56134.71</v>
      </c>
      <c r="T40" s="28">
        <f t="shared" si="23"/>
        <v>72554.5</v>
      </c>
      <c r="U40" s="29">
        <f t="shared" si="24"/>
        <v>0.29299999999999998</v>
      </c>
      <c r="V40" s="31"/>
      <c r="W40" s="47"/>
      <c r="X40" s="47"/>
      <c r="Y40" s="47"/>
      <c r="Z40" s="29"/>
      <c r="AA40" s="47"/>
      <c r="AB40" s="47"/>
      <c r="AC40" s="47"/>
      <c r="AD40" s="29"/>
    </row>
    <row r="41" spans="1:30" x14ac:dyDescent="0.3">
      <c r="A41" s="69"/>
      <c r="D41" s="32"/>
      <c r="E41" s="31"/>
      <c r="F41" s="31"/>
      <c r="G41" s="28"/>
      <c r="H41" s="30"/>
      <c r="I41" s="30"/>
      <c r="J41" s="30"/>
      <c r="K41" s="30"/>
      <c r="L41" s="30"/>
      <c r="M41" s="30"/>
      <c r="N41" s="31"/>
      <c r="O41" s="31"/>
      <c r="P41" s="31"/>
      <c r="Q41" s="28"/>
      <c r="R41" s="30"/>
      <c r="S41" s="28"/>
      <c r="T41" s="28"/>
      <c r="U41" s="30"/>
      <c r="V41" s="31"/>
      <c r="W41" s="47"/>
      <c r="X41" s="47"/>
      <c r="Y41" s="47"/>
      <c r="Z41" s="29"/>
      <c r="AA41" s="47"/>
      <c r="AB41" s="47"/>
      <c r="AC41" s="47"/>
      <c r="AD41" s="29"/>
    </row>
    <row r="42" spans="1:30" x14ac:dyDescent="0.3">
      <c r="A42" s="69"/>
      <c r="B42" s="8" t="s">
        <v>98</v>
      </c>
      <c r="D42" s="52">
        <f>ROUND(Input!AS17,0)</f>
        <v>8487</v>
      </c>
      <c r="E42" s="43" t="s">
        <v>99</v>
      </c>
      <c r="F42" s="69"/>
      <c r="G42" s="34"/>
      <c r="H42" s="35"/>
      <c r="I42" s="35"/>
      <c r="J42" s="35"/>
      <c r="K42" s="35"/>
      <c r="L42" s="35"/>
      <c r="M42" s="35"/>
      <c r="N42" s="69"/>
      <c r="O42" s="69"/>
      <c r="P42" s="69"/>
      <c r="Q42" s="34"/>
      <c r="R42" s="35"/>
      <c r="S42" s="34"/>
      <c r="T42" s="34"/>
      <c r="U42" s="35"/>
      <c r="W42" s="47"/>
      <c r="X42" s="47"/>
      <c r="Y42" s="47"/>
      <c r="Z42" s="29"/>
      <c r="AA42" s="47"/>
      <c r="AB42" s="47"/>
      <c r="AC42" s="47"/>
      <c r="AD42" s="29"/>
    </row>
    <row r="43" spans="1:30" x14ac:dyDescent="0.3">
      <c r="A43" s="69"/>
      <c r="B43" s="8" t="s">
        <v>98</v>
      </c>
      <c r="D43" s="52">
        <f>ROUND(Input!AS18,0)</f>
        <v>11870</v>
      </c>
      <c r="E43" s="43" t="s">
        <v>100</v>
      </c>
    </row>
    <row r="44" spans="1:30" x14ac:dyDescent="0.3">
      <c r="A44" s="69"/>
    </row>
    <row r="45" spans="1:30" x14ac:dyDescent="0.3">
      <c r="A45" s="69"/>
    </row>
    <row r="46" spans="1:30" x14ac:dyDescent="0.3">
      <c r="A46" s="69"/>
      <c r="B46" s="8" t="s">
        <v>151</v>
      </c>
    </row>
    <row r="47" spans="1:30" x14ac:dyDescent="0.3">
      <c r="A47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5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3"/>
  <sheetViews>
    <sheetView zoomScaleNormal="100" workbookViewId="0">
      <selection activeCell="P38" sqref="P38"/>
    </sheetView>
  </sheetViews>
  <sheetFormatPr defaultColWidth="9.296875" defaultRowHeight="13" x14ac:dyDescent="0.3"/>
  <cols>
    <col min="1" max="1" width="4.3984375" style="8" customWidth="1"/>
    <col min="2" max="2" width="14.09765625" style="8" customWidth="1"/>
    <col min="3" max="3" width="11.69921875" style="8" bestFit="1" customWidth="1"/>
    <col min="4" max="4" width="10.3984375" style="8" bestFit="1" customWidth="1"/>
    <col min="5" max="5" width="15.2968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8" width="12.09765625" style="8" bestFit="1" customWidth="1"/>
    <col min="19" max="19" width="13.09765625" style="69" bestFit="1" customWidth="1"/>
    <col min="20" max="20" width="13" style="69" bestFit="1" customWidth="1"/>
    <col min="21" max="21" width="12.59765625" style="69" customWidth="1"/>
    <col min="22" max="22" width="9.296875" style="8"/>
    <col min="23" max="31" width="0" style="8" hidden="1" customWidth="1"/>
    <col min="32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131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122</v>
      </c>
      <c r="C21" s="69" t="s">
        <v>65</v>
      </c>
      <c r="D21" s="76">
        <v>10</v>
      </c>
      <c r="E21" s="28">
        <f>Input!$H$19+Input!$K$19</f>
        <v>69</v>
      </c>
      <c r="F21" s="28">
        <f>Input!$V$19</f>
        <v>87.149999999999991</v>
      </c>
      <c r="G21" s="58">
        <f>F21-E21</f>
        <v>18.149999999999991</v>
      </c>
      <c r="H21" s="29">
        <f>ROUND(G21/E21,3)</f>
        <v>0.26300000000000001</v>
      </c>
      <c r="I21" s="29"/>
      <c r="J21" s="28">
        <f>Input!$I$19</f>
        <v>0</v>
      </c>
      <c r="K21" s="28">
        <f>Input!$W$19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ROUND((D21*Input!$C$19),2)+ROUND((D21*Input!$N$19),2)+ROUND((D21*Input!$O$19),2)+ROUND((D21*Input!$J$19),2)</f>
        <v>28.64</v>
      </c>
      <c r="P21" s="28">
        <f>ROUND((D21*Input!$Q$19),2)+ROUND((D21*Input!$Z$19),2)+ROUND((D21*Input!$AA$19),2)</f>
        <v>35.76</v>
      </c>
      <c r="Q21" s="28">
        <f>P21-O21</f>
        <v>7.1199999999999974</v>
      </c>
      <c r="R21" s="29">
        <f>ROUND(Q21/O21,3)</f>
        <v>0.249</v>
      </c>
      <c r="S21" s="28">
        <f>E21+J21+O21</f>
        <v>97.64</v>
      </c>
      <c r="T21" s="28">
        <f>F21+K21+P21</f>
        <v>122.91</v>
      </c>
      <c r="U21" s="29">
        <f>ROUND((T21-S21)/S21,3)</f>
        <v>0.25900000000000001</v>
      </c>
      <c r="V21" s="31"/>
      <c r="W21" s="47">
        <f>E21+J21+O21</f>
        <v>97.64</v>
      </c>
      <c r="X21" s="47">
        <f>F21+K21+P21</f>
        <v>122.91</v>
      </c>
      <c r="Y21" s="47">
        <f>X21-W21</f>
        <v>25.269999999999996</v>
      </c>
      <c r="Z21" s="29">
        <f>(X21-W21)/W21</f>
        <v>0.25880786562884062</v>
      </c>
      <c r="AA21" s="47">
        <v>0</v>
      </c>
      <c r="AB21" s="47">
        <f>W21+AA21</f>
        <v>97.64</v>
      </c>
      <c r="AC21" s="47">
        <f>X21+AA21</f>
        <v>122.91</v>
      </c>
      <c r="AD21" s="29">
        <f>(AC21-AB21)/AB21</f>
        <v>0.25880786562884062</v>
      </c>
    </row>
    <row r="22" spans="1:30" x14ac:dyDescent="0.3">
      <c r="A22" s="69">
        <v>2</v>
      </c>
      <c r="B22" s="69" t="s">
        <v>69</v>
      </c>
      <c r="C22" s="69" t="s">
        <v>67</v>
      </c>
      <c r="D22" s="76">
        <v>30</v>
      </c>
      <c r="E22" s="28">
        <f>Input!$H$19+Input!$K$19</f>
        <v>69</v>
      </c>
      <c r="F22" s="28">
        <f>Input!$V$19</f>
        <v>87.149999999999991</v>
      </c>
      <c r="G22" s="58">
        <f t="shared" ref="G22:G38" si="0">F22-E22</f>
        <v>18.149999999999991</v>
      </c>
      <c r="H22" s="29">
        <f t="shared" ref="H22:H38" si="1">ROUND(G22/E22,3)</f>
        <v>0.26300000000000001</v>
      </c>
      <c r="I22" s="29"/>
      <c r="J22" s="28">
        <f>Input!$I$19</f>
        <v>0</v>
      </c>
      <c r="K22" s="28">
        <f>Input!$W$19</f>
        <v>0</v>
      </c>
      <c r="L22" s="28">
        <f t="shared" ref="L22:L38" si="2">K22-J22</f>
        <v>0</v>
      </c>
      <c r="M22" s="29">
        <f t="shared" ref="M22:M38" si="3">IF(J22=0,0,ROUND(L22/J22,3))</f>
        <v>0</v>
      </c>
      <c r="N22" s="30"/>
      <c r="O22" s="28">
        <f>ROUND((D22*Input!$C$19),2)+ROUND((D22*Input!$N$19),2)+ROUND((D22*Input!$O$19),2)+ROUND((D22*Input!$J$19),2)</f>
        <v>85.93</v>
      </c>
      <c r="P22" s="28">
        <f>ROUND((D22*Input!$Q$19),2)+ROUND((D22*Input!$Z$19),2)+ROUND((D22*Input!$AA$19),2)</f>
        <v>107.30000000000001</v>
      </c>
      <c r="Q22" s="28">
        <f t="shared" ref="Q22:Q38" si="4">P22-O22</f>
        <v>21.370000000000005</v>
      </c>
      <c r="R22" s="29">
        <f t="shared" ref="R22:R38" si="5">ROUND(Q22/O22,3)</f>
        <v>0.249</v>
      </c>
      <c r="S22" s="28">
        <f t="shared" ref="S22:S38" si="6">E22+J22+O22</f>
        <v>154.93</v>
      </c>
      <c r="T22" s="28">
        <f t="shared" ref="T22:T38" si="7">F22+K22+P22</f>
        <v>194.45</v>
      </c>
      <c r="U22" s="29">
        <f t="shared" ref="U22:U38" si="8">ROUND((T22-S22)/S22,3)</f>
        <v>0.255</v>
      </c>
      <c r="V22" s="31"/>
      <c r="W22" s="47">
        <f t="shared" ref="W22:X36" si="9">E22+J22+O22</f>
        <v>154.93</v>
      </c>
      <c r="X22" s="47">
        <f t="shared" si="9"/>
        <v>194.45</v>
      </c>
      <c r="Y22" s="47">
        <f t="shared" ref="Y22:Y36" si="10">X22-W22</f>
        <v>39.519999999999982</v>
      </c>
      <c r="Z22" s="29">
        <f t="shared" ref="Z22:Z36" si="11">(X22-W22)/W22</f>
        <v>0.25508294068288889</v>
      </c>
      <c r="AA22" s="47">
        <v>0</v>
      </c>
      <c r="AB22" s="47">
        <f t="shared" ref="AB22:AB36" si="12">W22+AA22</f>
        <v>154.93</v>
      </c>
      <c r="AC22" s="47">
        <f t="shared" ref="AC22:AC36" si="13">X22+AA22</f>
        <v>194.45</v>
      </c>
      <c r="AD22" s="29">
        <f t="shared" ref="AD22:AD36" si="14">(AC22-AB22)/AB22</f>
        <v>0.25508294068288889</v>
      </c>
    </row>
    <row r="23" spans="1:30" x14ac:dyDescent="0.3">
      <c r="A23" s="69">
        <v>3</v>
      </c>
      <c r="B23" s="69" t="s">
        <v>92</v>
      </c>
      <c r="D23" s="76">
        <v>50</v>
      </c>
      <c r="E23" s="28">
        <f>Input!$H$19+Input!$K$19</f>
        <v>69</v>
      </c>
      <c r="F23" s="28">
        <f>Input!$V$19</f>
        <v>87.149999999999991</v>
      </c>
      <c r="G23" s="58">
        <f t="shared" si="0"/>
        <v>18.149999999999991</v>
      </c>
      <c r="H23" s="29">
        <f t="shared" si="1"/>
        <v>0.26300000000000001</v>
      </c>
      <c r="I23" s="29"/>
      <c r="J23" s="28">
        <f>Input!$I$19</f>
        <v>0</v>
      </c>
      <c r="K23" s="28">
        <f>Input!$W$19</f>
        <v>0</v>
      </c>
      <c r="L23" s="28">
        <f t="shared" si="2"/>
        <v>0</v>
      </c>
      <c r="M23" s="29">
        <f t="shared" si="3"/>
        <v>0</v>
      </c>
      <c r="N23" s="30"/>
      <c r="O23" s="28">
        <f>ROUND((D23*Input!$C$19),2)+ROUND((D23*Input!$N$19),2)+ROUND((D23*Input!$O$19),2)+ROUND((D23*Input!$J$19),2)</f>
        <v>143.22999999999999</v>
      </c>
      <c r="P23" s="28">
        <f>ROUND((D23*Input!$Q$19),2)+ROUND((D23*Input!$Z$19),2)+ROUND((D23*Input!$AA$19),2)</f>
        <v>178.83</v>
      </c>
      <c r="Q23" s="28">
        <f t="shared" si="4"/>
        <v>35.600000000000023</v>
      </c>
      <c r="R23" s="29">
        <f t="shared" si="5"/>
        <v>0.249</v>
      </c>
      <c r="S23" s="28">
        <f t="shared" si="6"/>
        <v>212.23</v>
      </c>
      <c r="T23" s="28">
        <f t="shared" si="7"/>
        <v>265.98</v>
      </c>
      <c r="U23" s="29">
        <f t="shared" si="8"/>
        <v>0.253</v>
      </c>
      <c r="V23" s="31"/>
      <c r="W23" s="47">
        <f t="shared" si="9"/>
        <v>212.23</v>
      </c>
      <c r="X23" s="47">
        <f t="shared" si="9"/>
        <v>265.98</v>
      </c>
      <c r="Y23" s="47">
        <f t="shared" si="10"/>
        <v>53.750000000000028</v>
      </c>
      <c r="Z23" s="29">
        <f t="shared" si="11"/>
        <v>0.25326296941996906</v>
      </c>
      <c r="AA23" s="47">
        <v>0</v>
      </c>
      <c r="AB23" s="47">
        <f t="shared" si="12"/>
        <v>212.23</v>
      </c>
      <c r="AC23" s="47">
        <f t="shared" si="13"/>
        <v>265.98</v>
      </c>
      <c r="AD23" s="29">
        <f t="shared" si="14"/>
        <v>0.25326296941996906</v>
      </c>
    </row>
    <row r="24" spans="1:30" x14ac:dyDescent="0.3">
      <c r="A24" s="69">
        <v>4</v>
      </c>
      <c r="B24" s="69" t="s">
        <v>90</v>
      </c>
      <c r="D24" s="76">
        <v>70</v>
      </c>
      <c r="E24" s="28">
        <f>Input!$H$19+Input!$K$19</f>
        <v>69</v>
      </c>
      <c r="F24" s="28">
        <f>Input!$V$19</f>
        <v>87.149999999999991</v>
      </c>
      <c r="G24" s="58">
        <f t="shared" si="0"/>
        <v>18.149999999999991</v>
      </c>
      <c r="H24" s="29">
        <f t="shared" si="1"/>
        <v>0.26300000000000001</v>
      </c>
      <c r="I24" s="29"/>
      <c r="J24" s="28">
        <f>Input!$I$19</f>
        <v>0</v>
      </c>
      <c r="K24" s="28">
        <f>Input!$W$19</f>
        <v>0</v>
      </c>
      <c r="L24" s="28">
        <f t="shared" si="2"/>
        <v>0</v>
      </c>
      <c r="M24" s="29">
        <f t="shared" si="3"/>
        <v>0</v>
      </c>
      <c r="N24" s="30"/>
      <c r="O24" s="28">
        <f>ROUND((Input!$AC$19*Input!$C$19),2)+ROUND(((D24-Input!$AC$19)*Input!$D$19),2)+ROUND((D24*Input!$N$19),2)+ROUND((D24*Input!$O$19),2)+ROUND((D24*Input!$J$19),2)</f>
        <v>186.75</v>
      </c>
      <c r="P24" s="28">
        <f>ROUND((Input!$AJ$19*Input!$Q$19),2)+ROUND(((D24-Input!$AJ$19)*Input!$R$19),2)+ROUND((D24*Input!$Z$19),2)+ROUND((D24*Input!$AA$19),2)</f>
        <v>234.11</v>
      </c>
      <c r="Q24" s="28">
        <f t="shared" si="4"/>
        <v>47.360000000000014</v>
      </c>
      <c r="R24" s="29">
        <f t="shared" si="5"/>
        <v>0.254</v>
      </c>
      <c r="S24" s="28">
        <f t="shared" si="6"/>
        <v>255.75</v>
      </c>
      <c r="T24" s="28">
        <f t="shared" si="7"/>
        <v>321.26</v>
      </c>
      <c r="U24" s="29">
        <f t="shared" si="8"/>
        <v>0.25600000000000001</v>
      </c>
      <c r="V24" s="31"/>
      <c r="W24" s="47">
        <f t="shared" si="9"/>
        <v>255.75</v>
      </c>
      <c r="X24" s="47">
        <f t="shared" si="9"/>
        <v>321.26</v>
      </c>
      <c r="Y24" s="47">
        <f t="shared" si="10"/>
        <v>65.509999999999991</v>
      </c>
      <c r="Z24" s="29">
        <f t="shared" si="11"/>
        <v>0.25614858260019546</v>
      </c>
      <c r="AA24" s="47">
        <v>0</v>
      </c>
      <c r="AB24" s="47">
        <f t="shared" si="12"/>
        <v>255.75</v>
      </c>
      <c r="AC24" s="47">
        <f t="shared" si="13"/>
        <v>321.26</v>
      </c>
      <c r="AD24" s="29">
        <f t="shared" si="14"/>
        <v>0.25614858260019546</v>
      </c>
    </row>
    <row r="25" spans="1:30" x14ac:dyDescent="0.3">
      <c r="A25" s="69">
        <v>5</v>
      </c>
      <c r="B25" s="69" t="s">
        <v>86</v>
      </c>
      <c r="D25" s="76">
        <v>100</v>
      </c>
      <c r="E25" s="28">
        <f>Input!$H$19+Input!$K$19</f>
        <v>69</v>
      </c>
      <c r="F25" s="28">
        <f>Input!$V$19</f>
        <v>87.149999999999991</v>
      </c>
      <c r="G25" s="58">
        <f t="shared" si="0"/>
        <v>18.149999999999991</v>
      </c>
      <c r="H25" s="29">
        <f t="shared" si="1"/>
        <v>0.26300000000000001</v>
      </c>
      <c r="I25" s="29"/>
      <c r="J25" s="28">
        <f>Input!$I$19</f>
        <v>0</v>
      </c>
      <c r="K25" s="28">
        <f>Input!$W$19</f>
        <v>0</v>
      </c>
      <c r="L25" s="28">
        <f t="shared" si="2"/>
        <v>0</v>
      </c>
      <c r="M25" s="29">
        <f t="shared" si="3"/>
        <v>0</v>
      </c>
      <c r="N25" s="30"/>
      <c r="O25" s="28">
        <f>ROUND((Input!$AC$19*Input!$C$19),2)+ROUND(((D25-Input!$AC$19)*Input!$D$19),2)+ROUND((D25*Input!$N$19),2)+ROUND((D25*Input!$O$19),2)+ROUND((D25*Input!$J$19),2)</f>
        <v>252.02999999999997</v>
      </c>
      <c r="P25" s="28">
        <f>ROUND((Input!$AJ$19*Input!$Q$19),2)+ROUND(((D25-Input!$AJ$19)*Input!$R$19),2)+ROUND((D25*Input!$Z$19),2)+ROUND((D25*Input!$AA$19),2)</f>
        <v>317.02000000000004</v>
      </c>
      <c r="Q25" s="28">
        <f t="shared" si="4"/>
        <v>64.990000000000066</v>
      </c>
      <c r="R25" s="29">
        <f t="shared" si="5"/>
        <v>0.25800000000000001</v>
      </c>
      <c r="S25" s="28">
        <f t="shared" si="6"/>
        <v>321.02999999999997</v>
      </c>
      <c r="T25" s="28">
        <f t="shared" si="7"/>
        <v>404.17</v>
      </c>
      <c r="U25" s="29">
        <f t="shared" si="8"/>
        <v>0.25900000000000001</v>
      </c>
      <c r="V25" s="31"/>
      <c r="W25" s="47">
        <f t="shared" si="9"/>
        <v>321.02999999999997</v>
      </c>
      <c r="X25" s="47">
        <f t="shared" si="9"/>
        <v>404.17</v>
      </c>
      <c r="Y25" s="47">
        <f t="shared" si="10"/>
        <v>83.140000000000043</v>
      </c>
      <c r="Z25" s="29">
        <f t="shared" si="11"/>
        <v>0.25897891162819692</v>
      </c>
      <c r="AA25" s="47">
        <v>0</v>
      </c>
      <c r="AB25" s="47">
        <f t="shared" si="12"/>
        <v>321.02999999999997</v>
      </c>
      <c r="AC25" s="47">
        <f t="shared" si="13"/>
        <v>404.17</v>
      </c>
      <c r="AD25" s="29">
        <f t="shared" si="14"/>
        <v>0.25897891162819692</v>
      </c>
    </row>
    <row r="26" spans="1:30" x14ac:dyDescent="0.3">
      <c r="A26" s="69">
        <v>6</v>
      </c>
      <c r="B26" s="69" t="s">
        <v>87</v>
      </c>
      <c r="D26" s="76">
        <v>150</v>
      </c>
      <c r="E26" s="28">
        <f>Input!$H$19+Input!$K$19</f>
        <v>69</v>
      </c>
      <c r="F26" s="28">
        <f>Input!$V$19</f>
        <v>87.149999999999991</v>
      </c>
      <c r="G26" s="58">
        <f t="shared" si="0"/>
        <v>18.149999999999991</v>
      </c>
      <c r="H26" s="29">
        <f t="shared" si="1"/>
        <v>0.26300000000000001</v>
      </c>
      <c r="I26" s="29"/>
      <c r="J26" s="28">
        <f>Input!$I$19</f>
        <v>0</v>
      </c>
      <c r="K26" s="28">
        <f>Input!$W$19</f>
        <v>0</v>
      </c>
      <c r="L26" s="28">
        <f t="shared" si="2"/>
        <v>0</v>
      </c>
      <c r="M26" s="29">
        <f t="shared" si="3"/>
        <v>0</v>
      </c>
      <c r="N26" s="30"/>
      <c r="O26" s="28">
        <f>ROUND((Input!$AC$19*Input!$C$19),2)+ROUND(((D26-Input!$AC$19)*Input!$D$19),2)+ROUND((D26*Input!$N$19),2)+ROUND((D26*Input!$O$19),2)+ROUND((D26*Input!$J$19),2)</f>
        <v>360.82000000000005</v>
      </c>
      <c r="P26" s="28">
        <f>ROUND((Input!$AJ$19*Input!$Q$19),2)+ROUND(((D26-Input!$AJ$19)*Input!$R$19),2)+ROUND((D26*Input!$Z$19),2)+ROUND((D26*Input!$AA$19),2)</f>
        <v>455.21000000000004</v>
      </c>
      <c r="Q26" s="28">
        <f t="shared" si="4"/>
        <v>94.389999999999986</v>
      </c>
      <c r="R26" s="29">
        <f t="shared" si="5"/>
        <v>0.26200000000000001</v>
      </c>
      <c r="S26" s="28">
        <f t="shared" si="6"/>
        <v>429.82000000000005</v>
      </c>
      <c r="T26" s="28">
        <f t="shared" si="7"/>
        <v>542.36</v>
      </c>
      <c r="U26" s="29">
        <f t="shared" si="8"/>
        <v>0.26200000000000001</v>
      </c>
      <c r="V26" s="31"/>
      <c r="W26" s="47">
        <f t="shared" si="9"/>
        <v>429.82000000000005</v>
      </c>
      <c r="X26" s="47">
        <f t="shared" si="9"/>
        <v>542.36</v>
      </c>
      <c r="Y26" s="47">
        <f t="shared" si="10"/>
        <v>112.53999999999996</v>
      </c>
      <c r="Z26" s="29">
        <f t="shared" si="11"/>
        <v>0.26183053371178622</v>
      </c>
      <c r="AA26" s="47">
        <v>0</v>
      </c>
      <c r="AB26" s="47">
        <f t="shared" si="12"/>
        <v>429.82000000000005</v>
      </c>
      <c r="AC26" s="47">
        <f t="shared" si="13"/>
        <v>542.36</v>
      </c>
      <c r="AD26" s="29">
        <f t="shared" si="14"/>
        <v>0.26183053371178622</v>
      </c>
    </row>
    <row r="27" spans="1:30" x14ac:dyDescent="0.3">
      <c r="A27" s="69">
        <v>7</v>
      </c>
      <c r="B27" s="69" t="s">
        <v>88</v>
      </c>
      <c r="D27" s="76">
        <v>200</v>
      </c>
      <c r="E27" s="28">
        <f>Input!$H$19+Input!$K$19</f>
        <v>69</v>
      </c>
      <c r="F27" s="28">
        <f>Input!$V$19</f>
        <v>87.149999999999991</v>
      </c>
      <c r="G27" s="58">
        <f t="shared" si="0"/>
        <v>18.149999999999991</v>
      </c>
      <c r="H27" s="29">
        <f t="shared" si="1"/>
        <v>0.26300000000000001</v>
      </c>
      <c r="I27" s="29"/>
      <c r="J27" s="28">
        <f>Input!$I$19</f>
        <v>0</v>
      </c>
      <c r="K27" s="28">
        <f>Input!$W$19</f>
        <v>0</v>
      </c>
      <c r="L27" s="28">
        <f t="shared" si="2"/>
        <v>0</v>
      </c>
      <c r="M27" s="29">
        <f t="shared" si="3"/>
        <v>0</v>
      </c>
      <c r="N27" s="30"/>
      <c r="O27" s="28">
        <f>ROUND((Input!$AC$19*Input!$C$19),2)+ROUND(((D27-Input!$AC$19)*Input!$D$19),2)+ROUND((D27*Input!$N$19),2)+ROUND((D27*Input!$O$19),2)+ROUND((D27*Input!$J$19),2)</f>
        <v>469.62</v>
      </c>
      <c r="P27" s="28">
        <f>ROUND((Input!$AJ$19*Input!$Q$19),2)+ROUND(((D27-Input!$AJ$19)*Input!$R$19),2)+ROUND((D27*Input!$Z$19),2)+ROUND((D27*Input!$AA$19),2)</f>
        <v>593.4</v>
      </c>
      <c r="Q27" s="28">
        <f t="shared" si="4"/>
        <v>123.77999999999997</v>
      </c>
      <c r="R27" s="29">
        <f t="shared" si="5"/>
        <v>0.26400000000000001</v>
      </c>
      <c r="S27" s="28">
        <f t="shared" si="6"/>
        <v>538.62</v>
      </c>
      <c r="T27" s="28">
        <f t="shared" si="7"/>
        <v>680.55</v>
      </c>
      <c r="U27" s="29">
        <f t="shared" si="8"/>
        <v>0.26400000000000001</v>
      </c>
      <c r="V27" s="31"/>
      <c r="W27" s="47">
        <f t="shared" si="9"/>
        <v>538.62</v>
      </c>
      <c r="X27" s="47">
        <f t="shared" si="9"/>
        <v>680.55</v>
      </c>
      <c r="Y27" s="47">
        <f t="shared" si="10"/>
        <v>141.92999999999995</v>
      </c>
      <c r="Z27" s="29">
        <f t="shared" si="11"/>
        <v>0.26350673944524888</v>
      </c>
      <c r="AA27" s="47">
        <v>0</v>
      </c>
      <c r="AB27" s="47">
        <f t="shared" si="12"/>
        <v>538.62</v>
      </c>
      <c r="AC27" s="47">
        <f t="shared" si="13"/>
        <v>680.55</v>
      </c>
      <c r="AD27" s="29">
        <f t="shared" si="14"/>
        <v>0.26350673944524888</v>
      </c>
    </row>
    <row r="28" spans="1:30" x14ac:dyDescent="0.3">
      <c r="A28" s="69">
        <v>8</v>
      </c>
      <c r="B28" s="69"/>
      <c r="D28" s="76">
        <v>250</v>
      </c>
      <c r="E28" s="28">
        <f>Input!$H$19+Input!$K$19</f>
        <v>69</v>
      </c>
      <c r="F28" s="28">
        <f>Input!$V$19</f>
        <v>87.149999999999991</v>
      </c>
      <c r="G28" s="58">
        <f t="shared" si="0"/>
        <v>18.149999999999991</v>
      </c>
      <c r="H28" s="29">
        <f t="shared" si="1"/>
        <v>0.26300000000000001</v>
      </c>
      <c r="I28" s="29"/>
      <c r="J28" s="28">
        <f>Input!$I$19</f>
        <v>0</v>
      </c>
      <c r="K28" s="28">
        <f>Input!$W$19</f>
        <v>0</v>
      </c>
      <c r="L28" s="28">
        <f t="shared" si="2"/>
        <v>0</v>
      </c>
      <c r="M28" s="29">
        <f t="shared" si="3"/>
        <v>0</v>
      </c>
      <c r="N28" s="30"/>
      <c r="O28" s="28">
        <f>ROUND((Input!$AC$19*Input!$C$19),2)+ROUND(((D28-Input!$AC$19)*Input!$D$19),2)+ROUND((D28*Input!$N$19),2)+ROUND((D28*Input!$O$19),2)+ROUND((D28*Input!$J$19),2)</f>
        <v>578.41</v>
      </c>
      <c r="P28" s="28">
        <f>ROUND((Input!$AJ$19*Input!$Q$19),2)+ROUND(((D28-Input!$AJ$19)*Input!$R$19),2)+ROUND((D28*Input!$Z$19),2)+ROUND((D28*Input!$AA$19),2)</f>
        <v>731.59</v>
      </c>
      <c r="Q28" s="28">
        <f t="shared" si="4"/>
        <v>153.18000000000006</v>
      </c>
      <c r="R28" s="29">
        <f t="shared" si="5"/>
        <v>0.26500000000000001</v>
      </c>
      <c r="S28" s="28">
        <f t="shared" si="6"/>
        <v>647.41</v>
      </c>
      <c r="T28" s="28">
        <f t="shared" si="7"/>
        <v>818.74</v>
      </c>
      <c r="U28" s="29">
        <f t="shared" si="8"/>
        <v>0.26500000000000001</v>
      </c>
      <c r="V28" s="31"/>
      <c r="W28" s="47">
        <f t="shared" si="9"/>
        <v>647.41</v>
      </c>
      <c r="X28" s="47">
        <f t="shared" si="9"/>
        <v>818.74</v>
      </c>
      <c r="Y28" s="47">
        <f t="shared" si="10"/>
        <v>171.33000000000004</v>
      </c>
      <c r="Z28" s="29">
        <f t="shared" si="11"/>
        <v>0.26463910041550187</v>
      </c>
      <c r="AA28" s="47">
        <v>0</v>
      </c>
      <c r="AB28" s="47">
        <f t="shared" si="12"/>
        <v>647.41</v>
      </c>
      <c r="AC28" s="47">
        <f t="shared" si="13"/>
        <v>818.74</v>
      </c>
      <c r="AD28" s="29">
        <f t="shared" si="14"/>
        <v>0.26463910041550187</v>
      </c>
    </row>
    <row r="29" spans="1:30" x14ac:dyDescent="0.3">
      <c r="A29" s="69">
        <v>9</v>
      </c>
      <c r="B29" s="69"/>
      <c r="D29" s="76">
        <v>300</v>
      </c>
      <c r="E29" s="28">
        <f>Input!$H$19+Input!$K$19</f>
        <v>69</v>
      </c>
      <c r="F29" s="28">
        <f>Input!$V$19</f>
        <v>87.149999999999991</v>
      </c>
      <c r="G29" s="58">
        <f t="shared" si="0"/>
        <v>18.149999999999991</v>
      </c>
      <c r="H29" s="29">
        <f t="shared" si="1"/>
        <v>0.26300000000000001</v>
      </c>
      <c r="I29" s="29"/>
      <c r="J29" s="28">
        <f>Input!$I$19</f>
        <v>0</v>
      </c>
      <c r="K29" s="28">
        <f>Input!$W$19</f>
        <v>0</v>
      </c>
      <c r="L29" s="28">
        <f t="shared" si="2"/>
        <v>0</v>
      </c>
      <c r="M29" s="29">
        <f t="shared" si="3"/>
        <v>0</v>
      </c>
      <c r="N29" s="30"/>
      <c r="O29" s="28">
        <f>ROUND((Input!$AC$19*Input!$C$19),2)+ROUND(((D29-Input!$AC$19)*Input!$D$19),2)+ROUND((D29*Input!$N$19),2)+ROUND((D29*Input!$O$19),2)+ROUND((D29*Input!$J$19),2)</f>
        <v>687.21</v>
      </c>
      <c r="P29" s="28">
        <f>ROUND((Input!$AJ$19*Input!$Q$19),2)+ROUND(((D29-Input!$AJ$19)*Input!$R$19),2)+ROUND((D29*Input!$Z$19),2)+ROUND((D29*Input!$AA$19),2)</f>
        <v>869.78000000000009</v>
      </c>
      <c r="Q29" s="28">
        <f t="shared" si="4"/>
        <v>182.57000000000005</v>
      </c>
      <c r="R29" s="29">
        <f t="shared" si="5"/>
        <v>0.26600000000000001</v>
      </c>
      <c r="S29" s="28">
        <f t="shared" si="6"/>
        <v>756.21</v>
      </c>
      <c r="T29" s="28">
        <f t="shared" si="7"/>
        <v>956.93000000000006</v>
      </c>
      <c r="U29" s="29">
        <f t="shared" si="8"/>
        <v>0.26500000000000001</v>
      </c>
      <c r="V29" s="31"/>
      <c r="W29" s="47">
        <f t="shared" si="9"/>
        <v>756.21</v>
      </c>
      <c r="X29" s="47">
        <f t="shared" si="9"/>
        <v>956.93000000000006</v>
      </c>
      <c r="Y29" s="47">
        <f t="shared" si="10"/>
        <v>200.72000000000003</v>
      </c>
      <c r="Z29" s="29">
        <f t="shared" si="11"/>
        <v>0.26542891524840984</v>
      </c>
      <c r="AA29" s="47">
        <v>0</v>
      </c>
      <c r="AB29" s="47">
        <f t="shared" si="12"/>
        <v>756.21</v>
      </c>
      <c r="AC29" s="47">
        <f t="shared" si="13"/>
        <v>956.93000000000006</v>
      </c>
      <c r="AD29" s="29">
        <f t="shared" si="14"/>
        <v>0.26542891524840984</v>
      </c>
    </row>
    <row r="30" spans="1:30" x14ac:dyDescent="0.3">
      <c r="A30" s="69">
        <v>10</v>
      </c>
      <c r="D30" s="76">
        <v>350</v>
      </c>
      <c r="E30" s="28">
        <f>Input!$H$19+Input!$K$19</f>
        <v>69</v>
      </c>
      <c r="F30" s="28">
        <f>Input!$V$19</f>
        <v>87.149999999999991</v>
      </c>
      <c r="G30" s="58">
        <f t="shared" si="0"/>
        <v>18.149999999999991</v>
      </c>
      <c r="H30" s="29">
        <f t="shared" si="1"/>
        <v>0.26300000000000001</v>
      </c>
      <c r="I30" s="29"/>
      <c r="J30" s="28">
        <f>Input!$I$19</f>
        <v>0</v>
      </c>
      <c r="K30" s="28">
        <f>Input!$W$19</f>
        <v>0</v>
      </c>
      <c r="L30" s="28">
        <f t="shared" si="2"/>
        <v>0</v>
      </c>
      <c r="M30" s="29">
        <f t="shared" si="3"/>
        <v>0</v>
      </c>
      <c r="N30" s="30"/>
      <c r="O30" s="28">
        <f>ROUND((Input!$AC$19*Input!$C$19),2)+ROUND(((D30-Input!$AC$19)*Input!$D$19),2)+ROUND((D30*Input!$N$19),2)+ROUND((D30*Input!$O$19),2)+ROUND((D30*Input!$J$19),2)</f>
        <v>796</v>
      </c>
      <c r="P30" s="28">
        <f>ROUND((Input!$AJ$19*Input!$Q$19),2)+ROUND(((D30-Input!$AJ$19)*Input!$R$19),2)+ROUND((D30*Input!$Z$19),2)+ROUND((D30*Input!$AA$19),2)</f>
        <v>1007.97</v>
      </c>
      <c r="Q30" s="28">
        <f t="shared" si="4"/>
        <v>211.97000000000003</v>
      </c>
      <c r="R30" s="29">
        <f t="shared" si="5"/>
        <v>0.26600000000000001</v>
      </c>
      <c r="S30" s="28">
        <f t="shared" si="6"/>
        <v>865</v>
      </c>
      <c r="T30" s="28">
        <f t="shared" si="7"/>
        <v>1095.1200000000001</v>
      </c>
      <c r="U30" s="29">
        <f t="shared" si="8"/>
        <v>0.26600000000000001</v>
      </c>
      <c r="V30" s="31"/>
      <c r="W30" s="47">
        <f t="shared" si="9"/>
        <v>865</v>
      </c>
      <c r="X30" s="47">
        <f t="shared" si="9"/>
        <v>1095.1200000000001</v>
      </c>
      <c r="Y30" s="47">
        <f t="shared" si="10"/>
        <v>230.12000000000012</v>
      </c>
      <c r="Z30" s="29">
        <f t="shared" si="11"/>
        <v>0.26603468208092501</v>
      </c>
      <c r="AA30" s="47">
        <v>0</v>
      </c>
      <c r="AB30" s="47">
        <f t="shared" si="12"/>
        <v>865</v>
      </c>
      <c r="AC30" s="47">
        <f t="shared" si="13"/>
        <v>1095.1200000000001</v>
      </c>
      <c r="AD30" s="29">
        <f t="shared" si="14"/>
        <v>0.26603468208092501</v>
      </c>
    </row>
    <row r="31" spans="1:30" x14ac:dyDescent="0.3">
      <c r="A31" s="69">
        <v>11</v>
      </c>
      <c r="D31" s="76">
        <v>400</v>
      </c>
      <c r="E31" s="28">
        <f>Input!$H$19+Input!$K$19</f>
        <v>69</v>
      </c>
      <c r="F31" s="28">
        <f>Input!$V$19</f>
        <v>87.149999999999991</v>
      </c>
      <c r="G31" s="58">
        <f t="shared" si="0"/>
        <v>18.149999999999991</v>
      </c>
      <c r="H31" s="29">
        <f t="shared" si="1"/>
        <v>0.26300000000000001</v>
      </c>
      <c r="I31" s="29"/>
      <c r="J31" s="28">
        <f>Input!$I$19</f>
        <v>0</v>
      </c>
      <c r="K31" s="28">
        <f>Input!$W$19</f>
        <v>0</v>
      </c>
      <c r="L31" s="28">
        <f t="shared" si="2"/>
        <v>0</v>
      </c>
      <c r="M31" s="29">
        <f t="shared" si="3"/>
        <v>0</v>
      </c>
      <c r="N31" s="30"/>
      <c r="O31" s="28">
        <f>ROUND((Input!$AC$19*Input!$C$19),2)+ROUND(((D31-Input!$AC$19)*Input!$D$19),2)+ROUND((D31*Input!$N$19),2)+ROUND((D31*Input!$O$19),2)+ROUND((D31*Input!$J$19),2)</f>
        <v>904.8</v>
      </c>
      <c r="P31" s="28">
        <f>ROUND((Input!$AJ$19*Input!$Q$19),2)+ROUND(((D31-Input!$AJ$19)*Input!$R$19),2)+ROUND((D31*Input!$Z$19),2)+ROUND((D31*Input!$AA$19),2)</f>
        <v>1146.1600000000001</v>
      </c>
      <c r="Q31" s="28">
        <f t="shared" si="4"/>
        <v>241.36000000000013</v>
      </c>
      <c r="R31" s="29">
        <f t="shared" si="5"/>
        <v>0.26700000000000002</v>
      </c>
      <c r="S31" s="28">
        <f t="shared" si="6"/>
        <v>973.8</v>
      </c>
      <c r="T31" s="28">
        <f t="shared" si="7"/>
        <v>1233.3100000000002</v>
      </c>
      <c r="U31" s="29">
        <f t="shared" si="8"/>
        <v>0.26600000000000001</v>
      </c>
      <c r="V31" s="31"/>
      <c r="W31" s="47">
        <f t="shared" si="9"/>
        <v>973.8</v>
      </c>
      <c r="X31" s="47">
        <f t="shared" si="9"/>
        <v>1233.3100000000002</v>
      </c>
      <c r="Y31" s="47">
        <f t="shared" si="10"/>
        <v>259.51000000000022</v>
      </c>
      <c r="Z31" s="29">
        <f t="shared" si="11"/>
        <v>0.26649209283220399</v>
      </c>
      <c r="AA31" s="47">
        <v>0</v>
      </c>
      <c r="AB31" s="47">
        <f t="shared" si="12"/>
        <v>973.8</v>
      </c>
      <c r="AC31" s="47">
        <f t="shared" si="13"/>
        <v>1233.3100000000002</v>
      </c>
      <c r="AD31" s="29">
        <f t="shared" si="14"/>
        <v>0.26649209283220399</v>
      </c>
    </row>
    <row r="32" spans="1:30" x14ac:dyDescent="0.3">
      <c r="A32" s="69">
        <v>12</v>
      </c>
      <c r="D32" s="76">
        <v>450</v>
      </c>
      <c r="E32" s="28">
        <f>Input!$H$19+Input!$K$19</f>
        <v>69</v>
      </c>
      <c r="F32" s="28">
        <f>Input!$V$19</f>
        <v>87.149999999999991</v>
      </c>
      <c r="G32" s="58">
        <f t="shared" si="0"/>
        <v>18.149999999999991</v>
      </c>
      <c r="H32" s="29">
        <f t="shared" si="1"/>
        <v>0.26300000000000001</v>
      </c>
      <c r="I32" s="29"/>
      <c r="J32" s="28">
        <f>Input!$I$19</f>
        <v>0</v>
      </c>
      <c r="K32" s="28">
        <f>Input!$W$19</f>
        <v>0</v>
      </c>
      <c r="L32" s="28">
        <f t="shared" si="2"/>
        <v>0</v>
      </c>
      <c r="M32" s="29">
        <f t="shared" si="3"/>
        <v>0</v>
      </c>
      <c r="N32" s="31"/>
      <c r="O32" s="28">
        <f>ROUND((Input!$C$19*Input!$AC$19),2)+ROUND((Input!$D$19*Input!$AD$19),2)+ROUND((Input!$E$19*(D32-Input!$AC$19-Input!$AD$19)),2)+ROUND((D32*Input!$N$19),2)+ROUND((D32*Input!$O$19),2)+ROUND((D32*Input!$J$19),2)</f>
        <v>1007.84</v>
      </c>
      <c r="P32" s="28">
        <f>ROUND((Input!$Q$19*Input!$AJ$19),2)+ROUND((Input!$R$19*Input!$AK$19),2)+ROUND((Input!$S$19*(D32-Input!$AJ$19-Input!$AK$19)),2)+ROUND((D32*Input!$Z$19),2)+ROUND((D32*Input!$AA$19),2)</f>
        <v>1277.5600000000002</v>
      </c>
      <c r="Q32" s="28">
        <f t="shared" si="4"/>
        <v>269.72000000000014</v>
      </c>
      <c r="R32" s="29">
        <f t="shared" si="5"/>
        <v>0.26800000000000002</v>
      </c>
      <c r="S32" s="28">
        <f t="shared" si="6"/>
        <v>1076.8400000000001</v>
      </c>
      <c r="T32" s="28">
        <f t="shared" si="7"/>
        <v>1364.7100000000003</v>
      </c>
      <c r="U32" s="29">
        <f t="shared" si="8"/>
        <v>0.26700000000000002</v>
      </c>
      <c r="V32" s="31"/>
      <c r="W32" s="47">
        <f t="shared" si="9"/>
        <v>1076.8400000000001</v>
      </c>
      <c r="X32" s="47">
        <f t="shared" si="9"/>
        <v>1364.7100000000003</v>
      </c>
      <c r="Y32" s="47">
        <f t="shared" si="10"/>
        <v>287.87000000000012</v>
      </c>
      <c r="Z32" s="29">
        <f t="shared" si="11"/>
        <v>0.26732847962557121</v>
      </c>
      <c r="AA32" s="47">
        <v>0</v>
      </c>
      <c r="AB32" s="47">
        <f t="shared" si="12"/>
        <v>1076.8400000000001</v>
      </c>
      <c r="AC32" s="47">
        <f t="shared" si="13"/>
        <v>1364.7100000000003</v>
      </c>
      <c r="AD32" s="29">
        <f t="shared" si="14"/>
        <v>0.26732847962557121</v>
      </c>
    </row>
    <row r="33" spans="1:30" x14ac:dyDescent="0.3">
      <c r="A33" s="69">
        <v>13</v>
      </c>
      <c r="D33" s="76">
        <v>500</v>
      </c>
      <c r="E33" s="28">
        <f>Input!$H$19+Input!$K$19</f>
        <v>69</v>
      </c>
      <c r="F33" s="28">
        <f>Input!$V$19</f>
        <v>87.149999999999991</v>
      </c>
      <c r="G33" s="58">
        <f t="shared" si="0"/>
        <v>18.149999999999991</v>
      </c>
      <c r="H33" s="29">
        <f t="shared" si="1"/>
        <v>0.26300000000000001</v>
      </c>
      <c r="I33" s="29"/>
      <c r="J33" s="28">
        <f>Input!$I$19</f>
        <v>0</v>
      </c>
      <c r="K33" s="28">
        <f>Input!$W$19</f>
        <v>0</v>
      </c>
      <c r="L33" s="28">
        <f t="shared" si="2"/>
        <v>0</v>
      </c>
      <c r="M33" s="29">
        <f t="shared" si="3"/>
        <v>0</v>
      </c>
      <c r="N33" s="31"/>
      <c r="O33" s="28">
        <f>ROUND((Input!$C$19*Input!$AC$19),2)+ROUND((Input!$D$19*Input!$AD$19),2)+ROUND((Input!$E$19*(D33-Input!$AC$19-Input!$AD$19)),2)+ROUND((D33*Input!$N$19),2)+ROUND((D33*Input!$O$19),2)+ROUND((D33*Input!$J$19),2)</f>
        <v>1110.8700000000001</v>
      </c>
      <c r="P33" s="28">
        <f>ROUND((Input!$Q$19*Input!$AJ$19),2)+ROUND((Input!$R$19*Input!$AK$19),2)+ROUND((Input!$S$19*(D33-Input!$AJ$19-Input!$AK$19)),2)+ROUND((D33*Input!$Z$19),2)+ROUND((D33*Input!$AA$19),2)</f>
        <v>1408.95</v>
      </c>
      <c r="Q33" s="28">
        <f t="shared" si="4"/>
        <v>298.07999999999993</v>
      </c>
      <c r="R33" s="29">
        <f t="shared" si="5"/>
        <v>0.26800000000000002</v>
      </c>
      <c r="S33" s="28">
        <f t="shared" si="6"/>
        <v>1179.8700000000001</v>
      </c>
      <c r="T33" s="28">
        <f t="shared" si="7"/>
        <v>1496.1000000000001</v>
      </c>
      <c r="U33" s="29">
        <f t="shared" si="8"/>
        <v>0.26800000000000002</v>
      </c>
      <c r="V33" s="31"/>
      <c r="W33" s="47">
        <f t="shared" si="9"/>
        <v>1179.8700000000001</v>
      </c>
      <c r="X33" s="47">
        <f t="shared" si="9"/>
        <v>1496.1000000000001</v>
      </c>
      <c r="Y33" s="47">
        <f t="shared" si="10"/>
        <v>316.23</v>
      </c>
      <c r="Z33" s="29">
        <f t="shared" si="11"/>
        <v>0.2680210531668743</v>
      </c>
      <c r="AA33" s="47">
        <v>0</v>
      </c>
      <c r="AB33" s="47">
        <f t="shared" si="12"/>
        <v>1179.8700000000001</v>
      </c>
      <c r="AC33" s="47">
        <f t="shared" si="13"/>
        <v>1496.1000000000001</v>
      </c>
      <c r="AD33" s="29">
        <f t="shared" si="14"/>
        <v>0.2680210531668743</v>
      </c>
    </row>
    <row r="34" spans="1:30" x14ac:dyDescent="0.3">
      <c r="A34" s="69">
        <v>14</v>
      </c>
      <c r="D34" s="51">
        <v>700</v>
      </c>
      <c r="E34" s="28">
        <f>Input!$H$19+Input!$K$19</f>
        <v>69</v>
      </c>
      <c r="F34" s="28">
        <f>Input!$V$19</f>
        <v>87.149999999999991</v>
      </c>
      <c r="G34" s="58">
        <f t="shared" si="0"/>
        <v>18.149999999999991</v>
      </c>
      <c r="H34" s="29">
        <f t="shared" si="1"/>
        <v>0.26300000000000001</v>
      </c>
      <c r="I34" s="29"/>
      <c r="J34" s="28">
        <f>Input!$I$19</f>
        <v>0</v>
      </c>
      <c r="K34" s="28">
        <f>Input!$W$19</f>
        <v>0</v>
      </c>
      <c r="L34" s="28">
        <f t="shared" si="2"/>
        <v>0</v>
      </c>
      <c r="M34" s="29">
        <f t="shared" si="3"/>
        <v>0</v>
      </c>
      <c r="N34" s="31"/>
      <c r="O34" s="28">
        <f>ROUND((Input!$C$19*Input!$AC$19),2)+ROUND((Input!$D$19*Input!$AD$19),2)+ROUND((Input!$E$19*(D34-Input!$AC$19-Input!$AD$19)),2)+ROUND((D34*Input!$N$19),2)+ROUND((D34*Input!$O$19),2)+ROUND((D34*Input!$J$19),2)</f>
        <v>1523.01</v>
      </c>
      <c r="P34" s="28">
        <f>ROUND((Input!$Q$19*Input!$AJ$19),2)+ROUND((Input!$R$19*Input!$AK$19),2)+ROUND((Input!$S$19*(D34-Input!$AJ$19-Input!$AK$19)),2)+ROUND((D34*Input!$Z$19),2)+ROUND((D34*Input!$AA$19),2)</f>
        <v>1934.53</v>
      </c>
      <c r="Q34" s="28">
        <f t="shared" si="4"/>
        <v>411.52</v>
      </c>
      <c r="R34" s="29">
        <f t="shared" si="5"/>
        <v>0.27</v>
      </c>
      <c r="S34" s="28">
        <f t="shared" si="6"/>
        <v>1592.01</v>
      </c>
      <c r="T34" s="28">
        <f t="shared" si="7"/>
        <v>2021.68</v>
      </c>
      <c r="U34" s="29">
        <f t="shared" si="8"/>
        <v>0.27</v>
      </c>
      <c r="V34" s="31"/>
      <c r="W34" s="47">
        <f t="shared" si="9"/>
        <v>1592.01</v>
      </c>
      <c r="X34" s="47">
        <f t="shared" si="9"/>
        <v>2021.68</v>
      </c>
      <c r="Y34" s="47">
        <f t="shared" si="10"/>
        <v>429.67000000000007</v>
      </c>
      <c r="Z34" s="29">
        <f t="shared" si="11"/>
        <v>0.2698915207819047</v>
      </c>
      <c r="AA34" s="47">
        <v>0</v>
      </c>
      <c r="AB34" s="47">
        <f t="shared" si="12"/>
        <v>1592.01</v>
      </c>
      <c r="AC34" s="47">
        <f t="shared" si="13"/>
        <v>2021.68</v>
      </c>
      <c r="AD34" s="29">
        <f t="shared" si="14"/>
        <v>0.2698915207819047</v>
      </c>
    </row>
    <row r="35" spans="1:30" x14ac:dyDescent="0.3">
      <c r="A35" s="69">
        <v>15</v>
      </c>
      <c r="D35" s="51">
        <f>+D41</f>
        <v>798</v>
      </c>
      <c r="E35" s="28">
        <f>Input!$H$19+Input!$K$19</f>
        <v>69</v>
      </c>
      <c r="F35" s="28">
        <f>Input!$V$19</f>
        <v>87.149999999999991</v>
      </c>
      <c r="G35" s="58">
        <f>F35-E35</f>
        <v>18.149999999999991</v>
      </c>
      <c r="H35" s="29">
        <f t="shared" si="1"/>
        <v>0.26300000000000001</v>
      </c>
      <c r="I35" s="29"/>
      <c r="J35" s="28">
        <f>Input!$I$19</f>
        <v>0</v>
      </c>
      <c r="K35" s="28">
        <f>Input!$W$19</f>
        <v>0</v>
      </c>
      <c r="L35" s="28">
        <f t="shared" si="2"/>
        <v>0</v>
      </c>
      <c r="M35" s="29">
        <f t="shared" si="3"/>
        <v>0</v>
      </c>
      <c r="N35" s="31"/>
      <c r="O35" s="28">
        <f>ROUND((Input!$C$19*Input!$AC$19),2)+ROUND((Input!$D$19*Input!$AD$19),2)+ROUND((Input!$E$19*(D35-Input!$AC$19-Input!$AD$19)),2)+ROUND((D35*Input!$N$19),2)+ROUND((D35*Input!$O$19),2)+ROUND((D35*Input!$J$19),2)</f>
        <v>1724.96</v>
      </c>
      <c r="P35" s="28">
        <f>ROUND((Input!$Q$19*Input!$AJ$19),2)+ROUND((Input!$R$19*Input!$AK$19),2)+ROUND((Input!$S$19*(D35-Input!$AJ$19-Input!$AK$19)),2)+ROUND((D35*Input!$Z$19),2)+ROUND((D35*Input!$AA$19),2)</f>
        <v>2192.06</v>
      </c>
      <c r="Q35" s="28">
        <f>P35-O35</f>
        <v>467.09999999999991</v>
      </c>
      <c r="R35" s="29">
        <f t="shared" si="5"/>
        <v>0.27100000000000002</v>
      </c>
      <c r="S35" s="28">
        <f t="shared" si="6"/>
        <v>1793.96</v>
      </c>
      <c r="T35" s="28">
        <f t="shared" si="7"/>
        <v>2279.21</v>
      </c>
      <c r="U35" s="29">
        <f t="shared" si="8"/>
        <v>0.27</v>
      </c>
      <c r="V35" s="31"/>
      <c r="W35" s="47">
        <f t="shared" si="9"/>
        <v>1793.96</v>
      </c>
      <c r="X35" s="47">
        <f t="shared" si="9"/>
        <v>2279.21</v>
      </c>
      <c r="Y35" s="47">
        <f t="shared" si="10"/>
        <v>485.25</v>
      </c>
      <c r="Z35" s="29">
        <f t="shared" si="11"/>
        <v>0.27049098084684164</v>
      </c>
      <c r="AA35" s="47">
        <v>0</v>
      </c>
      <c r="AB35" s="47">
        <f t="shared" si="12"/>
        <v>1793.96</v>
      </c>
      <c r="AC35" s="47">
        <f t="shared" si="13"/>
        <v>2279.21</v>
      </c>
      <c r="AD35" s="29">
        <f t="shared" si="14"/>
        <v>0.27049098084684164</v>
      </c>
    </row>
    <row r="36" spans="1:30" x14ac:dyDescent="0.3">
      <c r="A36" s="69">
        <v>16</v>
      </c>
      <c r="D36" s="51">
        <v>1000</v>
      </c>
      <c r="E36" s="28">
        <f>Input!$H$19+Input!$K$19</f>
        <v>69</v>
      </c>
      <c r="F36" s="28">
        <f>Input!$V$19</f>
        <v>87.149999999999991</v>
      </c>
      <c r="G36" s="58">
        <f>F36-E36</f>
        <v>18.149999999999991</v>
      </c>
      <c r="H36" s="29">
        <f t="shared" si="1"/>
        <v>0.26300000000000001</v>
      </c>
      <c r="I36" s="29"/>
      <c r="J36" s="28">
        <f>Input!$I$19</f>
        <v>0</v>
      </c>
      <c r="K36" s="28">
        <f>Input!$W$19</f>
        <v>0</v>
      </c>
      <c r="L36" s="28">
        <f t="shared" si="2"/>
        <v>0</v>
      </c>
      <c r="M36" s="29">
        <f t="shared" si="3"/>
        <v>0</v>
      </c>
      <c r="N36" s="31"/>
      <c r="O36" s="28">
        <f>ROUND((Input!$C$19*Input!$AC$19),2)+ROUND((Input!$D$19*Input!$AD$19),2)+ROUND((Input!$E$19*Input!$AE$19),2)+ROUND((Input!$F$19*(D36-Input!$AC$19-Input!$AD$19-Input!$AE$19)),2)+ROUND((D36*Input!$N$19),2)+ROUND((D36*Input!$O$19),2)+ROUND((D36*Input!$J$19),2)</f>
        <v>2141.2199999999998</v>
      </c>
      <c r="P36" s="28">
        <f>ROUND((Input!$Q$19*Input!$AJ$19),2)+ROUND((Input!$R$19*Input!$AK$19),2)+ROUND((Input!$S$19*Input!$AL$19),2)+ROUND((Input!$T$19*(D36-Input!$AJ$19-Input!$AK$19-Input!$AL$19)),2)+ROUND((D36*Input!$Z$19),2)+ROUND((D36*Input!$AA$19),2)</f>
        <v>2722.9</v>
      </c>
      <c r="Q36" s="28">
        <f>P36-O36</f>
        <v>581.68000000000029</v>
      </c>
      <c r="R36" s="29">
        <f t="shared" si="5"/>
        <v>0.27200000000000002</v>
      </c>
      <c r="S36" s="28">
        <f t="shared" si="6"/>
        <v>2210.2199999999998</v>
      </c>
      <c r="T36" s="28">
        <f t="shared" si="7"/>
        <v>2810.05</v>
      </c>
      <c r="U36" s="29">
        <f t="shared" si="8"/>
        <v>0.27100000000000002</v>
      </c>
      <c r="V36" s="31"/>
      <c r="W36" s="47">
        <f t="shared" si="9"/>
        <v>2210.2199999999998</v>
      </c>
      <c r="X36" s="47">
        <f t="shared" si="9"/>
        <v>2810.05</v>
      </c>
      <c r="Y36" s="47">
        <f t="shared" si="10"/>
        <v>599.83000000000038</v>
      </c>
      <c r="Z36" s="29">
        <f t="shared" si="11"/>
        <v>0.27138927346599001</v>
      </c>
      <c r="AA36" s="47">
        <v>0</v>
      </c>
      <c r="AB36" s="47">
        <f t="shared" si="12"/>
        <v>2210.2199999999998</v>
      </c>
      <c r="AC36" s="47">
        <f t="shared" si="13"/>
        <v>2810.05</v>
      </c>
      <c r="AD36" s="29">
        <f t="shared" si="14"/>
        <v>0.27138927346599001</v>
      </c>
    </row>
    <row r="37" spans="1:30" x14ac:dyDescent="0.3">
      <c r="A37" s="69">
        <v>17</v>
      </c>
      <c r="D37" s="51">
        <v>1200</v>
      </c>
      <c r="E37" s="28">
        <f>Input!$H$19+Input!$K$19</f>
        <v>69</v>
      </c>
      <c r="F37" s="28">
        <f>Input!$V$19</f>
        <v>87.149999999999991</v>
      </c>
      <c r="G37" s="58">
        <f t="shared" si="0"/>
        <v>18.149999999999991</v>
      </c>
      <c r="H37" s="29">
        <f t="shared" si="1"/>
        <v>0.26300000000000001</v>
      </c>
      <c r="I37" s="29"/>
      <c r="J37" s="28">
        <f>Input!$I$19</f>
        <v>0</v>
      </c>
      <c r="K37" s="28">
        <f>Input!$W$19</f>
        <v>0</v>
      </c>
      <c r="L37" s="28">
        <f t="shared" si="2"/>
        <v>0</v>
      </c>
      <c r="M37" s="29">
        <f t="shared" si="3"/>
        <v>0</v>
      </c>
      <c r="N37" s="31"/>
      <c r="O37" s="28">
        <f>ROUND((Input!$C$19*Input!$AC$19),2)+ROUND((Input!$D$19*Input!$AD$19),2)+ROUND((Input!$E$19*Input!$AE$19),2)+ROUND((Input!$F$19*(D37-Input!$AC$19-Input!$AD$19-Input!$AE$19)),2)+ROUND((D37*Input!$N$19),2)+ROUND((D37*Input!$O$19),2)+ROUND((D37*Input!$J$19),2)</f>
        <v>2513.36</v>
      </c>
      <c r="P37" s="28">
        <f>ROUND((Input!$Q$19*Input!$AJ$19),2)+ROUND((Input!$R$19*Input!$AK$19),2)+ROUND((Input!$S$19*Input!$AL$19),2)+ROUND((Input!$T$19*(D37-Input!$AJ$19-Input!$AK$19-Input!$AL$19)),2)+ROUND((D37*Input!$Z$19),2)+ROUND((D37*Input!$AA$19),2)</f>
        <v>3201.42</v>
      </c>
      <c r="Q37" s="28">
        <f t="shared" si="4"/>
        <v>688.06</v>
      </c>
      <c r="R37" s="29">
        <f t="shared" si="5"/>
        <v>0.27400000000000002</v>
      </c>
      <c r="S37" s="28">
        <f t="shared" si="6"/>
        <v>2582.36</v>
      </c>
      <c r="T37" s="28">
        <f t="shared" si="7"/>
        <v>3288.57</v>
      </c>
      <c r="U37" s="29">
        <f t="shared" si="8"/>
        <v>0.27300000000000002</v>
      </c>
      <c r="V37" s="31"/>
      <c r="W37" s="47">
        <f>E37+J37+O37</f>
        <v>2582.36</v>
      </c>
      <c r="X37" s="47">
        <f>F37+K37+P37</f>
        <v>3288.57</v>
      </c>
      <c r="Y37" s="47">
        <f>X37-W37</f>
        <v>706.21</v>
      </c>
      <c r="Z37" s="29">
        <f>(X37-W37)/W37</f>
        <v>0.27347465109434782</v>
      </c>
      <c r="AA37" s="47">
        <v>0</v>
      </c>
      <c r="AB37" s="47">
        <f>W37+AA37</f>
        <v>2582.36</v>
      </c>
      <c r="AC37" s="47">
        <f>X37+AA37</f>
        <v>3288.57</v>
      </c>
      <c r="AD37" s="29">
        <f>(AC37-AB37)/AB37</f>
        <v>0.27347465109434782</v>
      </c>
    </row>
    <row r="38" spans="1:30" x14ac:dyDescent="0.3">
      <c r="A38" s="69">
        <v>18</v>
      </c>
      <c r="D38" s="51">
        <f>D40</f>
        <v>2441</v>
      </c>
      <c r="E38" s="28">
        <f>Input!$H$19+Input!$K$19</f>
        <v>69</v>
      </c>
      <c r="F38" s="28">
        <f>Input!$V$19</f>
        <v>87.149999999999991</v>
      </c>
      <c r="G38" s="58">
        <f t="shared" si="0"/>
        <v>18.149999999999991</v>
      </c>
      <c r="H38" s="29">
        <f t="shared" si="1"/>
        <v>0.26300000000000001</v>
      </c>
      <c r="I38" s="29"/>
      <c r="J38" s="28">
        <f>Input!$I$19</f>
        <v>0</v>
      </c>
      <c r="K38" s="28">
        <f>Input!$W$19</f>
        <v>0</v>
      </c>
      <c r="L38" s="28">
        <f t="shared" si="2"/>
        <v>0</v>
      </c>
      <c r="M38" s="29">
        <f t="shared" si="3"/>
        <v>0</v>
      </c>
      <c r="N38" s="31"/>
      <c r="O38" s="28">
        <f>ROUND((Input!$C$19*Input!$AC$19),2)+ROUND((Input!$D$19*Input!$AD$19),2)+ROUND((Input!$E$19*Input!$AE$19),2)+ROUND((Input!$F$19*(D38-Input!$AC$19-Input!$AD$19-Input!$AE$19)),2)+ROUND((D38*Input!$N$19),2)+ROUND((D38*Input!$O$19),2)+ROUND((D38*Input!$J$19),2)</f>
        <v>4822.49</v>
      </c>
      <c r="P38" s="28">
        <f>ROUND((Input!$Q$19*Input!$AJ$19),2)+ROUND((Input!$R$19*Input!$AK$19),2)+ROUND((Input!$S$19*Input!$AL$19),2)+ROUND((Input!$T$19*(D38-Input!$AJ$19-Input!$AK$19-Input!$AL$19)),2)+ROUND((D38*Input!$Z$19),2)+ROUND((D38*Input!$AA$19),2)</f>
        <v>6170.6399999999994</v>
      </c>
      <c r="Q38" s="28">
        <f t="shared" si="4"/>
        <v>1348.1499999999996</v>
      </c>
      <c r="R38" s="29">
        <f t="shared" si="5"/>
        <v>0.28000000000000003</v>
      </c>
      <c r="S38" s="28">
        <f t="shared" si="6"/>
        <v>4891.49</v>
      </c>
      <c r="T38" s="28">
        <f t="shared" si="7"/>
        <v>6257.7899999999991</v>
      </c>
      <c r="U38" s="29">
        <f t="shared" si="8"/>
        <v>0.27900000000000003</v>
      </c>
      <c r="V38" s="31"/>
      <c r="W38" s="47">
        <f>E38+J38+O38</f>
        <v>4891.49</v>
      </c>
      <c r="X38" s="47">
        <f>F38+K38+P38</f>
        <v>6257.7899999999991</v>
      </c>
      <c r="Y38" s="47">
        <f>X38-W38</f>
        <v>1366.2999999999993</v>
      </c>
      <c r="Z38" s="29">
        <f>(X38-W38)/W38</f>
        <v>0.27932184262872856</v>
      </c>
      <c r="AA38" s="47">
        <v>0</v>
      </c>
      <c r="AB38" s="47">
        <f>W38+AA38</f>
        <v>4891.49</v>
      </c>
      <c r="AC38" s="47">
        <f>X38+AA38</f>
        <v>6257.7899999999991</v>
      </c>
      <c r="AD38" s="29">
        <f>(AC38-AB38)/AB38</f>
        <v>0.27932184262872856</v>
      </c>
    </row>
    <row r="39" spans="1:30" x14ac:dyDescent="0.3">
      <c r="A39" s="6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30" x14ac:dyDescent="0.3">
      <c r="A40" s="69"/>
      <c r="B40" s="8" t="s">
        <v>98</v>
      </c>
      <c r="D40" s="50">
        <f>ROUND(Input!AS19,0)</f>
        <v>2441</v>
      </c>
      <c r="E40" s="43" t="s">
        <v>99</v>
      </c>
    </row>
    <row r="41" spans="1:30" x14ac:dyDescent="0.3">
      <c r="A41" s="69"/>
      <c r="B41" s="8" t="s">
        <v>98</v>
      </c>
      <c r="D41" s="50">
        <f>ROUND(Input!AS20,)</f>
        <v>798</v>
      </c>
      <c r="E41" s="43" t="s">
        <v>100</v>
      </c>
    </row>
    <row r="42" spans="1:30" x14ac:dyDescent="0.3">
      <c r="A42" s="69"/>
    </row>
    <row r="43" spans="1:30" x14ac:dyDescent="0.3">
      <c r="A43" s="69"/>
      <c r="B43" s="8" t="str">
        <f>DS!B46</f>
        <v>Note:  Customers electing Standby Service pay an additional $11.9517/Mcf per contracted volumes per month.  Standby rate is as of March 1, 2021.</v>
      </c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2"/>
  <sheetViews>
    <sheetView zoomScaleNormal="100" workbookViewId="0">
      <selection activeCell="U37" sqref="U37"/>
    </sheetView>
  </sheetViews>
  <sheetFormatPr defaultColWidth="9.296875" defaultRowHeight="13" x14ac:dyDescent="0.3"/>
  <cols>
    <col min="1" max="1" width="4.3984375" style="8" customWidth="1"/>
    <col min="2" max="2" width="10.8984375" style="8" customWidth="1"/>
    <col min="3" max="3" width="11.69921875" style="8" bestFit="1" customWidth="1"/>
    <col min="4" max="4" width="11.8984375" style="8" bestFit="1" customWidth="1"/>
    <col min="5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8" width="12.09765625" style="8" bestFit="1" customWidth="1"/>
    <col min="19" max="19" width="13.09765625" style="69" bestFit="1" customWidth="1"/>
    <col min="20" max="20" width="13" style="69" bestFit="1" customWidth="1"/>
    <col min="21" max="21" width="12.09765625" style="69" customWidth="1"/>
    <col min="22" max="22" width="9.296875" style="8"/>
    <col min="23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132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27</v>
      </c>
      <c r="C21" s="69" t="s">
        <v>65</v>
      </c>
      <c r="D21" s="51">
        <v>50</v>
      </c>
      <c r="E21" s="28">
        <f>Input!$H$21</f>
        <v>255.9</v>
      </c>
      <c r="F21" s="28">
        <f>Input!$V$21</f>
        <v>282.2</v>
      </c>
      <c r="G21" s="28">
        <f>F21-E21</f>
        <v>26.299999999999983</v>
      </c>
      <c r="H21" s="29">
        <f>ROUND(G21/E21,3)</f>
        <v>0.10299999999999999</v>
      </c>
      <c r="I21" s="29"/>
      <c r="J21" s="28">
        <f>Input!$I$21</f>
        <v>0</v>
      </c>
      <c r="K21" s="28">
        <f>Input!$W$21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ROUND((D21*Input!$C$21),2)+ROUND((D21*Input!$N$21),2)+ROUND((D21*Input!$O$21),2)</f>
        <v>5.01</v>
      </c>
      <c r="P21" s="28">
        <f>ROUND((D21*Input!$Q$21),2)+ROUND((D21*Input!$Z$21),2)+ROUND((D21*Input!$AA$21),2)</f>
        <v>5.45</v>
      </c>
      <c r="Q21" s="28">
        <f>P21-O21</f>
        <v>0.44000000000000039</v>
      </c>
      <c r="R21" s="29">
        <f>ROUND(Q21/O21,3)</f>
        <v>8.7999999999999995E-2</v>
      </c>
      <c r="S21" s="28">
        <f>E21+J21+O21</f>
        <v>260.91000000000003</v>
      </c>
      <c r="T21" s="28">
        <f>F21+K21+P21</f>
        <v>287.64999999999998</v>
      </c>
      <c r="U21" s="29">
        <f>ROUND((T21-S21)/S21,3)</f>
        <v>0.10199999999999999</v>
      </c>
      <c r="W21" s="47">
        <f t="shared" ref="W21:W37" si="0">E21+J21+O21</f>
        <v>260.91000000000003</v>
      </c>
      <c r="X21" s="47">
        <f t="shared" ref="X21:X37" si="1">F21+K21+P21</f>
        <v>287.64999999999998</v>
      </c>
      <c r="Y21" s="47">
        <f>X21-W21</f>
        <v>26.739999999999952</v>
      </c>
      <c r="Z21" s="29">
        <f>(X21-W21)/W21</f>
        <v>0.1024874477789274</v>
      </c>
      <c r="AA21" s="47">
        <v>0</v>
      </c>
      <c r="AB21" s="47">
        <f>W21+AA21</f>
        <v>260.91000000000003</v>
      </c>
      <c r="AC21" s="47">
        <f>X21+AA21</f>
        <v>287.64999999999998</v>
      </c>
      <c r="AD21" s="29">
        <f>(AC21-AB21)/AB21</f>
        <v>0.1024874477789274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100</v>
      </c>
      <c r="E22" s="28">
        <f>Input!$H$21</f>
        <v>255.9</v>
      </c>
      <c r="F22" s="28">
        <f>Input!$V$21</f>
        <v>282.2</v>
      </c>
      <c r="G22" s="28">
        <f t="shared" ref="G22:G37" si="2">F22-E22</f>
        <v>26.299999999999983</v>
      </c>
      <c r="H22" s="29">
        <f t="shared" ref="H22:H37" si="3">ROUND(G22/E22,3)</f>
        <v>0.10299999999999999</v>
      </c>
      <c r="I22" s="29"/>
      <c r="J22" s="28">
        <f>Input!$I$21</f>
        <v>0</v>
      </c>
      <c r="K22" s="28">
        <f>Input!$W$21</f>
        <v>0</v>
      </c>
      <c r="L22" s="28">
        <f t="shared" ref="L22:L37" si="4">K22-J22</f>
        <v>0</v>
      </c>
      <c r="M22" s="29">
        <f t="shared" ref="M22:M37" si="5">IF(J22=0,0,ROUND(L22/J22,3))</f>
        <v>0</v>
      </c>
      <c r="N22" s="30"/>
      <c r="O22" s="28">
        <f>ROUND((D22*Input!$C$21),2)+ROUND((D22*Input!$N$21),2)+ROUND((D22*Input!$O$21),2)</f>
        <v>10.02</v>
      </c>
      <c r="P22" s="28">
        <f>ROUND((D22*Input!$Q$21),2)+ROUND((D22*Input!$Z$21),2)+ROUND((D22*Input!$AA$21),2)</f>
        <v>10.9</v>
      </c>
      <c r="Q22" s="28">
        <f t="shared" ref="Q22:Q37" si="6">P22-O22</f>
        <v>0.88000000000000078</v>
      </c>
      <c r="R22" s="29">
        <f t="shared" ref="R22:R37" si="7">ROUND(Q22/O22,3)</f>
        <v>8.7999999999999995E-2</v>
      </c>
      <c r="S22" s="28">
        <f t="shared" ref="S22:S37" si="8">E22+J22+O22</f>
        <v>265.92</v>
      </c>
      <c r="T22" s="28">
        <f t="shared" ref="T22:T37" si="9">F22+K22+P22</f>
        <v>293.09999999999997</v>
      </c>
      <c r="U22" s="29">
        <f t="shared" ref="U22:U37" si="10">ROUND((T22-S22)/S22,3)</f>
        <v>0.10199999999999999</v>
      </c>
      <c r="W22" s="47">
        <f t="shared" si="0"/>
        <v>265.92</v>
      </c>
      <c r="X22" s="47">
        <f t="shared" si="1"/>
        <v>293.09999999999997</v>
      </c>
      <c r="Y22" s="47">
        <f t="shared" ref="Y22:Y37" si="11">X22-W22</f>
        <v>27.17999999999995</v>
      </c>
      <c r="Z22" s="29">
        <f t="shared" ref="Z22:Z37" si="12">(X22-W22)/W22</f>
        <v>0.10221119133573987</v>
      </c>
      <c r="AA22" s="47">
        <v>0</v>
      </c>
      <c r="AB22" s="47">
        <f t="shared" ref="AB22:AB37" si="13">W22+AA22</f>
        <v>265.92</v>
      </c>
      <c r="AC22" s="47">
        <f t="shared" ref="AC22:AC37" si="14">X22+AA22</f>
        <v>293.09999999999997</v>
      </c>
      <c r="AD22" s="29">
        <f t="shared" ref="AD22:AD37" si="15">(AC22-AB22)/AB22</f>
        <v>0.10221119133573987</v>
      </c>
    </row>
    <row r="23" spans="1:30" x14ac:dyDescent="0.3">
      <c r="A23" s="69">
        <v>3</v>
      </c>
      <c r="B23" s="69" t="s">
        <v>93</v>
      </c>
      <c r="D23" s="51">
        <v>300</v>
      </c>
      <c r="E23" s="28">
        <f>Input!$H$21</f>
        <v>255.9</v>
      </c>
      <c r="F23" s="28">
        <f>Input!$V$21</f>
        <v>282.2</v>
      </c>
      <c r="G23" s="28">
        <f t="shared" si="2"/>
        <v>26.299999999999983</v>
      </c>
      <c r="H23" s="29">
        <f t="shared" si="3"/>
        <v>0.10299999999999999</v>
      </c>
      <c r="I23" s="29"/>
      <c r="J23" s="28">
        <f>Input!$I$21</f>
        <v>0</v>
      </c>
      <c r="K23" s="28">
        <f>Input!$W$21</f>
        <v>0</v>
      </c>
      <c r="L23" s="28">
        <f t="shared" si="4"/>
        <v>0</v>
      </c>
      <c r="M23" s="29">
        <f t="shared" si="5"/>
        <v>0</v>
      </c>
      <c r="N23" s="30"/>
      <c r="O23" s="28">
        <f>ROUND((D23*Input!$C$21),2)+ROUND((D23*Input!$N$21),2)+ROUND((D23*Input!$O$21),2)</f>
        <v>30.06</v>
      </c>
      <c r="P23" s="28">
        <f>ROUND((D23*Input!$Q$21),2)+ROUND((D23*Input!$Z$21),2)+ROUND((D23*Input!$AA$21),2)</f>
        <v>32.700000000000003</v>
      </c>
      <c r="Q23" s="28">
        <f t="shared" si="6"/>
        <v>2.6400000000000041</v>
      </c>
      <c r="R23" s="29">
        <f t="shared" si="7"/>
        <v>8.7999999999999995E-2</v>
      </c>
      <c r="S23" s="28">
        <f t="shared" si="8"/>
        <v>285.95999999999998</v>
      </c>
      <c r="T23" s="28">
        <f t="shared" si="9"/>
        <v>314.89999999999998</v>
      </c>
      <c r="U23" s="29">
        <f t="shared" si="10"/>
        <v>0.10100000000000001</v>
      </c>
      <c r="W23" s="47">
        <f t="shared" si="0"/>
        <v>285.95999999999998</v>
      </c>
      <c r="X23" s="47">
        <f t="shared" si="1"/>
        <v>314.89999999999998</v>
      </c>
      <c r="Y23" s="47">
        <f t="shared" si="11"/>
        <v>28.939999999999998</v>
      </c>
      <c r="Z23" s="29">
        <f t="shared" si="12"/>
        <v>0.10120296544971324</v>
      </c>
      <c r="AA23" s="47">
        <v>0</v>
      </c>
      <c r="AB23" s="47">
        <f t="shared" si="13"/>
        <v>285.95999999999998</v>
      </c>
      <c r="AC23" s="47">
        <f t="shared" si="14"/>
        <v>314.89999999999998</v>
      </c>
      <c r="AD23" s="29">
        <f t="shared" si="15"/>
        <v>0.10120296544971324</v>
      </c>
    </row>
    <row r="24" spans="1:30" x14ac:dyDescent="0.3">
      <c r="A24" s="69">
        <v>4</v>
      </c>
      <c r="B24" s="69" t="s">
        <v>40</v>
      </c>
      <c r="D24" s="51">
        <v>500</v>
      </c>
      <c r="E24" s="28">
        <f>Input!$H$21</f>
        <v>255.9</v>
      </c>
      <c r="F24" s="28">
        <f>Input!$V$21</f>
        <v>282.2</v>
      </c>
      <c r="G24" s="28">
        <f t="shared" si="2"/>
        <v>26.299999999999983</v>
      </c>
      <c r="H24" s="29">
        <f t="shared" si="3"/>
        <v>0.10299999999999999</v>
      </c>
      <c r="I24" s="29"/>
      <c r="J24" s="28">
        <f>Input!$I$21</f>
        <v>0</v>
      </c>
      <c r="K24" s="28">
        <f>Input!$W$21</f>
        <v>0</v>
      </c>
      <c r="L24" s="28">
        <f t="shared" si="4"/>
        <v>0</v>
      </c>
      <c r="M24" s="29">
        <f t="shared" si="5"/>
        <v>0</v>
      </c>
      <c r="N24" s="30"/>
      <c r="O24" s="28">
        <f>ROUND((D24*Input!$C$21),2)+ROUND((D24*Input!$N$21),2)+ROUND((D24*Input!$O$21),2)</f>
        <v>50.1</v>
      </c>
      <c r="P24" s="28">
        <f>ROUND((D24*Input!$Q$21),2)+ROUND((D24*Input!$Z$21),2)+ROUND((D24*Input!$AA$21),2)</f>
        <v>54.5</v>
      </c>
      <c r="Q24" s="28">
        <f t="shared" si="6"/>
        <v>4.3999999999999986</v>
      </c>
      <c r="R24" s="29">
        <f t="shared" si="7"/>
        <v>8.7999999999999995E-2</v>
      </c>
      <c r="S24" s="28">
        <f t="shared" si="8"/>
        <v>306</v>
      </c>
      <c r="T24" s="28">
        <f t="shared" si="9"/>
        <v>336.7</v>
      </c>
      <c r="U24" s="29">
        <f t="shared" si="10"/>
        <v>0.1</v>
      </c>
      <c r="W24" s="47">
        <f t="shared" si="0"/>
        <v>306</v>
      </c>
      <c r="X24" s="47">
        <f t="shared" si="1"/>
        <v>336.7</v>
      </c>
      <c r="Y24" s="47">
        <f t="shared" si="11"/>
        <v>30.699999999999989</v>
      </c>
      <c r="Z24" s="29">
        <f t="shared" si="12"/>
        <v>0.10032679738562088</v>
      </c>
      <c r="AA24" s="47">
        <v>0</v>
      </c>
      <c r="AB24" s="47">
        <f t="shared" si="13"/>
        <v>306</v>
      </c>
      <c r="AC24" s="47">
        <f t="shared" si="14"/>
        <v>336.7</v>
      </c>
      <c r="AD24" s="29">
        <f t="shared" si="15"/>
        <v>0.10032679738562088</v>
      </c>
    </row>
    <row r="25" spans="1:30" x14ac:dyDescent="0.3">
      <c r="A25" s="69">
        <v>5</v>
      </c>
      <c r="B25" s="69" t="s">
        <v>90</v>
      </c>
      <c r="D25" s="51">
        <v>700</v>
      </c>
      <c r="E25" s="28">
        <f>Input!$H$21</f>
        <v>255.9</v>
      </c>
      <c r="F25" s="28">
        <f>Input!$V$21</f>
        <v>282.2</v>
      </c>
      <c r="G25" s="28">
        <f t="shared" si="2"/>
        <v>26.299999999999983</v>
      </c>
      <c r="H25" s="29">
        <f t="shared" si="3"/>
        <v>0.10299999999999999</v>
      </c>
      <c r="I25" s="29"/>
      <c r="J25" s="28">
        <f>Input!$I$21</f>
        <v>0</v>
      </c>
      <c r="K25" s="28">
        <f>Input!$W$21</f>
        <v>0</v>
      </c>
      <c r="L25" s="28">
        <f t="shared" si="4"/>
        <v>0</v>
      </c>
      <c r="M25" s="29">
        <f t="shared" si="5"/>
        <v>0</v>
      </c>
      <c r="N25" s="30"/>
      <c r="O25" s="28">
        <f>ROUND((D25*Input!$C$21),2)+ROUND((D25*Input!$N$21),2)+ROUND((D25*Input!$O$21),2)</f>
        <v>70.14</v>
      </c>
      <c r="P25" s="28">
        <f>ROUND((D25*Input!$Q$21),2)+ROUND((D25*Input!$Z$21),2)+ROUND((D25*Input!$AA$21),2)</f>
        <v>76.3</v>
      </c>
      <c r="Q25" s="28">
        <f t="shared" si="6"/>
        <v>6.1599999999999966</v>
      </c>
      <c r="R25" s="29">
        <f t="shared" si="7"/>
        <v>8.7999999999999995E-2</v>
      </c>
      <c r="S25" s="28">
        <f t="shared" si="8"/>
        <v>326.04000000000002</v>
      </c>
      <c r="T25" s="28">
        <f t="shared" si="9"/>
        <v>358.5</v>
      </c>
      <c r="U25" s="29">
        <f t="shared" si="10"/>
        <v>0.1</v>
      </c>
      <c r="W25" s="47">
        <f t="shared" si="0"/>
        <v>326.04000000000002</v>
      </c>
      <c r="X25" s="47">
        <f t="shared" si="1"/>
        <v>358.5</v>
      </c>
      <c r="Y25" s="47">
        <f t="shared" si="11"/>
        <v>32.45999999999998</v>
      </c>
      <c r="Z25" s="29">
        <f t="shared" si="12"/>
        <v>9.9558336400441594E-2</v>
      </c>
      <c r="AA25" s="47">
        <v>0</v>
      </c>
      <c r="AB25" s="47">
        <f t="shared" si="13"/>
        <v>326.04000000000002</v>
      </c>
      <c r="AC25" s="47">
        <f t="shared" si="14"/>
        <v>358.5</v>
      </c>
      <c r="AD25" s="29">
        <f t="shared" si="15"/>
        <v>9.9558336400441594E-2</v>
      </c>
    </row>
    <row r="26" spans="1:30" x14ac:dyDescent="0.3">
      <c r="A26" s="69">
        <v>6</v>
      </c>
      <c r="B26" s="69" t="s">
        <v>88</v>
      </c>
      <c r="D26" s="51">
        <v>1000</v>
      </c>
      <c r="E26" s="28">
        <f>Input!$H$21</f>
        <v>255.9</v>
      </c>
      <c r="F26" s="28">
        <f>Input!$V$21</f>
        <v>282.2</v>
      </c>
      <c r="G26" s="28">
        <f t="shared" si="2"/>
        <v>26.299999999999983</v>
      </c>
      <c r="H26" s="29">
        <f t="shared" si="3"/>
        <v>0.10299999999999999</v>
      </c>
      <c r="I26" s="29"/>
      <c r="J26" s="28">
        <f>Input!$I$21</f>
        <v>0</v>
      </c>
      <c r="K26" s="28">
        <f>Input!$W$21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ROUND((D26*Input!$C$21),2)+ROUND((D26*Input!$N$21),2)+ROUND((D26*Input!$O$21),2)</f>
        <v>100.2</v>
      </c>
      <c r="P26" s="28">
        <f>ROUND((D26*Input!$Q$21),2)+ROUND((D26*Input!$Z$21),2)+ROUND((D26*Input!$AA$21),2)</f>
        <v>109</v>
      </c>
      <c r="Q26" s="28">
        <f t="shared" si="6"/>
        <v>8.7999999999999972</v>
      </c>
      <c r="R26" s="29">
        <f t="shared" si="7"/>
        <v>8.7999999999999995E-2</v>
      </c>
      <c r="S26" s="28">
        <f t="shared" si="8"/>
        <v>356.1</v>
      </c>
      <c r="T26" s="28">
        <f t="shared" si="9"/>
        <v>391.2</v>
      </c>
      <c r="U26" s="29">
        <f t="shared" si="10"/>
        <v>9.9000000000000005E-2</v>
      </c>
      <c r="W26" s="47">
        <f t="shared" si="0"/>
        <v>356.1</v>
      </c>
      <c r="X26" s="47">
        <f t="shared" si="1"/>
        <v>391.2</v>
      </c>
      <c r="Y26" s="47">
        <f t="shared" si="11"/>
        <v>35.099999999999966</v>
      </c>
      <c r="Z26" s="29">
        <f t="shared" si="12"/>
        <v>9.8567818028643533E-2</v>
      </c>
      <c r="AA26" s="47">
        <v>0</v>
      </c>
      <c r="AB26" s="47">
        <f t="shared" si="13"/>
        <v>356.1</v>
      </c>
      <c r="AC26" s="47">
        <f t="shared" si="14"/>
        <v>391.2</v>
      </c>
      <c r="AD26" s="29">
        <f t="shared" si="15"/>
        <v>9.8567818028643533E-2</v>
      </c>
    </row>
    <row r="27" spans="1:30" x14ac:dyDescent="0.3">
      <c r="A27" s="69">
        <v>7</v>
      </c>
      <c r="D27" s="51">
        <v>1500</v>
      </c>
      <c r="E27" s="28">
        <f>Input!$H$21</f>
        <v>255.9</v>
      </c>
      <c r="F27" s="28">
        <f>Input!$V$21</f>
        <v>282.2</v>
      </c>
      <c r="G27" s="28">
        <f t="shared" si="2"/>
        <v>26.299999999999983</v>
      </c>
      <c r="H27" s="29">
        <f t="shared" si="3"/>
        <v>0.10299999999999999</v>
      </c>
      <c r="I27" s="29"/>
      <c r="J27" s="28">
        <f>Input!$I$21</f>
        <v>0</v>
      </c>
      <c r="K27" s="28">
        <f>Input!$W$21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ROUND((D27*Input!$C$21),2)+ROUND((D27*Input!$N$21),2)+ROUND((D27*Input!$O$21),2)</f>
        <v>150.29999999999998</v>
      </c>
      <c r="P27" s="28">
        <f>ROUND((D27*Input!$Q$21),2)+ROUND((D27*Input!$Z$21),2)+ROUND((D27*Input!$AA$21),2)</f>
        <v>163.5</v>
      </c>
      <c r="Q27" s="28">
        <f t="shared" si="6"/>
        <v>13.200000000000017</v>
      </c>
      <c r="R27" s="29">
        <f t="shared" si="7"/>
        <v>8.7999999999999995E-2</v>
      </c>
      <c r="S27" s="28">
        <f t="shared" si="8"/>
        <v>406.2</v>
      </c>
      <c r="T27" s="28">
        <f t="shared" si="9"/>
        <v>445.7</v>
      </c>
      <c r="U27" s="29">
        <f t="shared" si="10"/>
        <v>9.7000000000000003E-2</v>
      </c>
      <c r="W27" s="47">
        <f t="shared" si="0"/>
        <v>406.2</v>
      </c>
      <c r="X27" s="47">
        <f t="shared" si="1"/>
        <v>445.7</v>
      </c>
      <c r="Y27" s="47">
        <f t="shared" si="11"/>
        <v>39.5</v>
      </c>
      <c r="Z27" s="29">
        <f t="shared" si="12"/>
        <v>9.7242737567700646E-2</v>
      </c>
      <c r="AA27" s="47">
        <v>0</v>
      </c>
      <c r="AB27" s="47">
        <f t="shared" si="13"/>
        <v>406.2</v>
      </c>
      <c r="AC27" s="47">
        <f t="shared" si="14"/>
        <v>445.7</v>
      </c>
      <c r="AD27" s="29">
        <f t="shared" si="15"/>
        <v>9.7242737567700646E-2</v>
      </c>
    </row>
    <row r="28" spans="1:30" x14ac:dyDescent="0.3">
      <c r="A28" s="69">
        <v>8</v>
      </c>
      <c r="B28" s="69"/>
      <c r="D28" s="51">
        <v>3000</v>
      </c>
      <c r="E28" s="28">
        <f>Input!$H$21</f>
        <v>255.9</v>
      </c>
      <c r="F28" s="28">
        <f>Input!$V$21</f>
        <v>282.2</v>
      </c>
      <c r="G28" s="28">
        <f t="shared" si="2"/>
        <v>26.299999999999983</v>
      </c>
      <c r="H28" s="29">
        <f t="shared" si="3"/>
        <v>0.10299999999999999</v>
      </c>
      <c r="I28" s="29"/>
      <c r="J28" s="28">
        <f>Input!$I$21</f>
        <v>0</v>
      </c>
      <c r="K28" s="28">
        <f>Input!$W$21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ROUND((D28*Input!$C$21),2)+ROUND((D28*Input!$N$21),2)+ROUND((D28*Input!$O$21),2)</f>
        <v>300.59999999999997</v>
      </c>
      <c r="P28" s="28">
        <f>ROUND((D28*Input!$Q$21),2)+ROUND((D28*Input!$Z$21),2)+ROUND((D28*Input!$AA$21),2)</f>
        <v>327</v>
      </c>
      <c r="Q28" s="28">
        <f t="shared" si="6"/>
        <v>26.400000000000034</v>
      </c>
      <c r="R28" s="29">
        <f t="shared" si="7"/>
        <v>8.7999999999999995E-2</v>
      </c>
      <c r="S28" s="28">
        <f t="shared" si="8"/>
        <v>556.5</v>
      </c>
      <c r="T28" s="28">
        <f t="shared" si="9"/>
        <v>609.20000000000005</v>
      </c>
      <c r="U28" s="29">
        <f t="shared" si="10"/>
        <v>9.5000000000000001E-2</v>
      </c>
      <c r="W28" s="47">
        <f t="shared" si="0"/>
        <v>556.5</v>
      </c>
      <c r="X28" s="47">
        <f t="shared" si="1"/>
        <v>609.20000000000005</v>
      </c>
      <c r="Y28" s="47">
        <f t="shared" si="11"/>
        <v>52.700000000000045</v>
      </c>
      <c r="Z28" s="29">
        <f t="shared" si="12"/>
        <v>9.4699011680143844E-2</v>
      </c>
      <c r="AA28" s="47">
        <v>0</v>
      </c>
      <c r="AB28" s="47">
        <f t="shared" si="13"/>
        <v>556.5</v>
      </c>
      <c r="AC28" s="47">
        <f t="shared" si="14"/>
        <v>609.20000000000005</v>
      </c>
      <c r="AD28" s="29">
        <f t="shared" si="15"/>
        <v>9.4699011680143844E-2</v>
      </c>
    </row>
    <row r="29" spans="1:30" x14ac:dyDescent="0.3">
      <c r="A29" s="69">
        <v>9</v>
      </c>
      <c r="B29" s="69"/>
      <c r="D29" s="51">
        <v>4000</v>
      </c>
      <c r="E29" s="28">
        <f>Input!$H$21</f>
        <v>255.9</v>
      </c>
      <c r="F29" s="28">
        <f>Input!$V$21</f>
        <v>282.2</v>
      </c>
      <c r="G29" s="28">
        <f t="shared" si="2"/>
        <v>26.299999999999983</v>
      </c>
      <c r="H29" s="29">
        <f t="shared" si="3"/>
        <v>0.10299999999999999</v>
      </c>
      <c r="I29" s="29"/>
      <c r="J29" s="28">
        <f>Input!$I$21</f>
        <v>0</v>
      </c>
      <c r="K29" s="28">
        <f>Input!$W$21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ROUND((D29*Input!$C$21),2)+ROUND((D29*Input!$N$21),2)+ROUND((D29*Input!$O$21),2)</f>
        <v>400.8</v>
      </c>
      <c r="P29" s="28">
        <f>ROUND((D29*Input!$Q$21),2)+ROUND((D29*Input!$Z$21),2)+ROUND((D29*Input!$AA$21),2)</f>
        <v>436</v>
      </c>
      <c r="Q29" s="28">
        <f t="shared" si="6"/>
        <v>35.199999999999989</v>
      </c>
      <c r="R29" s="29">
        <f t="shared" si="7"/>
        <v>8.7999999999999995E-2</v>
      </c>
      <c r="S29" s="28">
        <f t="shared" si="8"/>
        <v>656.7</v>
      </c>
      <c r="T29" s="28">
        <f t="shared" si="9"/>
        <v>718.2</v>
      </c>
      <c r="U29" s="29">
        <f t="shared" si="10"/>
        <v>9.4E-2</v>
      </c>
      <c r="W29" s="47">
        <f t="shared" si="0"/>
        <v>656.7</v>
      </c>
      <c r="X29" s="47">
        <f t="shared" si="1"/>
        <v>718.2</v>
      </c>
      <c r="Y29" s="47">
        <f t="shared" si="11"/>
        <v>61.5</v>
      </c>
      <c r="Z29" s="29">
        <f t="shared" si="12"/>
        <v>9.3650068524440383E-2</v>
      </c>
      <c r="AA29" s="47">
        <v>0</v>
      </c>
      <c r="AB29" s="47">
        <f t="shared" si="13"/>
        <v>656.7</v>
      </c>
      <c r="AC29" s="47">
        <f t="shared" si="14"/>
        <v>718.2</v>
      </c>
      <c r="AD29" s="29">
        <f t="shared" si="15"/>
        <v>9.3650068524440383E-2</v>
      </c>
    </row>
    <row r="30" spans="1:30" x14ac:dyDescent="0.3">
      <c r="A30" s="69">
        <v>10</v>
      </c>
      <c r="D30" s="51">
        <v>5000</v>
      </c>
      <c r="E30" s="28">
        <f>Input!$H$21</f>
        <v>255.9</v>
      </c>
      <c r="F30" s="28">
        <f>Input!$V$21</f>
        <v>282.2</v>
      </c>
      <c r="G30" s="28">
        <f t="shared" si="2"/>
        <v>26.299999999999983</v>
      </c>
      <c r="H30" s="29">
        <f t="shared" si="3"/>
        <v>0.10299999999999999</v>
      </c>
      <c r="I30" s="29"/>
      <c r="J30" s="28">
        <f>Input!$I$21</f>
        <v>0</v>
      </c>
      <c r="K30" s="28">
        <f>Input!$W$21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ROUND((D30*Input!$C$21),2)+ROUND((D30*Input!$N$21),2)+ROUND((D30*Input!$O$21),2)</f>
        <v>501</v>
      </c>
      <c r="P30" s="28">
        <f>ROUND((D30*Input!$Q$21),2)+ROUND((D30*Input!$Z$21),2)+ROUND((D30*Input!$AA$21),2)</f>
        <v>545</v>
      </c>
      <c r="Q30" s="28">
        <f t="shared" si="6"/>
        <v>44</v>
      </c>
      <c r="R30" s="29">
        <f t="shared" si="7"/>
        <v>8.7999999999999995E-2</v>
      </c>
      <c r="S30" s="28">
        <f t="shared" si="8"/>
        <v>756.9</v>
      </c>
      <c r="T30" s="28">
        <f t="shared" si="9"/>
        <v>827.2</v>
      </c>
      <c r="U30" s="29">
        <f t="shared" si="10"/>
        <v>9.2999999999999999E-2</v>
      </c>
      <c r="W30" s="47">
        <f t="shared" si="0"/>
        <v>756.9</v>
      </c>
      <c r="X30" s="47">
        <f t="shared" si="1"/>
        <v>827.2</v>
      </c>
      <c r="Y30" s="47">
        <f t="shared" si="11"/>
        <v>70.300000000000068</v>
      </c>
      <c r="Z30" s="29">
        <f t="shared" si="12"/>
        <v>9.2878847932355749E-2</v>
      </c>
      <c r="AA30" s="47">
        <v>0</v>
      </c>
      <c r="AB30" s="47">
        <f t="shared" si="13"/>
        <v>756.9</v>
      </c>
      <c r="AC30" s="47">
        <f t="shared" si="14"/>
        <v>827.2</v>
      </c>
      <c r="AD30" s="29">
        <f t="shared" si="15"/>
        <v>9.2878847932355749E-2</v>
      </c>
    </row>
    <row r="31" spans="1:30" x14ac:dyDescent="0.3">
      <c r="A31" s="69">
        <v>11</v>
      </c>
      <c r="D31" s="51">
        <v>6000</v>
      </c>
      <c r="E31" s="28">
        <f>Input!$H$21</f>
        <v>255.9</v>
      </c>
      <c r="F31" s="28">
        <f>Input!$V$21</f>
        <v>282.2</v>
      </c>
      <c r="G31" s="28">
        <f t="shared" si="2"/>
        <v>26.299999999999983</v>
      </c>
      <c r="H31" s="29">
        <f t="shared" si="3"/>
        <v>0.10299999999999999</v>
      </c>
      <c r="I31" s="29"/>
      <c r="J31" s="28">
        <f>Input!$I$21</f>
        <v>0</v>
      </c>
      <c r="K31" s="28">
        <f>Input!$W$21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ROUND((D31*Input!$C$21),2)+ROUND((D31*Input!$N$21),2)+ROUND((D31*Input!$O$21),2)</f>
        <v>601.19999999999993</v>
      </c>
      <c r="P31" s="28">
        <f>ROUND((D31*Input!$Q$21),2)+ROUND((D31*Input!$Z$21),2)+ROUND((D31*Input!$AA$21),2)</f>
        <v>654</v>
      </c>
      <c r="Q31" s="28">
        <f t="shared" si="6"/>
        <v>52.800000000000068</v>
      </c>
      <c r="R31" s="29">
        <f t="shared" si="7"/>
        <v>8.7999999999999995E-2</v>
      </c>
      <c r="S31" s="28">
        <f t="shared" si="8"/>
        <v>857.09999999999991</v>
      </c>
      <c r="T31" s="28">
        <f t="shared" si="9"/>
        <v>936.2</v>
      </c>
      <c r="U31" s="29">
        <f t="shared" si="10"/>
        <v>9.1999999999999998E-2</v>
      </c>
      <c r="W31" s="47">
        <f t="shared" si="0"/>
        <v>857.09999999999991</v>
      </c>
      <c r="X31" s="47">
        <f t="shared" si="1"/>
        <v>936.2</v>
      </c>
      <c r="Y31" s="47">
        <f t="shared" si="11"/>
        <v>79.100000000000136</v>
      </c>
      <c r="Z31" s="29">
        <f t="shared" si="12"/>
        <v>9.2287947730720035E-2</v>
      </c>
      <c r="AA31" s="47">
        <v>0</v>
      </c>
      <c r="AB31" s="47">
        <f t="shared" si="13"/>
        <v>857.09999999999991</v>
      </c>
      <c r="AC31" s="47">
        <f t="shared" si="14"/>
        <v>936.2</v>
      </c>
      <c r="AD31" s="29">
        <f t="shared" si="15"/>
        <v>9.2287947730720035E-2</v>
      </c>
    </row>
    <row r="32" spans="1:30" x14ac:dyDescent="0.3">
      <c r="A32" s="69">
        <v>12</v>
      </c>
      <c r="D32" s="51">
        <v>7000</v>
      </c>
      <c r="E32" s="28">
        <f>Input!$H$21</f>
        <v>255.9</v>
      </c>
      <c r="F32" s="28">
        <f>Input!$V$21</f>
        <v>282.2</v>
      </c>
      <c r="G32" s="28">
        <f t="shared" si="2"/>
        <v>26.299999999999983</v>
      </c>
      <c r="H32" s="29">
        <f t="shared" si="3"/>
        <v>0.10299999999999999</v>
      </c>
      <c r="I32" s="29"/>
      <c r="J32" s="28">
        <f>Input!$I$21</f>
        <v>0</v>
      </c>
      <c r="K32" s="28">
        <f>Input!$W$21</f>
        <v>0</v>
      </c>
      <c r="L32" s="28">
        <f t="shared" si="4"/>
        <v>0</v>
      </c>
      <c r="M32" s="29">
        <f t="shared" si="5"/>
        <v>0</v>
      </c>
      <c r="N32" s="31"/>
      <c r="O32" s="28">
        <f>ROUND((D32*Input!$C$21),2)+ROUND((D32*Input!$N$21),2)+ROUND((D32*Input!$O$21),2)</f>
        <v>701.4</v>
      </c>
      <c r="P32" s="28">
        <f>ROUND((D32*Input!$Q$21),2)+ROUND((D32*Input!$Z$21),2)+ROUND((D32*Input!$AA$21),2)</f>
        <v>763</v>
      </c>
      <c r="Q32" s="28">
        <f t="shared" si="6"/>
        <v>61.600000000000023</v>
      </c>
      <c r="R32" s="29">
        <f t="shared" si="7"/>
        <v>8.7999999999999995E-2</v>
      </c>
      <c r="S32" s="28">
        <f t="shared" si="8"/>
        <v>957.3</v>
      </c>
      <c r="T32" s="28">
        <f t="shared" si="9"/>
        <v>1045.2</v>
      </c>
      <c r="U32" s="29">
        <f t="shared" si="10"/>
        <v>9.1999999999999998E-2</v>
      </c>
      <c r="W32" s="47">
        <f t="shared" si="0"/>
        <v>957.3</v>
      </c>
      <c r="X32" s="47">
        <f t="shared" si="1"/>
        <v>1045.2</v>
      </c>
      <c r="Y32" s="47">
        <f t="shared" si="11"/>
        <v>87.900000000000091</v>
      </c>
      <c r="Z32" s="29">
        <f t="shared" si="12"/>
        <v>9.1820745847696741E-2</v>
      </c>
      <c r="AA32" s="47">
        <v>0</v>
      </c>
      <c r="AB32" s="47">
        <f t="shared" si="13"/>
        <v>957.3</v>
      </c>
      <c r="AC32" s="47">
        <f t="shared" si="14"/>
        <v>1045.2</v>
      </c>
      <c r="AD32" s="29">
        <f t="shared" si="15"/>
        <v>9.1820745847696741E-2</v>
      </c>
    </row>
    <row r="33" spans="1:30" x14ac:dyDescent="0.3">
      <c r="A33" s="69">
        <v>13</v>
      </c>
      <c r="D33" s="51">
        <v>8000</v>
      </c>
      <c r="E33" s="28">
        <f>Input!$H$21</f>
        <v>255.9</v>
      </c>
      <c r="F33" s="28">
        <f>Input!$V$21</f>
        <v>282.2</v>
      </c>
      <c r="G33" s="28">
        <f t="shared" si="2"/>
        <v>26.299999999999983</v>
      </c>
      <c r="H33" s="29">
        <f t="shared" si="3"/>
        <v>0.10299999999999999</v>
      </c>
      <c r="I33" s="29"/>
      <c r="J33" s="28">
        <f>Input!$I$21</f>
        <v>0</v>
      </c>
      <c r="K33" s="28">
        <f>Input!$W$21</f>
        <v>0</v>
      </c>
      <c r="L33" s="28">
        <f t="shared" si="4"/>
        <v>0</v>
      </c>
      <c r="M33" s="29">
        <f t="shared" si="5"/>
        <v>0</v>
      </c>
      <c r="N33" s="31"/>
      <c r="O33" s="28">
        <f>ROUND((D33*Input!$C$21),2)+ROUND((D33*Input!$N$21),2)+ROUND((D33*Input!$O$21),2)</f>
        <v>801.6</v>
      </c>
      <c r="P33" s="28">
        <f>ROUND((D33*Input!$Q$21),2)+ROUND((D33*Input!$Z$21),2)+ROUND((D33*Input!$AA$21),2)</f>
        <v>872</v>
      </c>
      <c r="Q33" s="28">
        <f t="shared" si="6"/>
        <v>70.399999999999977</v>
      </c>
      <c r="R33" s="29">
        <f t="shared" si="7"/>
        <v>8.7999999999999995E-2</v>
      </c>
      <c r="S33" s="28">
        <f t="shared" si="8"/>
        <v>1057.5</v>
      </c>
      <c r="T33" s="28">
        <f t="shared" si="9"/>
        <v>1154.2</v>
      </c>
      <c r="U33" s="29">
        <f t="shared" si="10"/>
        <v>9.0999999999999998E-2</v>
      </c>
      <c r="W33" s="47">
        <f t="shared" si="0"/>
        <v>1057.5</v>
      </c>
      <c r="X33" s="47">
        <f t="shared" si="1"/>
        <v>1154.2</v>
      </c>
      <c r="Y33" s="47">
        <f t="shared" si="11"/>
        <v>96.700000000000045</v>
      </c>
      <c r="Z33" s="29">
        <f t="shared" si="12"/>
        <v>9.1442080378250634E-2</v>
      </c>
      <c r="AA33" s="47">
        <v>0</v>
      </c>
      <c r="AB33" s="47">
        <f t="shared" si="13"/>
        <v>1057.5</v>
      </c>
      <c r="AC33" s="47">
        <f t="shared" si="14"/>
        <v>1154.2</v>
      </c>
      <c r="AD33" s="29">
        <f t="shared" si="15"/>
        <v>9.1442080378250634E-2</v>
      </c>
    </row>
    <row r="34" spans="1:30" x14ac:dyDescent="0.3">
      <c r="A34" s="69">
        <v>14</v>
      </c>
      <c r="D34" s="51">
        <v>9000</v>
      </c>
      <c r="E34" s="28">
        <f>Input!$H$21</f>
        <v>255.9</v>
      </c>
      <c r="F34" s="28">
        <f>Input!$V$21</f>
        <v>282.2</v>
      </c>
      <c r="G34" s="28">
        <f t="shared" si="2"/>
        <v>26.299999999999983</v>
      </c>
      <c r="H34" s="29">
        <f t="shared" si="3"/>
        <v>0.10299999999999999</v>
      </c>
      <c r="I34" s="29"/>
      <c r="J34" s="28">
        <f>Input!$I$21</f>
        <v>0</v>
      </c>
      <c r="K34" s="28">
        <f>Input!$W$21</f>
        <v>0</v>
      </c>
      <c r="L34" s="28">
        <f t="shared" si="4"/>
        <v>0</v>
      </c>
      <c r="M34" s="29">
        <f t="shared" si="5"/>
        <v>0</v>
      </c>
      <c r="N34" s="31"/>
      <c r="O34" s="28">
        <f>ROUND((D34*Input!$C$21),2)+ROUND((D34*Input!$N$21),2)+ROUND((D34*Input!$O$21),2)</f>
        <v>901.80000000000007</v>
      </c>
      <c r="P34" s="28">
        <f>ROUND((D34*Input!$Q$21),2)+ROUND((D34*Input!$Z$21),2)+ROUND((D34*Input!$AA$21),2)</f>
        <v>981</v>
      </c>
      <c r="Q34" s="28">
        <f t="shared" si="6"/>
        <v>79.199999999999932</v>
      </c>
      <c r="R34" s="29">
        <f t="shared" si="7"/>
        <v>8.7999999999999995E-2</v>
      </c>
      <c r="S34" s="28">
        <f t="shared" si="8"/>
        <v>1157.7</v>
      </c>
      <c r="T34" s="28">
        <f t="shared" si="9"/>
        <v>1263.2</v>
      </c>
      <c r="U34" s="29">
        <f t="shared" si="10"/>
        <v>9.0999999999999998E-2</v>
      </c>
      <c r="W34" s="47">
        <f t="shared" si="0"/>
        <v>1157.7</v>
      </c>
      <c r="X34" s="47">
        <f t="shared" si="1"/>
        <v>1263.2</v>
      </c>
      <c r="Y34" s="47">
        <f t="shared" si="11"/>
        <v>105.5</v>
      </c>
      <c r="Z34" s="29">
        <f t="shared" si="12"/>
        <v>9.1128962598255162E-2</v>
      </c>
      <c r="AA34" s="47">
        <v>0</v>
      </c>
      <c r="AB34" s="47">
        <f t="shared" si="13"/>
        <v>1157.7</v>
      </c>
      <c r="AC34" s="47">
        <f t="shared" si="14"/>
        <v>1263.2</v>
      </c>
      <c r="AD34" s="29">
        <f t="shared" si="15"/>
        <v>9.1128962598255162E-2</v>
      </c>
    </row>
    <row r="35" spans="1:30" x14ac:dyDescent="0.3">
      <c r="A35" s="69">
        <v>15</v>
      </c>
      <c r="D35" s="51">
        <v>10000</v>
      </c>
      <c r="E35" s="28">
        <f>Input!$H$21</f>
        <v>255.9</v>
      </c>
      <c r="F35" s="28">
        <f>Input!$V$21</f>
        <v>282.2</v>
      </c>
      <c r="G35" s="28">
        <f>F35-E35</f>
        <v>26.299999999999983</v>
      </c>
      <c r="H35" s="29">
        <f t="shared" si="3"/>
        <v>0.10299999999999999</v>
      </c>
      <c r="I35" s="29"/>
      <c r="J35" s="28">
        <f>Input!$I$21</f>
        <v>0</v>
      </c>
      <c r="K35" s="28">
        <f>Input!$W$21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ROUND((D35*Input!$C$21),2)+ROUND((D35*Input!$N$21),2)+ROUND((D35*Input!$O$21),2)</f>
        <v>1002</v>
      </c>
      <c r="P35" s="28">
        <f>ROUND((D35*Input!$Q$21),2)+ROUND((D35*Input!$Z$21),2)+ROUND((D35*Input!$AA$21),2)</f>
        <v>1090</v>
      </c>
      <c r="Q35" s="28">
        <f>P35-O35</f>
        <v>88</v>
      </c>
      <c r="R35" s="29">
        <f t="shared" si="7"/>
        <v>8.7999999999999995E-2</v>
      </c>
      <c r="S35" s="28">
        <f t="shared" si="8"/>
        <v>1257.9000000000001</v>
      </c>
      <c r="T35" s="28">
        <f t="shared" si="9"/>
        <v>1372.2</v>
      </c>
      <c r="U35" s="29">
        <f t="shared" si="10"/>
        <v>9.0999999999999998E-2</v>
      </c>
      <c r="W35" s="47">
        <f t="shared" si="0"/>
        <v>1257.9000000000001</v>
      </c>
      <c r="X35" s="47">
        <f t="shared" si="1"/>
        <v>1372.2</v>
      </c>
      <c r="Y35" s="47">
        <f t="shared" si="11"/>
        <v>114.29999999999995</v>
      </c>
      <c r="Z35" s="29">
        <f t="shared" si="12"/>
        <v>9.0865728595277806E-2</v>
      </c>
      <c r="AA35" s="47">
        <v>0</v>
      </c>
      <c r="AB35" s="47">
        <f t="shared" si="13"/>
        <v>1257.9000000000001</v>
      </c>
      <c r="AC35" s="47">
        <f t="shared" si="14"/>
        <v>1372.2</v>
      </c>
      <c r="AD35" s="29">
        <f t="shared" si="15"/>
        <v>9.0865728595277806E-2</v>
      </c>
    </row>
    <row r="36" spans="1:30" x14ac:dyDescent="0.3">
      <c r="A36" s="69">
        <v>16</v>
      </c>
      <c r="D36" s="51">
        <v>11000</v>
      </c>
      <c r="E36" s="28">
        <f>Input!$H$21</f>
        <v>255.9</v>
      </c>
      <c r="F36" s="28">
        <f>Input!$V$21</f>
        <v>282.2</v>
      </c>
      <c r="G36" s="28">
        <f t="shared" si="2"/>
        <v>26.299999999999983</v>
      </c>
      <c r="H36" s="29">
        <f t="shared" si="3"/>
        <v>0.10299999999999999</v>
      </c>
      <c r="I36" s="29"/>
      <c r="J36" s="28">
        <f>Input!$I$21</f>
        <v>0</v>
      </c>
      <c r="K36" s="28">
        <f>Input!$W$21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ROUND((D36*Input!$C$21),2)+ROUND((D36*Input!$N$21),2)+ROUND((D36*Input!$O$21),2)</f>
        <v>1102.2</v>
      </c>
      <c r="P36" s="28">
        <f>ROUND((D36*Input!$Q$21),2)+ROUND((D36*Input!$Z$21),2)+ROUND((D36*Input!$AA$21),2)</f>
        <v>1199</v>
      </c>
      <c r="Q36" s="28">
        <f t="shared" si="6"/>
        <v>96.799999999999955</v>
      </c>
      <c r="R36" s="29">
        <f t="shared" si="7"/>
        <v>8.7999999999999995E-2</v>
      </c>
      <c r="S36" s="28">
        <f t="shared" si="8"/>
        <v>1358.1000000000001</v>
      </c>
      <c r="T36" s="28">
        <f t="shared" si="9"/>
        <v>1481.2</v>
      </c>
      <c r="U36" s="29">
        <f t="shared" si="10"/>
        <v>9.0999999999999998E-2</v>
      </c>
      <c r="W36" s="47">
        <f t="shared" si="0"/>
        <v>1358.1000000000001</v>
      </c>
      <c r="X36" s="47">
        <f t="shared" si="1"/>
        <v>1481.2</v>
      </c>
      <c r="Y36" s="47">
        <f t="shared" si="11"/>
        <v>123.09999999999991</v>
      </c>
      <c r="Z36" s="29">
        <f t="shared" si="12"/>
        <v>9.0641337162211844E-2</v>
      </c>
      <c r="AA36" s="47">
        <v>0</v>
      </c>
      <c r="AB36" s="47">
        <f t="shared" si="13"/>
        <v>1358.1000000000001</v>
      </c>
      <c r="AC36" s="47">
        <f t="shared" si="14"/>
        <v>1481.2</v>
      </c>
      <c r="AD36" s="29">
        <f t="shared" si="15"/>
        <v>9.0641337162211844E-2</v>
      </c>
    </row>
    <row r="37" spans="1:30" x14ac:dyDescent="0.3">
      <c r="A37" s="69">
        <v>17</v>
      </c>
      <c r="D37" s="51">
        <f>D39</f>
        <v>16725</v>
      </c>
      <c r="E37" s="28">
        <f>Input!$H$21</f>
        <v>255.9</v>
      </c>
      <c r="F37" s="28">
        <f>Input!$V$21</f>
        <v>282.2</v>
      </c>
      <c r="G37" s="28">
        <f t="shared" si="2"/>
        <v>26.299999999999983</v>
      </c>
      <c r="H37" s="29">
        <f t="shared" si="3"/>
        <v>0.10299999999999999</v>
      </c>
      <c r="I37" s="29"/>
      <c r="J37" s="28">
        <f>Input!$I$21</f>
        <v>0</v>
      </c>
      <c r="K37" s="28">
        <f>Input!$W$21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ROUND((D37*Input!$C$21),2)+ROUND((D37*Input!$N$21),2)+ROUND((D37*Input!$O$21),2)</f>
        <v>1675.85</v>
      </c>
      <c r="P37" s="28">
        <f>ROUND((D37*Input!$Q$21),2)+ROUND((D37*Input!$Z$21),2)+ROUND((D37*Input!$AA$21),2)</f>
        <v>1823.03</v>
      </c>
      <c r="Q37" s="28">
        <f t="shared" si="6"/>
        <v>147.18000000000006</v>
      </c>
      <c r="R37" s="29">
        <f t="shared" si="7"/>
        <v>8.7999999999999995E-2</v>
      </c>
      <c r="S37" s="28">
        <f t="shared" si="8"/>
        <v>1931.75</v>
      </c>
      <c r="T37" s="28">
        <f t="shared" si="9"/>
        <v>2105.23</v>
      </c>
      <c r="U37" s="29">
        <f t="shared" si="10"/>
        <v>0.09</v>
      </c>
      <c r="W37" s="47">
        <f t="shared" si="0"/>
        <v>1931.75</v>
      </c>
      <c r="X37" s="47">
        <f t="shared" si="1"/>
        <v>2105.23</v>
      </c>
      <c r="Y37" s="47">
        <f t="shared" si="11"/>
        <v>173.48000000000002</v>
      </c>
      <c r="Z37" s="29">
        <f t="shared" si="12"/>
        <v>8.9804581338164879E-2</v>
      </c>
      <c r="AA37" s="47">
        <v>0</v>
      </c>
      <c r="AB37" s="47">
        <f t="shared" si="13"/>
        <v>1931.75</v>
      </c>
      <c r="AC37" s="47">
        <f t="shared" si="14"/>
        <v>2105.23</v>
      </c>
      <c r="AD37" s="29">
        <f t="shared" si="15"/>
        <v>8.9804581338164879E-2</v>
      </c>
    </row>
    <row r="38" spans="1:30" x14ac:dyDescent="0.3">
      <c r="A38" s="6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W38" s="47"/>
      <c r="X38" s="47"/>
      <c r="Y38" s="47"/>
      <c r="Z38" s="29"/>
      <c r="AA38" s="47"/>
      <c r="AB38" s="47"/>
      <c r="AC38" s="47"/>
      <c r="AD38" s="29"/>
    </row>
    <row r="39" spans="1:30" x14ac:dyDescent="0.3">
      <c r="A39" s="69"/>
      <c r="B39" s="8" t="s">
        <v>98</v>
      </c>
      <c r="D39" s="52">
        <f>ROUND(Input!AS21,0)</f>
        <v>16725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30" x14ac:dyDescent="0.3">
      <c r="A40" s="69"/>
    </row>
    <row r="41" spans="1:30" x14ac:dyDescent="0.3">
      <c r="A41" s="69"/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2"/>
  <sheetViews>
    <sheetView zoomScaleNormal="100" workbookViewId="0">
      <selection sqref="A1:U1"/>
    </sheetView>
  </sheetViews>
  <sheetFormatPr defaultColWidth="9.296875" defaultRowHeight="13" x14ac:dyDescent="0.3"/>
  <cols>
    <col min="1" max="1" width="4.3984375" style="8" customWidth="1"/>
    <col min="2" max="2" width="12.3984375" style="8" customWidth="1"/>
    <col min="3" max="3" width="11.69921875" style="8" bestFit="1" customWidth="1"/>
    <col min="4" max="4" width="11.8984375" style="8" bestFit="1" customWidth="1"/>
    <col min="5" max="5" width="11.39843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7" width="13.69921875" style="8" bestFit="1" customWidth="1"/>
    <col min="18" max="18" width="12.09765625" style="8" bestFit="1" customWidth="1"/>
    <col min="19" max="19" width="13.09765625" style="69" bestFit="1" customWidth="1"/>
    <col min="20" max="20" width="13" style="69" bestFit="1" customWidth="1"/>
    <col min="21" max="21" width="12" style="69" customWidth="1"/>
    <col min="22" max="22" width="9.296875" style="8"/>
    <col min="23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133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G20" s="5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29</v>
      </c>
      <c r="C21" s="69" t="s">
        <v>65</v>
      </c>
      <c r="D21" s="51">
        <f>+D37</f>
        <v>0</v>
      </c>
      <c r="E21" s="28">
        <f>Input!$H$22</f>
        <v>0</v>
      </c>
      <c r="F21" s="28">
        <f>Input!$V$22</f>
        <v>0</v>
      </c>
      <c r="G21" s="58">
        <f>F21-E21</f>
        <v>0</v>
      </c>
      <c r="H21" s="29">
        <f>IF(E21=0,0,ROUND(G21/E21,3))</f>
        <v>0</v>
      </c>
      <c r="I21" s="29"/>
      <c r="J21" s="28">
        <f>Input!$I$22</f>
        <v>0</v>
      </c>
      <c r="K21" s="28">
        <f>Input!$W$22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ROUND((D21*Input!$C$22),2)</f>
        <v>0</v>
      </c>
      <c r="P21" s="28">
        <f>ROUND((D21*Input!$Q$22),2)</f>
        <v>0</v>
      </c>
      <c r="Q21" s="28">
        <f>P21-O21</f>
        <v>0</v>
      </c>
      <c r="R21" s="29">
        <f>IF(O21=0,0,ROUND(Q21/O21,3))</f>
        <v>0</v>
      </c>
      <c r="S21" s="28">
        <f>E21+J21+O21</f>
        <v>0</v>
      </c>
      <c r="T21" s="28">
        <f>F21+K21+P21</f>
        <v>0</v>
      </c>
      <c r="U21" s="29">
        <f>IF(S21=0,0,ROUND((T21-S21)/S21,3))</f>
        <v>0</v>
      </c>
      <c r="V21" s="31"/>
      <c r="W21" s="47">
        <f t="shared" ref="W21:W35" si="0">E21+J21+O21</f>
        <v>0</v>
      </c>
      <c r="X21" s="47">
        <f t="shared" ref="X21:X35" si="1">F21+K21+P21</f>
        <v>0</v>
      </c>
      <c r="Y21" s="47">
        <f>X21-W21</f>
        <v>0</v>
      </c>
      <c r="Z21" s="29" t="e">
        <f>(X21-W21)/W21</f>
        <v>#DIV/0!</v>
      </c>
      <c r="AA21" s="47">
        <v>0</v>
      </c>
      <c r="AB21" s="47">
        <f>W21+AA21</f>
        <v>0</v>
      </c>
      <c r="AC21" s="47">
        <f>X21+AA21</f>
        <v>0</v>
      </c>
      <c r="AD21" s="29" t="e">
        <f>(AC21-AB21)/AB21</f>
        <v>#DIV/0!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100</v>
      </c>
      <c r="E22" s="28">
        <f>Input!$H$22</f>
        <v>0</v>
      </c>
      <c r="F22" s="28">
        <f>Input!$V$22</f>
        <v>0</v>
      </c>
      <c r="G22" s="58">
        <f t="shared" ref="G22:G35" si="2">F22-E22</f>
        <v>0</v>
      </c>
      <c r="H22" s="29">
        <f t="shared" ref="H22:H35" si="3">IF(E22=0,0,ROUND(G22/E22,3))</f>
        <v>0</v>
      </c>
      <c r="I22" s="29"/>
      <c r="J22" s="28">
        <f>Input!$I$22</f>
        <v>0</v>
      </c>
      <c r="K22" s="28">
        <f>Input!$W$22</f>
        <v>0</v>
      </c>
      <c r="L22" s="28">
        <f t="shared" ref="L22:L35" si="4">K22-J22</f>
        <v>0</v>
      </c>
      <c r="M22" s="29">
        <f t="shared" ref="M22:M35" si="5">IF(J22=0,0,ROUND(L22/J22,3))</f>
        <v>0</v>
      </c>
      <c r="N22" s="30"/>
      <c r="O22" s="28">
        <f>ROUND((D22*Input!$C$22),2)</f>
        <v>0</v>
      </c>
      <c r="P22" s="28">
        <f>ROUND((D22*Input!$Q$22),2)</f>
        <v>0</v>
      </c>
      <c r="Q22" s="28">
        <f t="shared" ref="Q22:Q35" si="6">P22-O22</f>
        <v>0</v>
      </c>
      <c r="R22" s="29">
        <f t="shared" ref="R22:R35" si="7">IF(O22=0,0,ROUND(Q22/O22,3))</f>
        <v>0</v>
      </c>
      <c r="S22" s="28">
        <f t="shared" ref="S22:S35" si="8">E22+J22+O22</f>
        <v>0</v>
      </c>
      <c r="T22" s="28">
        <f t="shared" ref="T22:T35" si="9">F22+K22+P22</f>
        <v>0</v>
      </c>
      <c r="U22" s="29">
        <f t="shared" ref="U22:U35" si="10">IF(S22=0,0,ROUND((T22-S22)/S22,3))</f>
        <v>0</v>
      </c>
      <c r="V22" s="31"/>
      <c r="W22" s="47">
        <f t="shared" si="0"/>
        <v>0</v>
      </c>
      <c r="X22" s="47">
        <f t="shared" si="1"/>
        <v>0</v>
      </c>
      <c r="Y22" s="47">
        <f t="shared" ref="Y22:Y35" si="11">X22-W22</f>
        <v>0</v>
      </c>
      <c r="Z22" s="29" t="e">
        <f t="shared" ref="Z22:Z35" si="12">(X22-W22)/W22</f>
        <v>#DIV/0!</v>
      </c>
      <c r="AA22" s="47">
        <v>0</v>
      </c>
      <c r="AB22" s="47">
        <f t="shared" ref="AB22:AB35" si="13">W22+AA22</f>
        <v>0</v>
      </c>
      <c r="AC22" s="47">
        <f t="shared" ref="AC22:AC35" si="14">X22+AA22</f>
        <v>0</v>
      </c>
      <c r="AD22" s="29" t="e">
        <f t="shared" ref="AD22:AD35" si="15">(AC22-AB22)/AB22</f>
        <v>#DIV/0!</v>
      </c>
    </row>
    <row r="23" spans="1:30" x14ac:dyDescent="0.3">
      <c r="A23" s="69">
        <v>3</v>
      </c>
      <c r="B23" s="69" t="s">
        <v>94</v>
      </c>
      <c r="D23" s="51">
        <v>150</v>
      </c>
      <c r="E23" s="28">
        <f>Input!$H$22</f>
        <v>0</v>
      </c>
      <c r="F23" s="28">
        <f>Input!$V$22</f>
        <v>0</v>
      </c>
      <c r="G23" s="58">
        <f t="shared" si="2"/>
        <v>0</v>
      </c>
      <c r="H23" s="29">
        <f t="shared" si="3"/>
        <v>0</v>
      </c>
      <c r="I23" s="29"/>
      <c r="J23" s="28">
        <f>Input!$I$22</f>
        <v>0</v>
      </c>
      <c r="K23" s="28">
        <f>Input!$W$22</f>
        <v>0</v>
      </c>
      <c r="L23" s="28">
        <f t="shared" si="4"/>
        <v>0</v>
      </c>
      <c r="M23" s="29">
        <f t="shared" si="5"/>
        <v>0</v>
      </c>
      <c r="N23" s="30"/>
      <c r="O23" s="28">
        <f>ROUND((D23*Input!$C$22),2)</f>
        <v>0</v>
      </c>
      <c r="P23" s="28">
        <f>ROUND((D23*Input!$Q$22),2)</f>
        <v>0</v>
      </c>
      <c r="Q23" s="28">
        <f t="shared" si="6"/>
        <v>0</v>
      </c>
      <c r="R23" s="29">
        <f t="shared" si="7"/>
        <v>0</v>
      </c>
      <c r="S23" s="28">
        <f t="shared" si="8"/>
        <v>0</v>
      </c>
      <c r="T23" s="28">
        <f t="shared" si="9"/>
        <v>0</v>
      </c>
      <c r="U23" s="29">
        <f t="shared" si="10"/>
        <v>0</v>
      </c>
      <c r="V23" s="31"/>
      <c r="W23" s="47">
        <f t="shared" si="0"/>
        <v>0</v>
      </c>
      <c r="X23" s="47">
        <f t="shared" si="1"/>
        <v>0</v>
      </c>
      <c r="Y23" s="47">
        <f t="shared" si="11"/>
        <v>0</v>
      </c>
      <c r="Z23" s="29" t="e">
        <f t="shared" si="12"/>
        <v>#DIV/0!</v>
      </c>
      <c r="AA23" s="47">
        <v>0</v>
      </c>
      <c r="AB23" s="47">
        <f t="shared" si="13"/>
        <v>0</v>
      </c>
      <c r="AC23" s="47">
        <f t="shared" si="14"/>
        <v>0</v>
      </c>
      <c r="AD23" s="29" t="e">
        <f t="shared" si="15"/>
        <v>#DIV/0!</v>
      </c>
    </row>
    <row r="24" spans="1:30" x14ac:dyDescent="0.3">
      <c r="A24" s="69">
        <v>4</v>
      </c>
      <c r="B24" s="69" t="s">
        <v>41</v>
      </c>
      <c r="D24" s="51">
        <v>300</v>
      </c>
      <c r="E24" s="28">
        <f>Input!$H$22</f>
        <v>0</v>
      </c>
      <c r="F24" s="28">
        <f>Input!$V$22</f>
        <v>0</v>
      </c>
      <c r="G24" s="58">
        <f t="shared" si="2"/>
        <v>0</v>
      </c>
      <c r="H24" s="29">
        <f t="shared" si="3"/>
        <v>0</v>
      </c>
      <c r="I24" s="29"/>
      <c r="J24" s="28">
        <f>Input!$I$22</f>
        <v>0</v>
      </c>
      <c r="K24" s="28">
        <f>Input!$W$22</f>
        <v>0</v>
      </c>
      <c r="L24" s="28">
        <f t="shared" si="4"/>
        <v>0</v>
      </c>
      <c r="M24" s="29">
        <f t="shared" si="5"/>
        <v>0</v>
      </c>
      <c r="N24" s="30"/>
      <c r="O24" s="28">
        <f>ROUND((D24*Input!$C$22),2)</f>
        <v>0</v>
      </c>
      <c r="P24" s="28">
        <f>ROUND((D24*Input!$Q$22),2)</f>
        <v>0</v>
      </c>
      <c r="Q24" s="28">
        <f t="shared" si="6"/>
        <v>0</v>
      </c>
      <c r="R24" s="29">
        <f t="shared" si="7"/>
        <v>0</v>
      </c>
      <c r="S24" s="28">
        <f t="shared" si="8"/>
        <v>0</v>
      </c>
      <c r="T24" s="28">
        <f t="shared" si="9"/>
        <v>0</v>
      </c>
      <c r="U24" s="29">
        <f t="shared" si="10"/>
        <v>0</v>
      </c>
      <c r="V24" s="31"/>
      <c r="W24" s="47">
        <f t="shared" si="0"/>
        <v>0</v>
      </c>
      <c r="X24" s="47">
        <f t="shared" si="1"/>
        <v>0</v>
      </c>
      <c r="Y24" s="47">
        <f t="shared" si="11"/>
        <v>0</v>
      </c>
      <c r="Z24" s="29" t="e">
        <f t="shared" si="12"/>
        <v>#DIV/0!</v>
      </c>
      <c r="AA24" s="47">
        <v>0</v>
      </c>
      <c r="AB24" s="47">
        <f t="shared" si="13"/>
        <v>0</v>
      </c>
      <c r="AC24" s="47">
        <f t="shared" si="14"/>
        <v>0</v>
      </c>
      <c r="AD24" s="29" t="e">
        <f t="shared" si="15"/>
        <v>#DIV/0!</v>
      </c>
    </row>
    <row r="25" spans="1:30" x14ac:dyDescent="0.3">
      <c r="A25" s="69">
        <v>5</v>
      </c>
      <c r="B25" s="69" t="s">
        <v>86</v>
      </c>
      <c r="D25" s="51">
        <v>500</v>
      </c>
      <c r="E25" s="28">
        <f>Input!$H$22</f>
        <v>0</v>
      </c>
      <c r="F25" s="28">
        <f>Input!$V$22</f>
        <v>0</v>
      </c>
      <c r="G25" s="58">
        <f t="shared" si="2"/>
        <v>0</v>
      </c>
      <c r="H25" s="29">
        <f t="shared" si="3"/>
        <v>0</v>
      </c>
      <c r="I25" s="29"/>
      <c r="J25" s="28">
        <f>Input!$I$22</f>
        <v>0</v>
      </c>
      <c r="K25" s="28">
        <f>Input!$W$22</f>
        <v>0</v>
      </c>
      <c r="L25" s="28">
        <f t="shared" si="4"/>
        <v>0</v>
      </c>
      <c r="M25" s="29">
        <f t="shared" si="5"/>
        <v>0</v>
      </c>
      <c r="N25" s="30"/>
      <c r="O25" s="28">
        <f>ROUND((D25*Input!$C$22),2)</f>
        <v>0</v>
      </c>
      <c r="P25" s="28">
        <f>ROUND((D25*Input!$Q$22),2)</f>
        <v>0</v>
      </c>
      <c r="Q25" s="28">
        <f t="shared" si="6"/>
        <v>0</v>
      </c>
      <c r="R25" s="29">
        <f t="shared" si="7"/>
        <v>0</v>
      </c>
      <c r="S25" s="28">
        <f t="shared" si="8"/>
        <v>0</v>
      </c>
      <c r="T25" s="28">
        <f t="shared" si="9"/>
        <v>0</v>
      </c>
      <c r="U25" s="29">
        <f t="shared" si="10"/>
        <v>0</v>
      </c>
      <c r="V25" s="31"/>
      <c r="W25" s="47">
        <f t="shared" si="0"/>
        <v>0</v>
      </c>
      <c r="X25" s="47">
        <f t="shared" si="1"/>
        <v>0</v>
      </c>
      <c r="Y25" s="47">
        <f t="shared" si="11"/>
        <v>0</v>
      </c>
      <c r="Z25" s="29" t="e">
        <f t="shared" si="12"/>
        <v>#DIV/0!</v>
      </c>
      <c r="AA25" s="47">
        <v>0</v>
      </c>
      <c r="AB25" s="47">
        <f t="shared" si="13"/>
        <v>0</v>
      </c>
      <c r="AC25" s="47">
        <f t="shared" si="14"/>
        <v>0</v>
      </c>
      <c r="AD25" s="29" t="e">
        <f t="shared" si="15"/>
        <v>#DIV/0!</v>
      </c>
    </row>
    <row r="26" spans="1:30" x14ac:dyDescent="0.3">
      <c r="A26" s="69">
        <v>6</v>
      </c>
      <c r="D26" s="51">
        <v>1000</v>
      </c>
      <c r="E26" s="28">
        <f>Input!$H$22</f>
        <v>0</v>
      </c>
      <c r="F26" s="28">
        <f>Input!$V$22</f>
        <v>0</v>
      </c>
      <c r="G26" s="58">
        <f t="shared" si="2"/>
        <v>0</v>
      </c>
      <c r="H26" s="29">
        <f t="shared" si="3"/>
        <v>0</v>
      </c>
      <c r="I26" s="29"/>
      <c r="J26" s="28">
        <f>Input!$I$22</f>
        <v>0</v>
      </c>
      <c r="K26" s="28">
        <f>Input!$W$22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ROUND((D26*Input!$C$22),2)</f>
        <v>0</v>
      </c>
      <c r="P26" s="28">
        <f>ROUND((D26*Input!$Q$22),2)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3">
      <c r="A27" s="69">
        <v>7</v>
      </c>
      <c r="D27" s="51">
        <v>3000</v>
      </c>
      <c r="E27" s="28">
        <f>Input!$H$22</f>
        <v>0</v>
      </c>
      <c r="F27" s="28">
        <f>Input!$V$22</f>
        <v>0</v>
      </c>
      <c r="G27" s="58">
        <f t="shared" si="2"/>
        <v>0</v>
      </c>
      <c r="H27" s="29">
        <f t="shared" si="3"/>
        <v>0</v>
      </c>
      <c r="I27" s="29"/>
      <c r="J27" s="28">
        <f>Input!$I$22</f>
        <v>0</v>
      </c>
      <c r="K27" s="28">
        <f>Input!$W$22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ROUND((D27*Input!$C$22),2)</f>
        <v>0</v>
      </c>
      <c r="P27" s="28">
        <f>ROUND((D27*Input!$Q$22),2)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3">
      <c r="A28" s="69">
        <v>8</v>
      </c>
      <c r="B28" s="69"/>
      <c r="D28" s="51">
        <v>5000</v>
      </c>
      <c r="E28" s="28">
        <f>Input!$H$22</f>
        <v>0</v>
      </c>
      <c r="F28" s="28">
        <f>Input!$V$22</f>
        <v>0</v>
      </c>
      <c r="G28" s="58">
        <f t="shared" si="2"/>
        <v>0</v>
      </c>
      <c r="H28" s="29">
        <f t="shared" si="3"/>
        <v>0</v>
      </c>
      <c r="I28" s="29"/>
      <c r="J28" s="28">
        <f>Input!$I$22</f>
        <v>0</v>
      </c>
      <c r="K28" s="28">
        <f>Input!$W$22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ROUND((D28*Input!$C$22),2)</f>
        <v>0</v>
      </c>
      <c r="P28" s="28">
        <f>ROUND((D28*Input!$Q$22),2)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3">
      <c r="A29" s="69">
        <v>9</v>
      </c>
      <c r="B29" s="69"/>
      <c r="D29" s="51">
        <v>10000</v>
      </c>
      <c r="E29" s="28">
        <f>Input!$H$22</f>
        <v>0</v>
      </c>
      <c r="F29" s="28">
        <f>Input!$V$22</f>
        <v>0</v>
      </c>
      <c r="G29" s="58">
        <f t="shared" si="2"/>
        <v>0</v>
      </c>
      <c r="H29" s="29">
        <f t="shared" si="3"/>
        <v>0</v>
      </c>
      <c r="I29" s="29"/>
      <c r="J29" s="28">
        <f>Input!$I$22</f>
        <v>0</v>
      </c>
      <c r="K29" s="28">
        <f>Input!$W$22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ROUND((D29*Input!$C$22),2)</f>
        <v>0</v>
      </c>
      <c r="P29" s="28">
        <f>ROUND((D29*Input!$Q$22),2)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3">
      <c r="A30" s="69">
        <v>10</v>
      </c>
      <c r="B30" s="69"/>
      <c r="D30" s="51">
        <v>15000</v>
      </c>
      <c r="E30" s="28">
        <f>Input!$H$22</f>
        <v>0</v>
      </c>
      <c r="F30" s="28">
        <f>Input!$V$22</f>
        <v>0</v>
      </c>
      <c r="G30" s="58">
        <f>F30-E30</f>
        <v>0</v>
      </c>
      <c r="H30" s="29">
        <f t="shared" si="3"/>
        <v>0</v>
      </c>
      <c r="I30" s="29"/>
      <c r="J30" s="28">
        <f>Input!$I$22</f>
        <v>0</v>
      </c>
      <c r="K30" s="28">
        <f>Input!$W$22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ROUND((D30*Input!$C$22),2)</f>
        <v>0</v>
      </c>
      <c r="P30" s="28">
        <f>ROUND((D30*Input!$Q$22),2)</f>
        <v>0</v>
      </c>
      <c r="Q30" s="28">
        <f>P30-O30</f>
        <v>0</v>
      </c>
      <c r="R30" s="29">
        <f t="shared" si="7"/>
        <v>0</v>
      </c>
      <c r="S30" s="28">
        <f>E30+J30+O30</f>
        <v>0</v>
      </c>
      <c r="T30" s="28">
        <f>F30+K30+P30</f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3">
      <c r="A31" s="69">
        <v>11</v>
      </c>
      <c r="D31" s="51">
        <v>20000</v>
      </c>
      <c r="E31" s="28">
        <f>Input!$H$22</f>
        <v>0</v>
      </c>
      <c r="F31" s="28">
        <f>Input!$V$22</f>
        <v>0</v>
      </c>
      <c r="G31" s="58">
        <f t="shared" si="2"/>
        <v>0</v>
      </c>
      <c r="H31" s="29">
        <f t="shared" si="3"/>
        <v>0</v>
      </c>
      <c r="I31" s="29"/>
      <c r="J31" s="28">
        <f>Input!$I$22</f>
        <v>0</v>
      </c>
      <c r="K31" s="28">
        <f>Input!$W$22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ROUND((D31*Input!$C$22),2)</f>
        <v>0</v>
      </c>
      <c r="P31" s="28">
        <f>ROUND((D31*Input!$Q$22),2)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3">
      <c r="A32" s="69">
        <v>12</v>
      </c>
      <c r="D32" s="51">
        <v>25000</v>
      </c>
      <c r="E32" s="28">
        <f>Input!$H$22</f>
        <v>0</v>
      </c>
      <c r="F32" s="28">
        <f>Input!$V$22</f>
        <v>0</v>
      </c>
      <c r="G32" s="58">
        <f t="shared" si="2"/>
        <v>0</v>
      </c>
      <c r="H32" s="29">
        <f t="shared" si="3"/>
        <v>0</v>
      </c>
      <c r="I32" s="29"/>
      <c r="J32" s="28">
        <f>Input!$I$22</f>
        <v>0</v>
      </c>
      <c r="K32" s="28">
        <f>Input!$W$22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ROUND((D32*Input!$C$22),2)</f>
        <v>0</v>
      </c>
      <c r="P32" s="28">
        <f>ROUND((D32*Input!$Q$22),2)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3">
      <c r="A33" s="69">
        <v>13</v>
      </c>
      <c r="D33" s="51">
        <v>30000</v>
      </c>
      <c r="E33" s="28">
        <f>Input!$H$22</f>
        <v>0</v>
      </c>
      <c r="F33" s="28">
        <f>Input!$V$22</f>
        <v>0</v>
      </c>
      <c r="G33" s="58">
        <f t="shared" si="2"/>
        <v>0</v>
      </c>
      <c r="H33" s="29">
        <f t="shared" si="3"/>
        <v>0</v>
      </c>
      <c r="I33" s="29"/>
      <c r="J33" s="28">
        <f>Input!$I$22</f>
        <v>0</v>
      </c>
      <c r="K33" s="28">
        <f>Input!$W$22</f>
        <v>0</v>
      </c>
      <c r="L33" s="28">
        <f t="shared" si="4"/>
        <v>0</v>
      </c>
      <c r="M33" s="29">
        <f t="shared" si="5"/>
        <v>0</v>
      </c>
      <c r="N33" s="31"/>
      <c r="O33" s="28">
        <f>ROUND((D33*Input!$C$22),2)</f>
        <v>0</v>
      </c>
      <c r="P33" s="28">
        <f>ROUND((D33*Input!$Q$22),2)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3">
      <c r="A34" s="69">
        <v>14</v>
      </c>
      <c r="D34" s="51">
        <v>35000</v>
      </c>
      <c r="E34" s="28">
        <f>Input!$H$22</f>
        <v>0</v>
      </c>
      <c r="F34" s="28">
        <f>Input!$V$22</f>
        <v>0</v>
      </c>
      <c r="G34" s="58">
        <f t="shared" si="2"/>
        <v>0</v>
      </c>
      <c r="H34" s="29">
        <f t="shared" si="3"/>
        <v>0</v>
      </c>
      <c r="I34" s="29"/>
      <c r="J34" s="28">
        <f>Input!$I$22</f>
        <v>0</v>
      </c>
      <c r="K34" s="28">
        <f>Input!$W$22</f>
        <v>0</v>
      </c>
      <c r="L34" s="28">
        <f t="shared" si="4"/>
        <v>0</v>
      </c>
      <c r="M34" s="29">
        <f t="shared" si="5"/>
        <v>0</v>
      </c>
      <c r="N34" s="31"/>
      <c r="O34" s="28">
        <f>ROUND((D34*Input!$C$22),2)</f>
        <v>0</v>
      </c>
      <c r="P34" s="28">
        <f>ROUND((D34*Input!$Q$22),2)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3">
      <c r="A35" s="69">
        <v>15</v>
      </c>
      <c r="D35" s="51">
        <v>40000</v>
      </c>
      <c r="E35" s="28">
        <f>Input!$H$22</f>
        <v>0</v>
      </c>
      <c r="F35" s="28">
        <f>Input!$V$22</f>
        <v>0</v>
      </c>
      <c r="G35" s="58">
        <f t="shared" si="2"/>
        <v>0</v>
      </c>
      <c r="H35" s="29">
        <f t="shared" si="3"/>
        <v>0</v>
      </c>
      <c r="I35" s="29"/>
      <c r="J35" s="28">
        <f>Input!$I$22</f>
        <v>0</v>
      </c>
      <c r="K35" s="28">
        <f>Input!$W$22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ROUND((D35*Input!$C$22),2)</f>
        <v>0</v>
      </c>
      <c r="P35" s="28">
        <f>ROUND((D35*Input!$Q$22),2)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3">
      <c r="A36" s="69"/>
      <c r="D36" s="32"/>
      <c r="E36" s="31"/>
      <c r="F36" s="31"/>
      <c r="G36" s="60"/>
      <c r="H36" s="30"/>
      <c r="I36" s="30"/>
      <c r="J36" s="30"/>
      <c r="K36" s="30"/>
      <c r="L36" s="30"/>
      <c r="M36" s="30"/>
      <c r="N36" s="31"/>
      <c r="O36" s="31"/>
      <c r="P36" s="31"/>
      <c r="Q36" s="28"/>
      <c r="R36" s="30"/>
      <c r="S36" s="28"/>
      <c r="T36" s="28"/>
      <c r="U36" s="30"/>
      <c r="V36" s="31"/>
      <c r="W36" s="47"/>
      <c r="X36" s="47"/>
      <c r="Y36" s="47"/>
      <c r="Z36" s="29"/>
      <c r="AA36" s="47"/>
      <c r="AB36" s="47"/>
      <c r="AC36" s="47"/>
      <c r="AD36" s="29"/>
    </row>
    <row r="37" spans="1:30" x14ac:dyDescent="0.3">
      <c r="A37" s="69"/>
      <c r="B37" s="8" t="s">
        <v>98</v>
      </c>
      <c r="D37" s="52">
        <f>Input!AS22</f>
        <v>0</v>
      </c>
      <c r="E37" s="69"/>
      <c r="F37" s="69"/>
      <c r="G37" s="34"/>
      <c r="H37" s="35"/>
      <c r="I37" s="35"/>
      <c r="J37" s="35"/>
      <c r="K37" s="35"/>
      <c r="L37" s="35"/>
      <c r="M37" s="35"/>
      <c r="N37" s="69"/>
      <c r="O37" s="69"/>
      <c r="P37" s="69"/>
      <c r="Q37" s="34"/>
      <c r="R37" s="35"/>
      <c r="S37" s="34"/>
      <c r="T37" s="34"/>
      <c r="U37" s="35"/>
      <c r="W37" s="47"/>
      <c r="X37" s="47"/>
      <c r="Y37" s="47"/>
      <c r="Z37" s="29"/>
      <c r="AA37" s="47"/>
      <c r="AB37" s="47"/>
      <c r="AC37" s="47"/>
      <c r="AD37" s="29"/>
    </row>
    <row r="38" spans="1:30" x14ac:dyDescent="0.3">
      <c r="A38" s="69"/>
      <c r="C38" s="8" t="s">
        <v>150</v>
      </c>
    </row>
    <row r="39" spans="1:30" x14ac:dyDescent="0.3">
      <c r="A39" s="69"/>
    </row>
    <row r="40" spans="1:30" x14ac:dyDescent="0.3">
      <c r="A40" s="69"/>
    </row>
    <row r="41" spans="1:30" x14ac:dyDescent="0.3">
      <c r="A41" s="69"/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2"/>
  <sheetViews>
    <sheetView zoomScaleNormal="100" workbookViewId="0">
      <selection sqref="A1:U1"/>
    </sheetView>
  </sheetViews>
  <sheetFormatPr defaultColWidth="9.296875" defaultRowHeight="13" x14ac:dyDescent="0.3"/>
  <cols>
    <col min="1" max="1" width="4.3984375" style="8" customWidth="1"/>
    <col min="2" max="2" width="10.8984375" style="8" customWidth="1"/>
    <col min="3" max="3" width="11.69921875" style="8" bestFit="1" customWidth="1"/>
    <col min="4" max="4" width="11.8984375" style="8" bestFit="1" customWidth="1"/>
    <col min="5" max="5" width="11.3984375" style="8" bestFit="1" customWidth="1"/>
    <col min="6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7" width="13.69921875" style="8" bestFit="1" customWidth="1"/>
    <col min="18" max="18" width="12.09765625" style="8" bestFit="1" customWidth="1"/>
    <col min="19" max="19" width="13.09765625" style="69" bestFit="1" customWidth="1"/>
    <col min="20" max="20" width="13" style="69" bestFit="1" customWidth="1"/>
    <col min="21" max="21" width="12.8984375" style="69" customWidth="1"/>
    <col min="22" max="22" width="9.296875" style="8"/>
    <col min="23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134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31</v>
      </c>
      <c r="C21" s="69" t="s">
        <v>65</v>
      </c>
      <c r="D21" s="51">
        <f>+D37</f>
        <v>0</v>
      </c>
      <c r="E21" s="28">
        <f>Input!$H$23</f>
        <v>0</v>
      </c>
      <c r="F21" s="28">
        <f>Input!$V$23</f>
        <v>0</v>
      </c>
      <c r="G21" s="58">
        <f>F21-E21</f>
        <v>0</v>
      </c>
      <c r="H21" s="29">
        <f>IF(E21=0,0,ROUND(G21/E21,3))</f>
        <v>0</v>
      </c>
      <c r="I21" s="29"/>
      <c r="J21" s="28">
        <f>Input!$I$23</f>
        <v>0</v>
      </c>
      <c r="K21" s="28">
        <f>Input!$W$23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ROUND((D21*Input!$C$23),2)</f>
        <v>0</v>
      </c>
      <c r="P21" s="28">
        <f>ROUND((D21*Input!$Q$23),2)</f>
        <v>0</v>
      </c>
      <c r="Q21" s="28">
        <f>P21-O21</f>
        <v>0</v>
      </c>
      <c r="R21" s="29">
        <f>IF(O21=0,0,ROUND(Q21/O21,3))</f>
        <v>0</v>
      </c>
      <c r="S21" s="28">
        <f>E21+J21+O21</f>
        <v>0</v>
      </c>
      <c r="T21" s="28">
        <f>F21+K21+P21</f>
        <v>0</v>
      </c>
      <c r="U21" s="29">
        <f>IF(S21=0,0,ROUND((T21-S21)/S21,3))</f>
        <v>0</v>
      </c>
      <c r="V21" s="31"/>
      <c r="W21" s="47">
        <f t="shared" ref="W21:W35" si="0">E21+J21+O21</f>
        <v>0</v>
      </c>
      <c r="X21" s="47">
        <f t="shared" ref="X21:X35" si="1">F21+K21+P21</f>
        <v>0</v>
      </c>
      <c r="Y21" s="47">
        <f>X21-W21</f>
        <v>0</v>
      </c>
      <c r="Z21" s="29" t="e">
        <f>(X21-W21)/W21</f>
        <v>#DIV/0!</v>
      </c>
      <c r="AA21" s="47">
        <v>0</v>
      </c>
      <c r="AB21" s="47">
        <f>W21+AA21</f>
        <v>0</v>
      </c>
      <c r="AC21" s="47">
        <f>X21+AA21</f>
        <v>0</v>
      </c>
      <c r="AD21" s="29" t="e">
        <f>(AC21-AB21)/AB21</f>
        <v>#DIV/0!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100</v>
      </c>
      <c r="E22" s="28">
        <f>Input!$H$23</f>
        <v>0</v>
      </c>
      <c r="F22" s="28">
        <f>Input!$V$23</f>
        <v>0</v>
      </c>
      <c r="G22" s="58">
        <f t="shared" ref="G22:G35" si="2">F22-E22</f>
        <v>0</v>
      </c>
      <c r="H22" s="29">
        <f t="shared" ref="H22:H35" si="3">IF(E22=0,0,ROUND(G22/E22,3))</f>
        <v>0</v>
      </c>
      <c r="I22" s="29"/>
      <c r="J22" s="28">
        <f>Input!$I$23</f>
        <v>0</v>
      </c>
      <c r="K22" s="28">
        <f>Input!$W$23</f>
        <v>0</v>
      </c>
      <c r="L22" s="28">
        <f t="shared" ref="L22:L35" si="4">K22-J22</f>
        <v>0</v>
      </c>
      <c r="M22" s="29">
        <f t="shared" ref="M22:M35" si="5">IF(J22=0,0,ROUND(L22/J22,3))</f>
        <v>0</v>
      </c>
      <c r="N22" s="30"/>
      <c r="O22" s="28">
        <f>ROUND((D22*Input!$C$23),2)</f>
        <v>0</v>
      </c>
      <c r="P22" s="28">
        <f>ROUND((D22*Input!$Q$23),2)</f>
        <v>0</v>
      </c>
      <c r="Q22" s="28">
        <f t="shared" ref="Q22:Q35" si="6">P22-O22</f>
        <v>0</v>
      </c>
      <c r="R22" s="29">
        <f t="shared" ref="R22:R35" si="7">IF(O22=0,0,ROUND(Q22/O22,3))</f>
        <v>0</v>
      </c>
      <c r="S22" s="28">
        <f t="shared" ref="S22:S35" si="8">E22+J22+O22</f>
        <v>0</v>
      </c>
      <c r="T22" s="28">
        <f t="shared" ref="T22:T35" si="9">F22+K22+P22</f>
        <v>0</v>
      </c>
      <c r="U22" s="29">
        <f t="shared" ref="U22:U35" si="10">IF(S22=0,0,ROUND((T22-S22)/S22,3))</f>
        <v>0</v>
      </c>
      <c r="V22" s="31"/>
      <c r="W22" s="47">
        <f t="shared" si="0"/>
        <v>0</v>
      </c>
      <c r="X22" s="47">
        <f t="shared" si="1"/>
        <v>0</v>
      </c>
      <c r="Y22" s="47">
        <f t="shared" ref="Y22:Y35" si="11">X22-W22</f>
        <v>0</v>
      </c>
      <c r="Z22" s="29" t="e">
        <f t="shared" ref="Z22:Z35" si="12">(X22-W22)/W22</f>
        <v>#DIV/0!</v>
      </c>
      <c r="AA22" s="47">
        <v>0</v>
      </c>
      <c r="AB22" s="47">
        <f t="shared" ref="AB22:AB35" si="13">W22+AA22</f>
        <v>0</v>
      </c>
      <c r="AC22" s="47">
        <f t="shared" ref="AC22:AC35" si="14">X22+AA22</f>
        <v>0</v>
      </c>
      <c r="AD22" s="29" t="e">
        <f t="shared" ref="AD22:AD35" si="15">(AC22-AB22)/AB22</f>
        <v>#DIV/0!</v>
      </c>
    </row>
    <row r="23" spans="1:30" x14ac:dyDescent="0.3">
      <c r="A23" s="69">
        <v>3</v>
      </c>
      <c r="B23" s="69" t="s">
        <v>94</v>
      </c>
      <c r="D23" s="51">
        <v>150</v>
      </c>
      <c r="E23" s="28">
        <f>Input!$H$23</f>
        <v>0</v>
      </c>
      <c r="F23" s="28">
        <f>Input!$V$23</f>
        <v>0</v>
      </c>
      <c r="G23" s="58">
        <f t="shared" si="2"/>
        <v>0</v>
      </c>
      <c r="H23" s="29">
        <f t="shared" si="3"/>
        <v>0</v>
      </c>
      <c r="I23" s="29"/>
      <c r="J23" s="28">
        <f>Input!$I$23</f>
        <v>0</v>
      </c>
      <c r="K23" s="28">
        <f>Input!$W$23</f>
        <v>0</v>
      </c>
      <c r="L23" s="28">
        <f t="shared" si="4"/>
        <v>0</v>
      </c>
      <c r="M23" s="29">
        <f t="shared" si="5"/>
        <v>0</v>
      </c>
      <c r="N23" s="30"/>
      <c r="O23" s="28">
        <f>ROUND((D23*Input!$C$23),2)</f>
        <v>0</v>
      </c>
      <c r="P23" s="28">
        <f>ROUND((D23*Input!$Q$23),2)</f>
        <v>0</v>
      </c>
      <c r="Q23" s="28">
        <f t="shared" si="6"/>
        <v>0</v>
      </c>
      <c r="R23" s="29">
        <f t="shared" si="7"/>
        <v>0</v>
      </c>
      <c r="S23" s="28">
        <f t="shared" si="8"/>
        <v>0</v>
      </c>
      <c r="T23" s="28">
        <f t="shared" si="9"/>
        <v>0</v>
      </c>
      <c r="U23" s="29">
        <f t="shared" si="10"/>
        <v>0</v>
      </c>
      <c r="V23" s="31"/>
      <c r="W23" s="47">
        <f t="shared" si="0"/>
        <v>0</v>
      </c>
      <c r="X23" s="47">
        <f t="shared" si="1"/>
        <v>0</v>
      </c>
      <c r="Y23" s="47">
        <f t="shared" si="11"/>
        <v>0</v>
      </c>
      <c r="Z23" s="29" t="e">
        <f t="shared" si="12"/>
        <v>#DIV/0!</v>
      </c>
      <c r="AA23" s="47">
        <v>0</v>
      </c>
      <c r="AB23" s="47">
        <f t="shared" si="13"/>
        <v>0</v>
      </c>
      <c r="AC23" s="47">
        <f t="shared" si="14"/>
        <v>0</v>
      </c>
      <c r="AD23" s="29" t="e">
        <f t="shared" si="15"/>
        <v>#DIV/0!</v>
      </c>
    </row>
    <row r="24" spans="1:30" x14ac:dyDescent="0.3">
      <c r="A24" s="69">
        <v>4</v>
      </c>
      <c r="B24" s="69" t="s">
        <v>41</v>
      </c>
      <c r="D24" s="51">
        <v>300</v>
      </c>
      <c r="E24" s="28">
        <f>Input!$H$23</f>
        <v>0</v>
      </c>
      <c r="F24" s="28">
        <f>Input!$V$23</f>
        <v>0</v>
      </c>
      <c r="G24" s="58">
        <f>F24-E24</f>
        <v>0</v>
      </c>
      <c r="H24" s="29">
        <f t="shared" si="3"/>
        <v>0</v>
      </c>
      <c r="I24" s="29"/>
      <c r="J24" s="28">
        <f>Input!$I$23</f>
        <v>0</v>
      </c>
      <c r="K24" s="28">
        <f>Input!$W$23</f>
        <v>0</v>
      </c>
      <c r="L24" s="28">
        <f t="shared" si="4"/>
        <v>0</v>
      </c>
      <c r="M24" s="29">
        <f t="shared" si="5"/>
        <v>0</v>
      </c>
      <c r="N24" s="30"/>
      <c r="O24" s="28">
        <f>ROUND((D24*Input!$C$23),2)</f>
        <v>0</v>
      </c>
      <c r="P24" s="28">
        <f>ROUND((D24*Input!$Q$23),2)</f>
        <v>0</v>
      </c>
      <c r="Q24" s="28">
        <f>P24-O24</f>
        <v>0</v>
      </c>
      <c r="R24" s="29">
        <f t="shared" si="7"/>
        <v>0</v>
      </c>
      <c r="S24" s="28">
        <f t="shared" si="8"/>
        <v>0</v>
      </c>
      <c r="T24" s="28">
        <f t="shared" si="9"/>
        <v>0</v>
      </c>
      <c r="U24" s="29">
        <f t="shared" si="10"/>
        <v>0</v>
      </c>
      <c r="V24" s="31"/>
      <c r="W24" s="47">
        <f t="shared" si="0"/>
        <v>0</v>
      </c>
      <c r="X24" s="47">
        <f t="shared" si="1"/>
        <v>0</v>
      </c>
      <c r="Y24" s="47">
        <f t="shared" si="11"/>
        <v>0</v>
      </c>
      <c r="Z24" s="29" t="e">
        <f t="shared" si="12"/>
        <v>#DIV/0!</v>
      </c>
      <c r="AA24" s="47">
        <v>0</v>
      </c>
      <c r="AB24" s="47">
        <f t="shared" si="13"/>
        <v>0</v>
      </c>
      <c r="AC24" s="47">
        <f t="shared" si="14"/>
        <v>0</v>
      </c>
      <c r="AD24" s="29" t="e">
        <f t="shared" si="15"/>
        <v>#DIV/0!</v>
      </c>
    </row>
    <row r="25" spans="1:30" x14ac:dyDescent="0.3">
      <c r="A25" s="69">
        <v>5</v>
      </c>
      <c r="B25" s="69" t="s">
        <v>88</v>
      </c>
      <c r="D25" s="51">
        <v>500</v>
      </c>
      <c r="E25" s="28">
        <f>Input!$H$23</f>
        <v>0</v>
      </c>
      <c r="F25" s="28">
        <f>Input!$V$23</f>
        <v>0</v>
      </c>
      <c r="G25" s="58">
        <f t="shared" si="2"/>
        <v>0</v>
      </c>
      <c r="H25" s="29">
        <f t="shared" si="3"/>
        <v>0</v>
      </c>
      <c r="I25" s="29"/>
      <c r="J25" s="28">
        <f>Input!$I$23</f>
        <v>0</v>
      </c>
      <c r="K25" s="28">
        <f>Input!$W$23</f>
        <v>0</v>
      </c>
      <c r="L25" s="28">
        <f t="shared" si="4"/>
        <v>0</v>
      </c>
      <c r="M25" s="29">
        <f t="shared" si="5"/>
        <v>0</v>
      </c>
      <c r="N25" s="30"/>
      <c r="O25" s="28">
        <f>ROUND((D25*Input!$C$23),2)</f>
        <v>0</v>
      </c>
      <c r="P25" s="28">
        <f>ROUND((D25*Input!$Q$23),2)</f>
        <v>0</v>
      </c>
      <c r="Q25" s="28">
        <f t="shared" si="6"/>
        <v>0</v>
      </c>
      <c r="R25" s="29">
        <f t="shared" si="7"/>
        <v>0</v>
      </c>
      <c r="S25" s="28">
        <f t="shared" si="8"/>
        <v>0</v>
      </c>
      <c r="T25" s="28">
        <f t="shared" si="9"/>
        <v>0</v>
      </c>
      <c r="U25" s="29">
        <f t="shared" si="10"/>
        <v>0</v>
      </c>
      <c r="V25" s="31"/>
      <c r="W25" s="47">
        <f t="shared" si="0"/>
        <v>0</v>
      </c>
      <c r="X25" s="47">
        <f t="shared" si="1"/>
        <v>0</v>
      </c>
      <c r="Y25" s="47">
        <f t="shared" si="11"/>
        <v>0</v>
      </c>
      <c r="Z25" s="29" t="e">
        <f t="shared" si="12"/>
        <v>#DIV/0!</v>
      </c>
      <c r="AA25" s="47">
        <v>0</v>
      </c>
      <c r="AB25" s="47">
        <f t="shared" si="13"/>
        <v>0</v>
      </c>
      <c r="AC25" s="47">
        <f t="shared" si="14"/>
        <v>0</v>
      </c>
      <c r="AD25" s="29" t="e">
        <f t="shared" si="15"/>
        <v>#DIV/0!</v>
      </c>
    </row>
    <row r="26" spans="1:30" x14ac:dyDescent="0.3">
      <c r="A26" s="69">
        <v>6</v>
      </c>
      <c r="D26" s="51">
        <v>1000</v>
      </c>
      <c r="E26" s="28">
        <f>Input!$H$23</f>
        <v>0</v>
      </c>
      <c r="F26" s="28">
        <f>Input!$V$23</f>
        <v>0</v>
      </c>
      <c r="G26" s="58">
        <f t="shared" si="2"/>
        <v>0</v>
      </c>
      <c r="H26" s="29">
        <f t="shared" si="3"/>
        <v>0</v>
      </c>
      <c r="I26" s="29"/>
      <c r="J26" s="28">
        <f>Input!$I$23</f>
        <v>0</v>
      </c>
      <c r="K26" s="28">
        <f>Input!$W$23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ROUND((D26*Input!$C$23),2)</f>
        <v>0</v>
      </c>
      <c r="P26" s="28">
        <f>ROUND((D26*Input!$Q$23),2)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3">
      <c r="A27" s="69">
        <v>7</v>
      </c>
      <c r="D27" s="51">
        <v>3000</v>
      </c>
      <c r="E27" s="28">
        <f>Input!$H$23</f>
        <v>0</v>
      </c>
      <c r="F27" s="28">
        <f>Input!$V$23</f>
        <v>0</v>
      </c>
      <c r="G27" s="58">
        <f t="shared" si="2"/>
        <v>0</v>
      </c>
      <c r="H27" s="29">
        <f t="shared" si="3"/>
        <v>0</v>
      </c>
      <c r="I27" s="29"/>
      <c r="J27" s="28">
        <f>Input!$I$23</f>
        <v>0</v>
      </c>
      <c r="K27" s="28">
        <f>Input!$W$23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ROUND((D27*Input!$C$23),2)</f>
        <v>0</v>
      </c>
      <c r="P27" s="28">
        <f>ROUND((D27*Input!$Q$23),2)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3">
      <c r="A28" s="69">
        <v>8</v>
      </c>
      <c r="D28" s="51">
        <v>5000</v>
      </c>
      <c r="E28" s="28">
        <f>Input!$H$23</f>
        <v>0</v>
      </c>
      <c r="F28" s="28">
        <f>Input!$V$23</f>
        <v>0</v>
      </c>
      <c r="G28" s="58">
        <f t="shared" si="2"/>
        <v>0</v>
      </c>
      <c r="H28" s="29">
        <f t="shared" si="3"/>
        <v>0</v>
      </c>
      <c r="I28" s="29"/>
      <c r="J28" s="28">
        <f>Input!$I$23</f>
        <v>0</v>
      </c>
      <c r="K28" s="28">
        <f>Input!$W$23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ROUND((D28*Input!$C$23),2)</f>
        <v>0</v>
      </c>
      <c r="P28" s="28">
        <f>ROUND((D28*Input!$Q$23),2)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3">
      <c r="A29" s="69">
        <v>9</v>
      </c>
      <c r="B29" s="69"/>
      <c r="D29" s="51">
        <v>10000</v>
      </c>
      <c r="E29" s="28">
        <f>Input!$H$23</f>
        <v>0</v>
      </c>
      <c r="F29" s="28">
        <f>Input!$V$23</f>
        <v>0</v>
      </c>
      <c r="G29" s="58">
        <f t="shared" si="2"/>
        <v>0</v>
      </c>
      <c r="H29" s="29">
        <f t="shared" si="3"/>
        <v>0</v>
      </c>
      <c r="I29" s="29"/>
      <c r="J29" s="28">
        <f>Input!$I$23</f>
        <v>0</v>
      </c>
      <c r="K29" s="28">
        <f>Input!$W$23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ROUND((D29*Input!$C$23),2)</f>
        <v>0</v>
      </c>
      <c r="P29" s="28">
        <f>ROUND((D29*Input!$Q$23),2)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3">
      <c r="A30" s="69">
        <v>10</v>
      </c>
      <c r="B30" s="69"/>
      <c r="D30" s="51">
        <v>15000</v>
      </c>
      <c r="E30" s="28">
        <f>Input!$H$23</f>
        <v>0</v>
      </c>
      <c r="F30" s="28">
        <f>Input!$V$23</f>
        <v>0</v>
      </c>
      <c r="G30" s="58">
        <f t="shared" si="2"/>
        <v>0</v>
      </c>
      <c r="H30" s="29">
        <f t="shared" si="3"/>
        <v>0</v>
      </c>
      <c r="I30" s="29"/>
      <c r="J30" s="28">
        <f>Input!$I$23</f>
        <v>0</v>
      </c>
      <c r="K30" s="28">
        <f>Input!$W$23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ROUND((D30*Input!$C$23),2)</f>
        <v>0</v>
      </c>
      <c r="P30" s="28">
        <f>ROUND((D30*Input!$Q$23),2)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3">
      <c r="A31" s="69">
        <v>11</v>
      </c>
      <c r="D31" s="51">
        <v>20000</v>
      </c>
      <c r="E31" s="28">
        <f>Input!$H$23</f>
        <v>0</v>
      </c>
      <c r="F31" s="28">
        <f>Input!$V$23</f>
        <v>0</v>
      </c>
      <c r="G31" s="58">
        <f t="shared" si="2"/>
        <v>0</v>
      </c>
      <c r="H31" s="29">
        <f t="shared" si="3"/>
        <v>0</v>
      </c>
      <c r="I31" s="29"/>
      <c r="J31" s="28">
        <f>Input!$I$23</f>
        <v>0</v>
      </c>
      <c r="K31" s="28">
        <f>Input!$W$23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ROUND((D31*Input!$C$23),2)</f>
        <v>0</v>
      </c>
      <c r="P31" s="28">
        <f>ROUND((D31*Input!$Q$23),2)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3">
      <c r="A32" s="69">
        <v>12</v>
      </c>
      <c r="D32" s="51">
        <v>25000</v>
      </c>
      <c r="E32" s="28">
        <f>Input!$H$23</f>
        <v>0</v>
      </c>
      <c r="F32" s="28">
        <f>Input!$V$23</f>
        <v>0</v>
      </c>
      <c r="G32" s="58">
        <f t="shared" si="2"/>
        <v>0</v>
      </c>
      <c r="H32" s="29">
        <f t="shared" si="3"/>
        <v>0</v>
      </c>
      <c r="I32" s="29"/>
      <c r="J32" s="28">
        <f>Input!$I$23</f>
        <v>0</v>
      </c>
      <c r="K32" s="28">
        <f>Input!$W$23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ROUND((D32*Input!$C$23),2)</f>
        <v>0</v>
      </c>
      <c r="P32" s="28">
        <f>ROUND((D32*Input!$Q$23),2)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3">
      <c r="A33" s="69">
        <v>13</v>
      </c>
      <c r="D33" s="51">
        <v>30000</v>
      </c>
      <c r="E33" s="28">
        <f>Input!$H$23</f>
        <v>0</v>
      </c>
      <c r="F33" s="28">
        <f>Input!$V$23</f>
        <v>0</v>
      </c>
      <c r="G33" s="58">
        <f t="shared" si="2"/>
        <v>0</v>
      </c>
      <c r="H33" s="29">
        <f t="shared" si="3"/>
        <v>0</v>
      </c>
      <c r="I33" s="29"/>
      <c r="J33" s="28">
        <f>Input!$I$23</f>
        <v>0</v>
      </c>
      <c r="K33" s="28">
        <f>Input!$W$23</f>
        <v>0</v>
      </c>
      <c r="L33" s="28">
        <f t="shared" si="4"/>
        <v>0</v>
      </c>
      <c r="M33" s="29">
        <f t="shared" si="5"/>
        <v>0</v>
      </c>
      <c r="N33" s="31"/>
      <c r="O33" s="28">
        <f>ROUND((D33*Input!$C$23),2)</f>
        <v>0</v>
      </c>
      <c r="P33" s="28">
        <f>ROUND((D33*Input!$Q$23),2)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3">
      <c r="A34" s="69">
        <v>14</v>
      </c>
      <c r="D34" s="51">
        <v>35000</v>
      </c>
      <c r="E34" s="28">
        <f>Input!$H$23</f>
        <v>0</v>
      </c>
      <c r="F34" s="28">
        <f>Input!$V$23</f>
        <v>0</v>
      </c>
      <c r="G34" s="58">
        <f t="shared" si="2"/>
        <v>0</v>
      </c>
      <c r="H34" s="29">
        <f t="shared" si="3"/>
        <v>0</v>
      </c>
      <c r="I34" s="29"/>
      <c r="J34" s="28">
        <f>Input!$I$23</f>
        <v>0</v>
      </c>
      <c r="K34" s="28">
        <f>Input!$W$23</f>
        <v>0</v>
      </c>
      <c r="L34" s="28">
        <f t="shared" si="4"/>
        <v>0</v>
      </c>
      <c r="M34" s="29">
        <f t="shared" si="5"/>
        <v>0</v>
      </c>
      <c r="N34" s="31"/>
      <c r="O34" s="28">
        <f>ROUND((D34*Input!$C$23),2)</f>
        <v>0</v>
      </c>
      <c r="P34" s="28">
        <f>ROUND((D34*Input!$Q$23),2)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3">
      <c r="A35" s="69">
        <v>15</v>
      </c>
      <c r="D35" s="51">
        <v>40000</v>
      </c>
      <c r="E35" s="28">
        <f>Input!$H$23</f>
        <v>0</v>
      </c>
      <c r="F35" s="28">
        <f>Input!$V$23</f>
        <v>0</v>
      </c>
      <c r="G35" s="58">
        <f t="shared" si="2"/>
        <v>0</v>
      </c>
      <c r="H35" s="29">
        <f t="shared" si="3"/>
        <v>0</v>
      </c>
      <c r="I35" s="29"/>
      <c r="J35" s="28">
        <f>Input!$I$23</f>
        <v>0</v>
      </c>
      <c r="K35" s="28">
        <f>Input!$W$23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ROUND((D35*Input!$C$23),2)</f>
        <v>0</v>
      </c>
      <c r="P35" s="28">
        <f>ROUND((D35*Input!$Q$23),2)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3">
      <c r="A36" s="69"/>
      <c r="D36" s="32"/>
      <c r="E36" s="31"/>
      <c r="F36" s="31"/>
      <c r="G36" s="28"/>
      <c r="H36" s="30"/>
      <c r="I36" s="30"/>
      <c r="J36" s="30"/>
      <c r="K36" s="30"/>
      <c r="L36" s="30"/>
      <c r="M36" s="30"/>
      <c r="N36" s="31"/>
      <c r="O36" s="42"/>
      <c r="P36" s="31"/>
      <c r="Q36" s="28"/>
      <c r="R36" s="30"/>
      <c r="S36" s="28"/>
      <c r="T36" s="28"/>
      <c r="U36" s="29"/>
      <c r="V36" s="31"/>
    </row>
    <row r="37" spans="1:30" x14ac:dyDescent="0.3">
      <c r="A37" s="69"/>
      <c r="B37" s="8" t="s">
        <v>98</v>
      </c>
      <c r="D37" s="52">
        <f>ROUND(Input!AS23,0)</f>
        <v>0</v>
      </c>
      <c r="E37" s="69"/>
      <c r="F37" s="69"/>
      <c r="G37" s="34"/>
      <c r="H37" s="35"/>
      <c r="I37" s="35"/>
      <c r="J37" s="35"/>
      <c r="K37" s="35"/>
      <c r="L37" s="35"/>
      <c r="M37" s="35"/>
      <c r="N37" s="69"/>
      <c r="O37" s="69"/>
      <c r="P37" s="69"/>
      <c r="Q37" s="34"/>
      <c r="R37" s="35"/>
      <c r="S37" s="34"/>
      <c r="T37" s="34"/>
      <c r="U37" s="41"/>
    </row>
    <row r="38" spans="1:30" x14ac:dyDescent="0.3">
      <c r="A38" s="69"/>
      <c r="C38" s="8" t="s">
        <v>150</v>
      </c>
    </row>
    <row r="39" spans="1:30" x14ac:dyDescent="0.3">
      <c r="A39" s="69"/>
    </row>
    <row r="40" spans="1:30" x14ac:dyDescent="0.3">
      <c r="A40" s="69"/>
    </row>
    <row r="41" spans="1:30" x14ac:dyDescent="0.3">
      <c r="A41" s="69"/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2"/>
  <sheetViews>
    <sheetView zoomScaleNormal="100" workbookViewId="0">
      <selection sqref="A1:U1"/>
    </sheetView>
  </sheetViews>
  <sheetFormatPr defaultColWidth="9.296875" defaultRowHeight="13" x14ac:dyDescent="0.3"/>
  <cols>
    <col min="1" max="1" width="4.3984375" style="8" customWidth="1"/>
    <col min="2" max="2" width="10.8984375" style="8" customWidth="1"/>
    <col min="3" max="3" width="11.69921875" style="8" bestFit="1" customWidth="1"/>
    <col min="4" max="4" width="13.09765625" style="8" bestFit="1" customWidth="1"/>
    <col min="5" max="6" width="10.8984375" style="8" bestFit="1" customWidth="1"/>
    <col min="7" max="7" width="12.09765625" style="69" bestFit="1" customWidth="1"/>
    <col min="8" max="8" width="12.09765625" style="8" bestFit="1" customWidth="1"/>
    <col min="9" max="9" width="1.8984375" style="8" customWidth="1"/>
    <col min="10" max="11" width="15.69921875" style="8" bestFit="1" customWidth="1"/>
    <col min="12" max="13" width="12.09765625" style="8" bestFit="1" customWidth="1"/>
    <col min="14" max="14" width="1.8984375" style="8" customWidth="1"/>
    <col min="15" max="16" width="12.8984375" style="8" bestFit="1" customWidth="1"/>
    <col min="17" max="18" width="12.09765625" style="8" bestFit="1" customWidth="1"/>
    <col min="19" max="19" width="13.09765625" style="69" bestFit="1" customWidth="1"/>
    <col min="20" max="20" width="13" style="69" bestFit="1" customWidth="1"/>
    <col min="21" max="21" width="11.8984375" style="69" customWidth="1"/>
    <col min="22" max="22" width="9.296875" style="8"/>
    <col min="23" max="23" width="14.8984375" style="8" hidden="1" customWidth="1"/>
    <col min="24" max="24" width="10.09765625" style="8" hidden="1" customWidth="1"/>
    <col min="25" max="27" width="0" style="8" hidden="1" customWidth="1"/>
    <col min="28" max="29" width="10.09765625" style="8" hidden="1" customWidth="1"/>
    <col min="30" max="30" width="0" style="8" hidden="1" customWidth="1"/>
    <col min="31" max="16384" width="9.296875" style="8"/>
  </cols>
  <sheetData>
    <row r="1" spans="1:30" x14ac:dyDescent="0.3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30" x14ac:dyDescent="0.3">
      <c r="A2" s="89" t="str">
        <f>Input!$B$1</f>
        <v>CASE NO. 2021-00183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30" x14ac:dyDescent="0.3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x14ac:dyDescent="0.3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30" x14ac:dyDescent="0.3">
      <c r="A5" s="89" t="str">
        <f>Input!$B$5</f>
        <v>TWELVE MONTHS ENDING DECEMBER 31, 2022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0" x14ac:dyDescent="0.3">
      <c r="A6" s="69"/>
      <c r="B6" s="70"/>
      <c r="C6" s="70"/>
      <c r="D6" s="70"/>
      <c r="E6" s="70"/>
      <c r="F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30" x14ac:dyDescent="0.3">
      <c r="A7" s="69"/>
      <c r="B7" s="70"/>
      <c r="C7" s="70"/>
      <c r="D7" s="70"/>
      <c r="E7" s="70"/>
      <c r="F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30" x14ac:dyDescent="0.3">
      <c r="A8" s="8" t="s">
        <v>123</v>
      </c>
      <c r="U8" s="31" t="s">
        <v>37</v>
      </c>
    </row>
    <row r="9" spans="1:30" x14ac:dyDescent="0.3">
      <c r="A9" s="8" t="s">
        <v>124</v>
      </c>
      <c r="U9" s="31" t="s">
        <v>135</v>
      </c>
    </row>
    <row r="10" spans="1:30" x14ac:dyDescent="0.3">
      <c r="A10" s="8" t="s">
        <v>38</v>
      </c>
      <c r="U10" s="31" t="str">
        <f>Input!$B$3</f>
        <v>Witness: Judith L. Siegler</v>
      </c>
    </row>
    <row r="12" spans="1:30" x14ac:dyDescent="0.3">
      <c r="A12" s="25"/>
      <c r="B12" s="25"/>
      <c r="C12" s="25"/>
      <c r="D12" s="25"/>
      <c r="E12" s="25"/>
      <c r="F12" s="25"/>
      <c r="G12" s="7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1"/>
      <c r="T12" s="71"/>
      <c r="U12" s="71"/>
    </row>
    <row r="13" spans="1:30" x14ac:dyDescent="0.3">
      <c r="E13" s="91" t="s">
        <v>77</v>
      </c>
      <c r="F13" s="91"/>
      <c r="G13" s="91"/>
      <c r="H13" s="91"/>
      <c r="I13" s="26"/>
      <c r="J13" s="91" t="s">
        <v>119</v>
      </c>
      <c r="K13" s="91"/>
      <c r="L13" s="91"/>
      <c r="M13" s="91"/>
      <c r="N13" s="26"/>
      <c r="O13" s="91" t="s">
        <v>78</v>
      </c>
      <c r="P13" s="91"/>
      <c r="Q13" s="91"/>
      <c r="R13" s="91"/>
      <c r="W13" s="48" t="s">
        <v>144</v>
      </c>
      <c r="X13" s="17"/>
    </row>
    <row r="14" spans="1:30" x14ac:dyDescent="0.3">
      <c r="E14" s="69" t="s">
        <v>43</v>
      </c>
      <c r="F14" s="69" t="s">
        <v>44</v>
      </c>
      <c r="G14" s="69" t="s">
        <v>75</v>
      </c>
      <c r="H14" s="69" t="s">
        <v>46</v>
      </c>
      <c r="I14" s="69"/>
      <c r="J14" s="69" t="s">
        <v>43</v>
      </c>
      <c r="K14" s="69" t="s">
        <v>44</v>
      </c>
      <c r="L14" s="69" t="s">
        <v>75</v>
      </c>
      <c r="M14" s="69" t="s">
        <v>46</v>
      </c>
      <c r="Q14" s="69" t="s">
        <v>75</v>
      </c>
      <c r="R14" s="69" t="s">
        <v>46</v>
      </c>
      <c r="S14" s="69" t="s">
        <v>39</v>
      </c>
      <c r="T14" s="69" t="s">
        <v>39</v>
      </c>
      <c r="U14" s="69" t="s">
        <v>46</v>
      </c>
      <c r="AD14" s="69" t="s">
        <v>46</v>
      </c>
    </row>
    <row r="15" spans="1:30" x14ac:dyDescent="0.3">
      <c r="D15" s="69" t="s">
        <v>71</v>
      </c>
      <c r="E15" s="69" t="s">
        <v>71</v>
      </c>
      <c r="F15" s="69" t="s">
        <v>71</v>
      </c>
      <c r="G15" s="69" t="s">
        <v>45</v>
      </c>
      <c r="H15" s="69" t="s">
        <v>45</v>
      </c>
      <c r="I15" s="69"/>
      <c r="J15" s="69" t="s">
        <v>71</v>
      </c>
      <c r="K15" s="69" t="s">
        <v>71</v>
      </c>
      <c r="L15" s="69" t="s">
        <v>45</v>
      </c>
      <c r="M15" s="69" t="s">
        <v>45</v>
      </c>
      <c r="N15" s="69"/>
      <c r="O15" s="69" t="s">
        <v>43</v>
      </c>
      <c r="P15" s="69" t="s">
        <v>44</v>
      </c>
      <c r="Q15" s="69" t="s">
        <v>45</v>
      </c>
      <c r="R15" s="69" t="s">
        <v>45</v>
      </c>
      <c r="S15" s="69" t="s">
        <v>43</v>
      </c>
      <c r="T15" s="69" t="s">
        <v>44</v>
      </c>
      <c r="U15" s="69" t="s">
        <v>45</v>
      </c>
      <c r="AB15" s="69" t="s">
        <v>39</v>
      </c>
      <c r="AC15" s="69" t="s">
        <v>39</v>
      </c>
      <c r="AD15" s="69" t="s">
        <v>45</v>
      </c>
    </row>
    <row r="16" spans="1:30" x14ac:dyDescent="0.3">
      <c r="A16" s="69" t="s">
        <v>40</v>
      </c>
      <c r="B16" s="69" t="s">
        <v>41</v>
      </c>
      <c r="C16" s="69" t="s">
        <v>42</v>
      </c>
      <c r="D16" s="69" t="s">
        <v>72</v>
      </c>
      <c r="E16" s="69" t="s">
        <v>68</v>
      </c>
      <c r="F16" s="69" t="s">
        <v>68</v>
      </c>
      <c r="G16" s="69" t="s">
        <v>76</v>
      </c>
      <c r="H16" s="69" t="s">
        <v>76</v>
      </c>
      <c r="I16" s="69"/>
      <c r="J16" s="69" t="s">
        <v>109</v>
      </c>
      <c r="K16" s="69" t="s">
        <v>109</v>
      </c>
      <c r="L16" s="69" t="s">
        <v>76</v>
      </c>
      <c r="M16" s="69" t="s">
        <v>76</v>
      </c>
      <c r="N16" s="69"/>
      <c r="O16" s="69" t="s">
        <v>79</v>
      </c>
      <c r="P16" s="69" t="s">
        <v>79</v>
      </c>
      <c r="Q16" s="69" t="s">
        <v>76</v>
      </c>
      <c r="R16" s="69" t="s">
        <v>76</v>
      </c>
      <c r="S16" s="69" t="s">
        <v>49</v>
      </c>
      <c r="T16" s="69" t="s">
        <v>49</v>
      </c>
      <c r="U16" s="69" t="s">
        <v>76</v>
      </c>
      <c r="W16" s="69" t="s">
        <v>43</v>
      </c>
      <c r="X16" s="69" t="s">
        <v>44</v>
      </c>
      <c r="Y16" s="69" t="s">
        <v>76</v>
      </c>
      <c r="Z16" s="69" t="s">
        <v>76</v>
      </c>
      <c r="AA16" s="27" t="s">
        <v>139</v>
      </c>
      <c r="AB16" s="69" t="s">
        <v>43</v>
      </c>
      <c r="AC16" s="69" t="s">
        <v>44</v>
      </c>
      <c r="AD16" s="69" t="s">
        <v>76</v>
      </c>
    </row>
    <row r="17" spans="1:30" x14ac:dyDescent="0.3">
      <c r="A17" s="69" t="s">
        <v>47</v>
      </c>
      <c r="B17" s="69" t="s">
        <v>48</v>
      </c>
      <c r="C17" s="69" t="s">
        <v>15</v>
      </c>
      <c r="D17" s="69" t="s">
        <v>73</v>
      </c>
      <c r="E17" s="69" t="s">
        <v>74</v>
      </c>
      <c r="F17" s="69" t="s">
        <v>74</v>
      </c>
      <c r="G17" s="27" t="s">
        <v>50</v>
      </c>
      <c r="H17" s="27" t="s">
        <v>51</v>
      </c>
      <c r="I17" s="27"/>
      <c r="J17" s="69" t="s">
        <v>74</v>
      </c>
      <c r="K17" s="69" t="s">
        <v>74</v>
      </c>
      <c r="L17" s="27" t="s">
        <v>80</v>
      </c>
      <c r="M17" s="27" t="s">
        <v>81</v>
      </c>
      <c r="N17" s="27"/>
      <c r="O17" s="69" t="s">
        <v>74</v>
      </c>
      <c r="P17" s="69" t="s">
        <v>74</v>
      </c>
      <c r="Q17" s="27" t="s">
        <v>114</v>
      </c>
      <c r="R17" s="27" t="s">
        <v>115</v>
      </c>
      <c r="S17" s="27" t="s">
        <v>116</v>
      </c>
      <c r="T17" s="27" t="s">
        <v>117</v>
      </c>
      <c r="U17" s="27" t="s">
        <v>118</v>
      </c>
      <c r="W17" s="69" t="s">
        <v>49</v>
      </c>
      <c r="X17" s="69" t="s">
        <v>49</v>
      </c>
      <c r="Y17" s="27" t="s">
        <v>50</v>
      </c>
      <c r="Z17" s="27" t="s">
        <v>51</v>
      </c>
      <c r="AA17" s="27" t="s">
        <v>142</v>
      </c>
      <c r="AB17" s="69" t="s">
        <v>49</v>
      </c>
      <c r="AC17" s="69" t="s">
        <v>49</v>
      </c>
      <c r="AD17" s="27" t="s">
        <v>143</v>
      </c>
    </row>
    <row r="18" spans="1:30" x14ac:dyDescent="0.3">
      <c r="D18" s="27" t="s">
        <v>52</v>
      </c>
      <c r="E18" s="27" t="s">
        <v>53</v>
      </c>
      <c r="F18" s="27" t="s">
        <v>53</v>
      </c>
      <c r="G18" s="27" t="s">
        <v>53</v>
      </c>
      <c r="H18" s="27" t="s">
        <v>54</v>
      </c>
      <c r="I18" s="27"/>
      <c r="J18" s="27" t="s">
        <v>53</v>
      </c>
      <c r="K18" s="27" t="s">
        <v>53</v>
      </c>
      <c r="L18" s="27" t="s">
        <v>53</v>
      </c>
      <c r="M18" s="27" t="s">
        <v>54</v>
      </c>
      <c r="N18" s="27"/>
      <c r="O18" s="27" t="s">
        <v>53</v>
      </c>
      <c r="P18" s="27" t="s">
        <v>53</v>
      </c>
      <c r="Q18" s="27" t="s">
        <v>53</v>
      </c>
      <c r="R18" s="27" t="s">
        <v>54</v>
      </c>
      <c r="S18" s="27" t="s">
        <v>53</v>
      </c>
      <c r="T18" s="27" t="s">
        <v>53</v>
      </c>
      <c r="U18" s="27" t="s">
        <v>54</v>
      </c>
      <c r="W18" s="27" t="s">
        <v>53</v>
      </c>
      <c r="X18" s="27" t="s">
        <v>53</v>
      </c>
      <c r="Y18" s="27" t="s">
        <v>53</v>
      </c>
      <c r="Z18" s="27" t="s">
        <v>54</v>
      </c>
      <c r="AA18" s="27" t="s">
        <v>53</v>
      </c>
      <c r="AB18" s="27" t="s">
        <v>53</v>
      </c>
      <c r="AC18" s="27" t="s">
        <v>53</v>
      </c>
      <c r="AD18" s="27" t="s">
        <v>54</v>
      </c>
    </row>
    <row r="19" spans="1:30" x14ac:dyDescent="0.3">
      <c r="C19" s="27" t="s">
        <v>55</v>
      </c>
      <c r="D19" s="27" t="s">
        <v>56</v>
      </c>
      <c r="E19" s="27" t="s">
        <v>57</v>
      </c>
      <c r="F19" s="27" t="s">
        <v>58</v>
      </c>
      <c r="G19" s="27" t="s">
        <v>59</v>
      </c>
      <c r="H19" s="27" t="s">
        <v>60</v>
      </c>
      <c r="I19" s="27"/>
      <c r="J19" s="27" t="s">
        <v>61</v>
      </c>
      <c r="K19" s="27" t="s">
        <v>62</v>
      </c>
      <c r="L19" s="27" t="s">
        <v>63</v>
      </c>
      <c r="M19" s="27" t="s">
        <v>64</v>
      </c>
      <c r="N19" s="27"/>
      <c r="O19" s="27" t="s">
        <v>82</v>
      </c>
      <c r="P19" s="27" t="s">
        <v>83</v>
      </c>
      <c r="Q19" s="27" t="s">
        <v>84</v>
      </c>
      <c r="R19" s="27" t="s">
        <v>110</v>
      </c>
      <c r="S19" s="27" t="s">
        <v>111</v>
      </c>
      <c r="T19" s="27" t="s">
        <v>112</v>
      </c>
      <c r="U19" s="27" t="s">
        <v>113</v>
      </c>
      <c r="W19" s="27" t="s">
        <v>57</v>
      </c>
      <c r="X19" s="27" t="s">
        <v>58</v>
      </c>
      <c r="Y19" s="27" t="s">
        <v>59</v>
      </c>
      <c r="Z19" s="27" t="s">
        <v>60</v>
      </c>
      <c r="AA19" s="27" t="s">
        <v>61</v>
      </c>
      <c r="AB19" s="27" t="s">
        <v>62</v>
      </c>
      <c r="AC19" s="27" t="s">
        <v>63</v>
      </c>
      <c r="AD19" s="27" t="s">
        <v>64</v>
      </c>
    </row>
    <row r="20" spans="1:30" x14ac:dyDescent="0.3">
      <c r="D20" s="69"/>
      <c r="E20" s="69"/>
      <c r="F20" s="69"/>
      <c r="H20" s="69"/>
      <c r="I20" s="69"/>
      <c r="J20" s="69"/>
      <c r="K20" s="69"/>
      <c r="L20" s="69"/>
      <c r="M20" s="69"/>
      <c r="N20" s="69"/>
      <c r="O20" s="69"/>
      <c r="P20" s="27"/>
      <c r="Q20" s="27"/>
      <c r="R20" s="27"/>
    </row>
    <row r="21" spans="1:30" x14ac:dyDescent="0.3">
      <c r="A21" s="69">
        <v>1</v>
      </c>
      <c r="B21" s="69" t="s">
        <v>33</v>
      </c>
      <c r="C21" s="69" t="s">
        <v>65</v>
      </c>
      <c r="D21" s="51">
        <v>100</v>
      </c>
      <c r="E21" s="28">
        <f>Input!$H$24</f>
        <v>255.9</v>
      </c>
      <c r="F21" s="28">
        <f>Input!$V$24</f>
        <v>255.9</v>
      </c>
      <c r="G21" s="28">
        <f>F21-E21</f>
        <v>0</v>
      </c>
      <c r="H21" s="29">
        <f>ROUND(G21/E21,3)</f>
        <v>0</v>
      </c>
      <c r="I21" s="29"/>
      <c r="J21" s="28">
        <f>Input!$I$24</f>
        <v>0</v>
      </c>
      <c r="K21" s="28">
        <f>Input!$W$24</f>
        <v>0</v>
      </c>
      <c r="L21" s="28">
        <f>K21-J21</f>
        <v>0</v>
      </c>
      <c r="M21" s="29">
        <f>IF(J21=0,0,ROUND(L21/J21,3))</f>
        <v>0</v>
      </c>
      <c r="N21" s="30"/>
      <c r="O21" s="28">
        <f>ROUND((D21*Input!$C$24),2)</f>
        <v>8.58</v>
      </c>
      <c r="P21" s="28">
        <f>ROUND((D21*Input!$Q$24),2)</f>
        <v>8.58</v>
      </c>
      <c r="Q21" s="28">
        <f>P21-O21</f>
        <v>0</v>
      </c>
      <c r="R21" s="29">
        <f>ROUND(Q21/O21,3)</f>
        <v>0</v>
      </c>
      <c r="S21" s="28">
        <f>E21+J21+O21</f>
        <v>264.48</v>
      </c>
      <c r="T21" s="28">
        <f>F21+K21+P21</f>
        <v>264.48</v>
      </c>
      <c r="U21" s="29">
        <f>ROUND((T21-S21)/S21,3)</f>
        <v>0</v>
      </c>
      <c r="V21" s="31"/>
      <c r="W21" s="47">
        <f t="shared" ref="W21:W37" si="0">E21+J21+O21</f>
        <v>264.48</v>
      </c>
      <c r="X21" s="47">
        <f t="shared" ref="X21:X37" si="1">F21+K21+P21</f>
        <v>264.48</v>
      </c>
      <c r="Y21" s="47">
        <f>X21-W21</f>
        <v>0</v>
      </c>
      <c r="Z21" s="29">
        <f>(X21-W21)/W21</f>
        <v>0</v>
      </c>
      <c r="AA21" s="47">
        <v>0</v>
      </c>
      <c r="AB21" s="47">
        <f>W21+AA21</f>
        <v>264.48</v>
      </c>
      <c r="AC21" s="47">
        <f>X21+AA21</f>
        <v>264.48</v>
      </c>
      <c r="AD21" s="29">
        <f>(AC21-AB21)/AB21</f>
        <v>0</v>
      </c>
    </row>
    <row r="22" spans="1:30" x14ac:dyDescent="0.3">
      <c r="A22" s="69">
        <v>2</v>
      </c>
      <c r="B22" s="69" t="s">
        <v>69</v>
      </c>
      <c r="C22" s="69" t="s">
        <v>67</v>
      </c>
      <c r="D22" s="51">
        <v>200</v>
      </c>
      <c r="E22" s="28">
        <f>Input!$H$24</f>
        <v>255.9</v>
      </c>
      <c r="F22" s="28">
        <f>Input!$V$24</f>
        <v>255.9</v>
      </c>
      <c r="G22" s="28">
        <f t="shared" ref="G22:G34" si="2">F22-E22</f>
        <v>0</v>
      </c>
      <c r="H22" s="29">
        <f t="shared" ref="H22:H37" si="3">ROUND(G22/E22,3)</f>
        <v>0</v>
      </c>
      <c r="I22" s="29"/>
      <c r="J22" s="28">
        <f>Input!$I$24</f>
        <v>0</v>
      </c>
      <c r="K22" s="28">
        <f>Input!$W$24</f>
        <v>0</v>
      </c>
      <c r="L22" s="28">
        <f t="shared" ref="L22:L37" si="4">K22-J22</f>
        <v>0</v>
      </c>
      <c r="M22" s="29">
        <f t="shared" ref="M22:M37" si="5">IF(J22=0,0,ROUND(L22/J22,3))</f>
        <v>0</v>
      </c>
      <c r="N22" s="30"/>
      <c r="O22" s="28">
        <f>ROUND((D22*Input!$C$24),2)</f>
        <v>17.16</v>
      </c>
      <c r="P22" s="28">
        <f>ROUND((D22*Input!$Q$24),2)</f>
        <v>17.16</v>
      </c>
      <c r="Q22" s="28">
        <f t="shared" ref="Q22:Q34" si="6">P22-O22</f>
        <v>0</v>
      </c>
      <c r="R22" s="29">
        <f t="shared" ref="R22:R37" si="7">ROUND(Q22/O22,3)</f>
        <v>0</v>
      </c>
      <c r="S22" s="28">
        <f t="shared" ref="S22:S37" si="8">E22+J22+O22</f>
        <v>273.06</v>
      </c>
      <c r="T22" s="28">
        <f t="shared" ref="T22:T37" si="9">F22+K22+P22</f>
        <v>273.06</v>
      </c>
      <c r="U22" s="29">
        <f t="shared" ref="U22:U37" si="10">ROUND((T22-S22)/S22,3)</f>
        <v>0</v>
      </c>
      <c r="V22" s="31"/>
      <c r="W22" s="47">
        <f t="shared" si="0"/>
        <v>273.06</v>
      </c>
      <c r="X22" s="47">
        <f t="shared" si="1"/>
        <v>273.06</v>
      </c>
      <c r="Y22" s="47">
        <f t="shared" ref="Y22:Y35" si="11">X22-W22</f>
        <v>0</v>
      </c>
      <c r="Z22" s="29">
        <f t="shared" ref="Z22:Z35" si="12">(X22-W22)/W22</f>
        <v>0</v>
      </c>
      <c r="AA22" s="47">
        <v>0</v>
      </c>
      <c r="AB22" s="47">
        <f t="shared" ref="AB22:AB35" si="13">W22+AA22</f>
        <v>273.06</v>
      </c>
      <c r="AC22" s="47">
        <f t="shared" ref="AC22:AC35" si="14">X22+AA22</f>
        <v>273.06</v>
      </c>
      <c r="AD22" s="29">
        <f t="shared" ref="AD22:AD35" si="15">(AC22-AB22)/AB22</f>
        <v>0</v>
      </c>
    </row>
    <row r="23" spans="1:30" x14ac:dyDescent="0.3">
      <c r="A23" s="69">
        <v>3</v>
      </c>
      <c r="B23" s="69" t="s">
        <v>94</v>
      </c>
      <c r="D23" s="51">
        <v>500</v>
      </c>
      <c r="E23" s="28">
        <f>Input!$H$24</f>
        <v>255.9</v>
      </c>
      <c r="F23" s="28">
        <f>Input!$V$24</f>
        <v>255.9</v>
      </c>
      <c r="G23" s="28">
        <f t="shared" si="2"/>
        <v>0</v>
      </c>
      <c r="H23" s="29">
        <f t="shared" si="3"/>
        <v>0</v>
      </c>
      <c r="I23" s="29"/>
      <c r="J23" s="28">
        <f>Input!$I$24</f>
        <v>0</v>
      </c>
      <c r="K23" s="28">
        <f>Input!$W$24</f>
        <v>0</v>
      </c>
      <c r="L23" s="28">
        <f t="shared" si="4"/>
        <v>0</v>
      </c>
      <c r="M23" s="29">
        <f t="shared" si="5"/>
        <v>0</v>
      </c>
      <c r="N23" s="30"/>
      <c r="O23" s="28">
        <f>ROUND((D23*Input!$C$24),2)</f>
        <v>42.9</v>
      </c>
      <c r="P23" s="28">
        <f>ROUND((D23*Input!$Q$24),2)</f>
        <v>42.9</v>
      </c>
      <c r="Q23" s="28">
        <f t="shared" si="6"/>
        <v>0</v>
      </c>
      <c r="R23" s="29">
        <f t="shared" si="7"/>
        <v>0</v>
      </c>
      <c r="S23" s="28">
        <f t="shared" si="8"/>
        <v>298.8</v>
      </c>
      <c r="T23" s="28">
        <f t="shared" si="9"/>
        <v>298.8</v>
      </c>
      <c r="U23" s="29">
        <f t="shared" si="10"/>
        <v>0</v>
      </c>
      <c r="V23" s="31"/>
      <c r="W23" s="47">
        <f t="shared" si="0"/>
        <v>298.8</v>
      </c>
      <c r="X23" s="47">
        <f t="shared" si="1"/>
        <v>298.8</v>
      </c>
      <c r="Y23" s="47">
        <f t="shared" si="11"/>
        <v>0</v>
      </c>
      <c r="Z23" s="29">
        <f t="shared" si="12"/>
        <v>0</v>
      </c>
      <c r="AA23" s="47">
        <v>0</v>
      </c>
      <c r="AB23" s="47">
        <f t="shared" si="13"/>
        <v>298.8</v>
      </c>
      <c r="AC23" s="47">
        <f t="shared" si="14"/>
        <v>298.8</v>
      </c>
      <c r="AD23" s="29">
        <f t="shared" si="15"/>
        <v>0</v>
      </c>
    </row>
    <row r="24" spans="1:30" x14ac:dyDescent="0.3">
      <c r="A24" s="69">
        <v>4</v>
      </c>
      <c r="B24" s="69" t="s">
        <v>41</v>
      </c>
      <c r="D24" s="51">
        <v>1000</v>
      </c>
      <c r="E24" s="28">
        <f>Input!$H$24</f>
        <v>255.9</v>
      </c>
      <c r="F24" s="28">
        <f>Input!$V$24</f>
        <v>255.9</v>
      </c>
      <c r="G24" s="28">
        <f t="shared" si="2"/>
        <v>0</v>
      </c>
      <c r="H24" s="29">
        <f t="shared" si="3"/>
        <v>0</v>
      </c>
      <c r="I24" s="29"/>
      <c r="J24" s="28">
        <f>Input!$I$24</f>
        <v>0</v>
      </c>
      <c r="K24" s="28">
        <f>Input!$W$24</f>
        <v>0</v>
      </c>
      <c r="L24" s="28">
        <f t="shared" si="4"/>
        <v>0</v>
      </c>
      <c r="M24" s="29">
        <f t="shared" si="5"/>
        <v>0</v>
      </c>
      <c r="N24" s="30"/>
      <c r="O24" s="28">
        <f>ROUND((D24*Input!$C$24),2)</f>
        <v>85.8</v>
      </c>
      <c r="P24" s="28">
        <f>ROUND((D24*Input!$Q$24),2)</f>
        <v>85.8</v>
      </c>
      <c r="Q24" s="28">
        <f t="shared" si="6"/>
        <v>0</v>
      </c>
      <c r="R24" s="29">
        <f t="shared" si="7"/>
        <v>0</v>
      </c>
      <c r="S24" s="28">
        <f t="shared" si="8"/>
        <v>341.7</v>
      </c>
      <c r="T24" s="28">
        <f t="shared" si="9"/>
        <v>341.7</v>
      </c>
      <c r="U24" s="29">
        <f t="shared" si="10"/>
        <v>0</v>
      </c>
      <c r="V24" s="31"/>
      <c r="W24" s="47">
        <f t="shared" si="0"/>
        <v>341.7</v>
      </c>
      <c r="X24" s="47">
        <f t="shared" si="1"/>
        <v>341.7</v>
      </c>
      <c r="Y24" s="47">
        <f t="shared" si="11"/>
        <v>0</v>
      </c>
      <c r="Z24" s="29">
        <f t="shared" si="12"/>
        <v>0</v>
      </c>
      <c r="AA24" s="47">
        <v>0</v>
      </c>
      <c r="AB24" s="47">
        <f t="shared" si="13"/>
        <v>341.7</v>
      </c>
      <c r="AC24" s="47">
        <f t="shared" si="14"/>
        <v>341.7</v>
      </c>
      <c r="AD24" s="29">
        <f t="shared" si="15"/>
        <v>0</v>
      </c>
    </row>
    <row r="25" spans="1:30" x14ac:dyDescent="0.3">
      <c r="A25" s="69">
        <v>5</v>
      </c>
      <c r="B25" s="69" t="s">
        <v>88</v>
      </c>
      <c r="D25" s="51">
        <v>5000</v>
      </c>
      <c r="E25" s="28">
        <f>Input!$H$24</f>
        <v>255.9</v>
      </c>
      <c r="F25" s="28">
        <f>Input!$V$24</f>
        <v>255.9</v>
      </c>
      <c r="G25" s="28">
        <f t="shared" si="2"/>
        <v>0</v>
      </c>
      <c r="H25" s="29">
        <f t="shared" si="3"/>
        <v>0</v>
      </c>
      <c r="I25" s="29"/>
      <c r="J25" s="28">
        <f>Input!$I$24</f>
        <v>0</v>
      </c>
      <c r="K25" s="28">
        <f>Input!$W$24</f>
        <v>0</v>
      </c>
      <c r="L25" s="28">
        <f t="shared" si="4"/>
        <v>0</v>
      </c>
      <c r="M25" s="29">
        <f t="shared" si="5"/>
        <v>0</v>
      </c>
      <c r="N25" s="30"/>
      <c r="O25" s="28">
        <f>ROUND((D25*Input!$C$24),2)</f>
        <v>429</v>
      </c>
      <c r="P25" s="28">
        <f>ROUND((D25*Input!$Q$24),2)</f>
        <v>429</v>
      </c>
      <c r="Q25" s="28">
        <f t="shared" si="6"/>
        <v>0</v>
      </c>
      <c r="R25" s="29">
        <f t="shared" si="7"/>
        <v>0</v>
      </c>
      <c r="S25" s="28">
        <f t="shared" si="8"/>
        <v>684.9</v>
      </c>
      <c r="T25" s="28">
        <f t="shared" si="9"/>
        <v>684.9</v>
      </c>
      <c r="U25" s="29">
        <f t="shared" si="10"/>
        <v>0</v>
      </c>
      <c r="V25" s="31"/>
      <c r="W25" s="47">
        <f t="shared" si="0"/>
        <v>684.9</v>
      </c>
      <c r="X25" s="47">
        <f t="shared" si="1"/>
        <v>684.9</v>
      </c>
      <c r="Y25" s="47">
        <f t="shared" si="11"/>
        <v>0</v>
      </c>
      <c r="Z25" s="29">
        <f t="shared" si="12"/>
        <v>0</v>
      </c>
      <c r="AA25" s="47">
        <v>0</v>
      </c>
      <c r="AB25" s="47">
        <f t="shared" si="13"/>
        <v>684.9</v>
      </c>
      <c r="AC25" s="47">
        <f t="shared" si="14"/>
        <v>684.9</v>
      </c>
      <c r="AD25" s="29">
        <f t="shared" si="15"/>
        <v>0</v>
      </c>
    </row>
    <row r="26" spans="1:30" x14ac:dyDescent="0.3">
      <c r="A26" s="69">
        <v>6</v>
      </c>
      <c r="D26" s="51">
        <v>10000</v>
      </c>
      <c r="E26" s="28">
        <f>Input!$H$24</f>
        <v>255.9</v>
      </c>
      <c r="F26" s="28">
        <f>Input!$V$24</f>
        <v>255.9</v>
      </c>
      <c r="G26" s="28">
        <f t="shared" si="2"/>
        <v>0</v>
      </c>
      <c r="H26" s="29">
        <f t="shared" si="3"/>
        <v>0</v>
      </c>
      <c r="I26" s="29"/>
      <c r="J26" s="28">
        <f>Input!$I$24</f>
        <v>0</v>
      </c>
      <c r="K26" s="28">
        <f>Input!$W$24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ROUND((D26*Input!$C$24),2)</f>
        <v>858</v>
      </c>
      <c r="P26" s="28">
        <f>ROUND((D26*Input!$Q$24),2)</f>
        <v>858</v>
      </c>
      <c r="Q26" s="28">
        <f t="shared" si="6"/>
        <v>0</v>
      </c>
      <c r="R26" s="29">
        <f t="shared" si="7"/>
        <v>0</v>
      </c>
      <c r="S26" s="28">
        <f t="shared" si="8"/>
        <v>1113.9000000000001</v>
      </c>
      <c r="T26" s="28">
        <f t="shared" si="9"/>
        <v>1113.9000000000001</v>
      </c>
      <c r="U26" s="29">
        <f t="shared" si="10"/>
        <v>0</v>
      </c>
      <c r="V26" s="31"/>
      <c r="W26" s="47">
        <f t="shared" si="0"/>
        <v>1113.9000000000001</v>
      </c>
      <c r="X26" s="47">
        <f t="shared" si="1"/>
        <v>1113.9000000000001</v>
      </c>
      <c r="Y26" s="47">
        <f t="shared" si="11"/>
        <v>0</v>
      </c>
      <c r="Z26" s="29">
        <f t="shared" si="12"/>
        <v>0</v>
      </c>
      <c r="AA26" s="47">
        <v>0</v>
      </c>
      <c r="AB26" s="47">
        <f t="shared" si="13"/>
        <v>1113.9000000000001</v>
      </c>
      <c r="AC26" s="47">
        <f t="shared" si="14"/>
        <v>1113.9000000000001</v>
      </c>
      <c r="AD26" s="29">
        <f t="shared" si="15"/>
        <v>0</v>
      </c>
    </row>
    <row r="27" spans="1:30" x14ac:dyDescent="0.3">
      <c r="A27" s="69">
        <v>7</v>
      </c>
      <c r="D27" s="51">
        <v>15000</v>
      </c>
      <c r="E27" s="28">
        <f>Input!$H$24</f>
        <v>255.9</v>
      </c>
      <c r="F27" s="28">
        <f>Input!$V$24</f>
        <v>255.9</v>
      </c>
      <c r="G27" s="28">
        <f t="shared" si="2"/>
        <v>0</v>
      </c>
      <c r="H27" s="29">
        <f t="shared" si="3"/>
        <v>0</v>
      </c>
      <c r="I27" s="29"/>
      <c r="J27" s="28">
        <f>Input!$I$24</f>
        <v>0</v>
      </c>
      <c r="K27" s="28">
        <f>Input!$W$24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ROUND((D27*Input!$C$24),2)</f>
        <v>1287</v>
      </c>
      <c r="P27" s="28">
        <f>ROUND((D27*Input!$Q$24),2)</f>
        <v>1287</v>
      </c>
      <c r="Q27" s="28">
        <f t="shared" si="6"/>
        <v>0</v>
      </c>
      <c r="R27" s="29">
        <f t="shared" si="7"/>
        <v>0</v>
      </c>
      <c r="S27" s="28">
        <f t="shared" si="8"/>
        <v>1542.9</v>
      </c>
      <c r="T27" s="28">
        <f t="shared" si="9"/>
        <v>1542.9</v>
      </c>
      <c r="U27" s="29">
        <f t="shared" si="10"/>
        <v>0</v>
      </c>
      <c r="V27" s="31"/>
      <c r="W27" s="47">
        <f t="shared" si="0"/>
        <v>1542.9</v>
      </c>
      <c r="X27" s="47">
        <f t="shared" si="1"/>
        <v>1542.9</v>
      </c>
      <c r="Y27" s="47">
        <f t="shared" si="11"/>
        <v>0</v>
      </c>
      <c r="Z27" s="29">
        <f t="shared" si="12"/>
        <v>0</v>
      </c>
      <c r="AA27" s="47">
        <v>0</v>
      </c>
      <c r="AB27" s="47">
        <f t="shared" si="13"/>
        <v>1542.9</v>
      </c>
      <c r="AC27" s="47">
        <f t="shared" si="14"/>
        <v>1542.9</v>
      </c>
      <c r="AD27" s="29">
        <f t="shared" si="15"/>
        <v>0</v>
      </c>
    </row>
    <row r="28" spans="1:30" x14ac:dyDescent="0.3">
      <c r="A28" s="69">
        <v>8</v>
      </c>
      <c r="B28" s="69"/>
      <c r="D28" s="51">
        <v>20000</v>
      </c>
      <c r="E28" s="28">
        <f>Input!$H$24</f>
        <v>255.9</v>
      </c>
      <c r="F28" s="28">
        <f>Input!$V$24</f>
        <v>255.9</v>
      </c>
      <c r="G28" s="28">
        <f t="shared" si="2"/>
        <v>0</v>
      </c>
      <c r="H28" s="29">
        <f t="shared" si="3"/>
        <v>0</v>
      </c>
      <c r="I28" s="29"/>
      <c r="J28" s="28">
        <f>Input!$I$24</f>
        <v>0</v>
      </c>
      <c r="K28" s="28">
        <f>Input!$W$24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ROUND((D28*Input!$C$24),2)</f>
        <v>1716</v>
      </c>
      <c r="P28" s="28">
        <f>ROUND((D28*Input!$Q$24),2)</f>
        <v>1716</v>
      </c>
      <c r="Q28" s="28">
        <f t="shared" si="6"/>
        <v>0</v>
      </c>
      <c r="R28" s="29">
        <f t="shared" si="7"/>
        <v>0</v>
      </c>
      <c r="S28" s="28">
        <f t="shared" si="8"/>
        <v>1971.9</v>
      </c>
      <c r="T28" s="28">
        <f t="shared" si="9"/>
        <v>1971.9</v>
      </c>
      <c r="U28" s="29">
        <f t="shared" si="10"/>
        <v>0</v>
      </c>
      <c r="V28" s="31"/>
      <c r="W28" s="47">
        <f t="shared" si="0"/>
        <v>1971.9</v>
      </c>
      <c r="X28" s="47">
        <f t="shared" si="1"/>
        <v>1971.9</v>
      </c>
      <c r="Y28" s="47">
        <f t="shared" si="11"/>
        <v>0</v>
      </c>
      <c r="Z28" s="29">
        <f t="shared" si="12"/>
        <v>0</v>
      </c>
      <c r="AA28" s="47">
        <v>0</v>
      </c>
      <c r="AB28" s="47">
        <f t="shared" si="13"/>
        <v>1971.9</v>
      </c>
      <c r="AC28" s="47">
        <f t="shared" si="14"/>
        <v>1971.9</v>
      </c>
      <c r="AD28" s="29">
        <f t="shared" si="15"/>
        <v>0</v>
      </c>
    </row>
    <row r="29" spans="1:30" x14ac:dyDescent="0.3">
      <c r="A29" s="69">
        <v>9</v>
      </c>
      <c r="B29" s="69"/>
      <c r="D29" s="51">
        <v>30000</v>
      </c>
      <c r="E29" s="28">
        <f>Input!$H$24</f>
        <v>255.9</v>
      </c>
      <c r="F29" s="28">
        <f>Input!$V$24</f>
        <v>255.9</v>
      </c>
      <c r="G29" s="28">
        <f t="shared" si="2"/>
        <v>0</v>
      </c>
      <c r="H29" s="29">
        <f t="shared" si="3"/>
        <v>0</v>
      </c>
      <c r="I29" s="29"/>
      <c r="J29" s="28">
        <f>Input!$I$24</f>
        <v>0</v>
      </c>
      <c r="K29" s="28">
        <f>Input!$W$24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ROUND((D29*Input!$C$24),2)</f>
        <v>2574</v>
      </c>
      <c r="P29" s="28">
        <f>ROUND((D29*Input!$Q$24),2)</f>
        <v>2574</v>
      </c>
      <c r="Q29" s="28">
        <f t="shared" si="6"/>
        <v>0</v>
      </c>
      <c r="R29" s="29">
        <f t="shared" si="7"/>
        <v>0</v>
      </c>
      <c r="S29" s="28">
        <f t="shared" si="8"/>
        <v>2829.9</v>
      </c>
      <c r="T29" s="28">
        <f t="shared" si="9"/>
        <v>2829.9</v>
      </c>
      <c r="U29" s="29">
        <f t="shared" si="10"/>
        <v>0</v>
      </c>
      <c r="V29" s="31"/>
      <c r="W29" s="47">
        <f t="shared" si="0"/>
        <v>2829.9</v>
      </c>
      <c r="X29" s="47">
        <f t="shared" si="1"/>
        <v>2829.9</v>
      </c>
      <c r="Y29" s="47">
        <f t="shared" si="11"/>
        <v>0</v>
      </c>
      <c r="Z29" s="29">
        <f t="shared" si="12"/>
        <v>0</v>
      </c>
      <c r="AA29" s="47">
        <v>0</v>
      </c>
      <c r="AB29" s="47">
        <f t="shared" si="13"/>
        <v>2829.9</v>
      </c>
      <c r="AC29" s="47">
        <f t="shared" si="14"/>
        <v>2829.9</v>
      </c>
      <c r="AD29" s="29">
        <f t="shared" si="15"/>
        <v>0</v>
      </c>
    </row>
    <row r="30" spans="1:30" x14ac:dyDescent="0.3">
      <c r="A30" s="69">
        <v>10</v>
      </c>
      <c r="D30" s="51">
        <v>50000</v>
      </c>
      <c r="E30" s="28">
        <f>Input!$H$24</f>
        <v>255.9</v>
      </c>
      <c r="F30" s="28">
        <f>Input!$V$24</f>
        <v>255.9</v>
      </c>
      <c r="G30" s="28">
        <f t="shared" si="2"/>
        <v>0</v>
      </c>
      <c r="H30" s="29">
        <f t="shared" si="3"/>
        <v>0</v>
      </c>
      <c r="I30" s="29"/>
      <c r="J30" s="28">
        <f>Input!$I$24</f>
        <v>0</v>
      </c>
      <c r="K30" s="28">
        <f>Input!$W$24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ROUND((D30*Input!$C$24),2)</f>
        <v>4290</v>
      </c>
      <c r="P30" s="28">
        <f>ROUND((D30*Input!$Q$24),2)</f>
        <v>4290</v>
      </c>
      <c r="Q30" s="28">
        <f t="shared" si="6"/>
        <v>0</v>
      </c>
      <c r="R30" s="29">
        <f t="shared" si="7"/>
        <v>0</v>
      </c>
      <c r="S30" s="28">
        <f t="shared" si="8"/>
        <v>4545.8999999999996</v>
      </c>
      <c r="T30" s="28">
        <f t="shared" si="9"/>
        <v>4545.8999999999996</v>
      </c>
      <c r="U30" s="29">
        <f t="shared" si="10"/>
        <v>0</v>
      </c>
      <c r="V30" s="31"/>
      <c r="W30" s="47">
        <f t="shared" si="0"/>
        <v>4545.8999999999996</v>
      </c>
      <c r="X30" s="47">
        <f t="shared" si="1"/>
        <v>4545.8999999999996</v>
      </c>
      <c r="Y30" s="47">
        <f t="shared" si="11"/>
        <v>0</v>
      </c>
      <c r="Z30" s="29">
        <f t="shared" si="12"/>
        <v>0</v>
      </c>
      <c r="AA30" s="47">
        <v>0</v>
      </c>
      <c r="AB30" s="47">
        <f t="shared" si="13"/>
        <v>4545.8999999999996</v>
      </c>
      <c r="AC30" s="47">
        <f t="shared" si="14"/>
        <v>4545.8999999999996</v>
      </c>
      <c r="AD30" s="29">
        <f t="shared" si="15"/>
        <v>0</v>
      </c>
    </row>
    <row r="31" spans="1:30" x14ac:dyDescent="0.3">
      <c r="A31" s="69">
        <v>11</v>
      </c>
      <c r="D31" s="51">
        <v>70000</v>
      </c>
      <c r="E31" s="28">
        <f>Input!$H$24</f>
        <v>255.9</v>
      </c>
      <c r="F31" s="28">
        <f>Input!$V$24</f>
        <v>255.9</v>
      </c>
      <c r="G31" s="28">
        <f t="shared" si="2"/>
        <v>0</v>
      </c>
      <c r="H31" s="29">
        <f t="shared" si="3"/>
        <v>0</v>
      </c>
      <c r="I31" s="29"/>
      <c r="J31" s="28">
        <f>Input!$I$24</f>
        <v>0</v>
      </c>
      <c r="K31" s="28">
        <f>Input!$W$24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ROUND((D31*Input!$C$24),2)</f>
        <v>6006</v>
      </c>
      <c r="P31" s="28">
        <f>ROUND((D31*Input!$Q$24),2)</f>
        <v>6006</v>
      </c>
      <c r="Q31" s="28">
        <f t="shared" si="6"/>
        <v>0</v>
      </c>
      <c r="R31" s="29">
        <f t="shared" si="7"/>
        <v>0</v>
      </c>
      <c r="S31" s="28">
        <f t="shared" si="8"/>
        <v>6261.9</v>
      </c>
      <c r="T31" s="28">
        <f t="shared" si="9"/>
        <v>6261.9</v>
      </c>
      <c r="U31" s="29">
        <f t="shared" si="10"/>
        <v>0</v>
      </c>
      <c r="V31" s="31"/>
      <c r="W31" s="47">
        <f t="shared" si="0"/>
        <v>6261.9</v>
      </c>
      <c r="X31" s="47">
        <f t="shared" si="1"/>
        <v>6261.9</v>
      </c>
      <c r="Y31" s="47">
        <f t="shared" si="11"/>
        <v>0</v>
      </c>
      <c r="Z31" s="29">
        <f t="shared" si="12"/>
        <v>0</v>
      </c>
      <c r="AA31" s="47">
        <v>0</v>
      </c>
      <c r="AB31" s="47">
        <f t="shared" si="13"/>
        <v>6261.9</v>
      </c>
      <c r="AC31" s="47">
        <f t="shared" si="14"/>
        <v>6261.9</v>
      </c>
      <c r="AD31" s="29">
        <f t="shared" si="15"/>
        <v>0</v>
      </c>
    </row>
    <row r="32" spans="1:30" x14ac:dyDescent="0.3">
      <c r="A32" s="69">
        <v>12</v>
      </c>
      <c r="D32" s="51">
        <v>90000</v>
      </c>
      <c r="E32" s="28">
        <f>Input!$H$24</f>
        <v>255.9</v>
      </c>
      <c r="F32" s="28">
        <f>Input!$V$24</f>
        <v>255.9</v>
      </c>
      <c r="G32" s="28">
        <f t="shared" si="2"/>
        <v>0</v>
      </c>
      <c r="H32" s="29">
        <f t="shared" si="3"/>
        <v>0</v>
      </c>
      <c r="I32" s="29"/>
      <c r="J32" s="28">
        <f>Input!$I$24</f>
        <v>0</v>
      </c>
      <c r="K32" s="28">
        <f>Input!$W$24</f>
        <v>0</v>
      </c>
      <c r="L32" s="28">
        <f t="shared" si="4"/>
        <v>0</v>
      </c>
      <c r="M32" s="29">
        <f t="shared" si="5"/>
        <v>0</v>
      </c>
      <c r="N32" s="31"/>
      <c r="O32" s="28">
        <f>ROUND((D32*Input!$C$24),2)</f>
        <v>7722</v>
      </c>
      <c r="P32" s="28">
        <f>ROUND((D32*Input!$Q$24),2)</f>
        <v>7722</v>
      </c>
      <c r="Q32" s="28">
        <f t="shared" si="6"/>
        <v>0</v>
      </c>
      <c r="R32" s="29">
        <f t="shared" si="7"/>
        <v>0</v>
      </c>
      <c r="S32" s="28">
        <f t="shared" si="8"/>
        <v>7977.9</v>
      </c>
      <c r="T32" s="28">
        <f t="shared" si="9"/>
        <v>7977.9</v>
      </c>
      <c r="U32" s="29">
        <f t="shared" si="10"/>
        <v>0</v>
      </c>
      <c r="V32" s="31"/>
      <c r="W32" s="47">
        <f t="shared" si="0"/>
        <v>7977.9</v>
      </c>
      <c r="X32" s="47">
        <f t="shared" si="1"/>
        <v>7977.9</v>
      </c>
      <c r="Y32" s="47">
        <f t="shared" si="11"/>
        <v>0</v>
      </c>
      <c r="Z32" s="29">
        <f t="shared" si="12"/>
        <v>0</v>
      </c>
      <c r="AA32" s="47">
        <v>0</v>
      </c>
      <c r="AB32" s="47">
        <f t="shared" si="13"/>
        <v>7977.9</v>
      </c>
      <c r="AC32" s="47">
        <f t="shared" si="14"/>
        <v>7977.9</v>
      </c>
      <c r="AD32" s="29">
        <f t="shared" si="15"/>
        <v>0</v>
      </c>
    </row>
    <row r="33" spans="1:30" x14ac:dyDescent="0.3">
      <c r="A33" s="69">
        <v>13</v>
      </c>
      <c r="D33" s="51">
        <v>110000</v>
      </c>
      <c r="E33" s="28">
        <f>Input!$H$24</f>
        <v>255.9</v>
      </c>
      <c r="F33" s="28">
        <f>Input!$V$24</f>
        <v>255.9</v>
      </c>
      <c r="G33" s="28">
        <f t="shared" si="2"/>
        <v>0</v>
      </c>
      <c r="H33" s="29">
        <f t="shared" si="3"/>
        <v>0</v>
      </c>
      <c r="I33" s="29"/>
      <c r="J33" s="28">
        <f>Input!$I$24</f>
        <v>0</v>
      </c>
      <c r="K33" s="28">
        <f>Input!$W$24</f>
        <v>0</v>
      </c>
      <c r="L33" s="28">
        <f t="shared" si="4"/>
        <v>0</v>
      </c>
      <c r="M33" s="29">
        <f t="shared" si="5"/>
        <v>0</v>
      </c>
      <c r="N33" s="31"/>
      <c r="O33" s="28">
        <f>ROUND((D33*Input!$C$24),2)</f>
        <v>9438</v>
      </c>
      <c r="P33" s="28">
        <f>ROUND((D33*Input!$Q$24),2)</f>
        <v>9438</v>
      </c>
      <c r="Q33" s="28">
        <f t="shared" si="6"/>
        <v>0</v>
      </c>
      <c r="R33" s="29">
        <f t="shared" si="7"/>
        <v>0</v>
      </c>
      <c r="S33" s="28">
        <f t="shared" si="8"/>
        <v>9693.9</v>
      </c>
      <c r="T33" s="28">
        <f t="shared" si="9"/>
        <v>9693.9</v>
      </c>
      <c r="U33" s="29">
        <f t="shared" si="10"/>
        <v>0</v>
      </c>
      <c r="V33" s="31"/>
      <c r="W33" s="47">
        <f t="shared" si="0"/>
        <v>9693.9</v>
      </c>
      <c r="X33" s="47">
        <f t="shared" si="1"/>
        <v>9693.9</v>
      </c>
      <c r="Y33" s="47">
        <f t="shared" si="11"/>
        <v>0</v>
      </c>
      <c r="Z33" s="29">
        <f t="shared" si="12"/>
        <v>0</v>
      </c>
      <c r="AA33" s="47">
        <v>0</v>
      </c>
      <c r="AB33" s="47">
        <f t="shared" si="13"/>
        <v>9693.9</v>
      </c>
      <c r="AC33" s="47">
        <f t="shared" si="14"/>
        <v>9693.9</v>
      </c>
      <c r="AD33" s="29">
        <f t="shared" si="15"/>
        <v>0</v>
      </c>
    </row>
    <row r="34" spans="1:30" x14ac:dyDescent="0.3">
      <c r="A34" s="69">
        <v>14</v>
      </c>
      <c r="D34" s="51">
        <v>120000</v>
      </c>
      <c r="E34" s="28">
        <f>Input!$H$24</f>
        <v>255.9</v>
      </c>
      <c r="F34" s="28">
        <f>Input!$V$24</f>
        <v>255.9</v>
      </c>
      <c r="G34" s="28">
        <f t="shared" si="2"/>
        <v>0</v>
      </c>
      <c r="H34" s="29">
        <f t="shared" si="3"/>
        <v>0</v>
      </c>
      <c r="I34" s="29"/>
      <c r="J34" s="28">
        <f>Input!$I$24</f>
        <v>0</v>
      </c>
      <c r="K34" s="28">
        <f>Input!$W$24</f>
        <v>0</v>
      </c>
      <c r="L34" s="28">
        <f t="shared" si="4"/>
        <v>0</v>
      </c>
      <c r="M34" s="29">
        <f t="shared" si="5"/>
        <v>0</v>
      </c>
      <c r="N34" s="31"/>
      <c r="O34" s="28">
        <f>ROUND((D34*Input!$C$24),2)</f>
        <v>10296</v>
      </c>
      <c r="P34" s="28">
        <f>ROUND((D34*Input!$Q$24),2)</f>
        <v>10296</v>
      </c>
      <c r="Q34" s="28">
        <f t="shared" si="6"/>
        <v>0</v>
      </c>
      <c r="R34" s="29">
        <f t="shared" si="7"/>
        <v>0</v>
      </c>
      <c r="S34" s="28">
        <f t="shared" si="8"/>
        <v>10551.9</v>
      </c>
      <c r="T34" s="28">
        <f t="shared" si="9"/>
        <v>10551.9</v>
      </c>
      <c r="U34" s="29">
        <f t="shared" si="10"/>
        <v>0</v>
      </c>
      <c r="V34" s="31"/>
      <c r="W34" s="47">
        <f t="shared" si="0"/>
        <v>10551.9</v>
      </c>
      <c r="X34" s="47">
        <f t="shared" si="1"/>
        <v>10551.9</v>
      </c>
      <c r="Y34" s="47">
        <f t="shared" si="11"/>
        <v>0</v>
      </c>
      <c r="Z34" s="29">
        <f t="shared" si="12"/>
        <v>0</v>
      </c>
      <c r="AA34" s="47">
        <v>0</v>
      </c>
      <c r="AB34" s="47">
        <f t="shared" si="13"/>
        <v>10551.9</v>
      </c>
      <c r="AC34" s="47">
        <f t="shared" si="14"/>
        <v>10551.9</v>
      </c>
      <c r="AD34" s="29">
        <f t="shared" si="15"/>
        <v>0</v>
      </c>
    </row>
    <row r="35" spans="1:30" x14ac:dyDescent="0.3">
      <c r="A35" s="69">
        <v>15</v>
      </c>
      <c r="D35" s="51">
        <v>130000</v>
      </c>
      <c r="E35" s="28">
        <f>Input!$H$24</f>
        <v>255.9</v>
      </c>
      <c r="F35" s="28">
        <f>Input!$V$24</f>
        <v>255.9</v>
      </c>
      <c r="G35" s="28">
        <f>F35-E35</f>
        <v>0</v>
      </c>
      <c r="H35" s="29">
        <f t="shared" si="3"/>
        <v>0</v>
      </c>
      <c r="I35" s="29"/>
      <c r="J35" s="28">
        <f>Input!$I$24</f>
        <v>0</v>
      </c>
      <c r="K35" s="28">
        <f>Input!$W$24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ROUND((D35*Input!$C$24),2)</f>
        <v>11154</v>
      </c>
      <c r="P35" s="28">
        <f>ROUND((D35*Input!$Q$24),2)</f>
        <v>11154</v>
      </c>
      <c r="Q35" s="28">
        <f>P35-O35</f>
        <v>0</v>
      </c>
      <c r="R35" s="29">
        <f t="shared" si="7"/>
        <v>0</v>
      </c>
      <c r="S35" s="28">
        <f t="shared" si="8"/>
        <v>11409.9</v>
      </c>
      <c r="T35" s="28">
        <f t="shared" si="9"/>
        <v>11409.9</v>
      </c>
      <c r="U35" s="29">
        <f t="shared" si="10"/>
        <v>0</v>
      </c>
      <c r="V35" s="31"/>
      <c r="W35" s="47">
        <f t="shared" si="0"/>
        <v>11409.9</v>
      </c>
      <c r="X35" s="47">
        <f t="shared" si="1"/>
        <v>11409.9</v>
      </c>
      <c r="Y35" s="47">
        <f t="shared" si="11"/>
        <v>0</v>
      </c>
      <c r="Z35" s="29">
        <f t="shared" si="12"/>
        <v>0</v>
      </c>
      <c r="AA35" s="47">
        <v>0</v>
      </c>
      <c r="AB35" s="47">
        <f t="shared" si="13"/>
        <v>11409.9</v>
      </c>
      <c r="AC35" s="47">
        <f t="shared" si="14"/>
        <v>11409.9</v>
      </c>
      <c r="AD35" s="29">
        <f t="shared" si="15"/>
        <v>0</v>
      </c>
    </row>
    <row r="36" spans="1:30" x14ac:dyDescent="0.3">
      <c r="A36" s="69">
        <v>16</v>
      </c>
      <c r="D36" s="51">
        <v>150000</v>
      </c>
      <c r="E36" s="28">
        <f>Input!$H$24</f>
        <v>255.9</v>
      </c>
      <c r="F36" s="28">
        <f>Input!$V$24</f>
        <v>255.9</v>
      </c>
      <c r="G36" s="28">
        <f>F36-E36</f>
        <v>0</v>
      </c>
      <c r="H36" s="29">
        <f t="shared" si="3"/>
        <v>0</v>
      </c>
      <c r="I36" s="29"/>
      <c r="J36" s="28">
        <f>Input!$I$24</f>
        <v>0</v>
      </c>
      <c r="K36" s="28">
        <f>Input!$W$24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ROUND((D36*Input!$C$24),2)</f>
        <v>12870</v>
      </c>
      <c r="P36" s="28">
        <f>ROUND((D36*Input!$Q$24),2)</f>
        <v>12870</v>
      </c>
      <c r="Q36" s="28">
        <f>P36-O36</f>
        <v>0</v>
      </c>
      <c r="R36" s="29">
        <f t="shared" si="7"/>
        <v>0</v>
      </c>
      <c r="S36" s="28">
        <f t="shared" si="8"/>
        <v>13125.9</v>
      </c>
      <c r="T36" s="28">
        <f t="shared" si="9"/>
        <v>13125.9</v>
      </c>
      <c r="U36" s="29">
        <f t="shared" si="10"/>
        <v>0</v>
      </c>
      <c r="V36" s="31"/>
      <c r="W36" s="47">
        <f t="shared" si="0"/>
        <v>13125.9</v>
      </c>
      <c r="X36" s="47">
        <f t="shared" si="1"/>
        <v>13125.9</v>
      </c>
      <c r="Y36" s="47">
        <f>X36-W36</f>
        <v>0</v>
      </c>
      <c r="Z36" s="29">
        <f>(X36-W36)/W36</f>
        <v>0</v>
      </c>
      <c r="AA36" s="47">
        <v>0</v>
      </c>
      <c r="AB36" s="47">
        <f>W36+AA36</f>
        <v>13125.9</v>
      </c>
      <c r="AC36" s="47">
        <f>X36+AA36</f>
        <v>13125.9</v>
      </c>
      <c r="AD36" s="29">
        <f>(AC36-AB36)/AB36</f>
        <v>0</v>
      </c>
    </row>
    <row r="37" spans="1:30" x14ac:dyDescent="0.3">
      <c r="A37" s="69">
        <v>17</v>
      </c>
      <c r="D37" s="51">
        <f>+D39</f>
        <v>186431</v>
      </c>
      <c r="E37" s="28">
        <f>Input!$H$24</f>
        <v>255.9</v>
      </c>
      <c r="F37" s="28">
        <f>Input!$V$24</f>
        <v>255.9</v>
      </c>
      <c r="G37" s="28">
        <f>F37-E37</f>
        <v>0</v>
      </c>
      <c r="H37" s="29">
        <f t="shared" si="3"/>
        <v>0</v>
      </c>
      <c r="I37" s="29"/>
      <c r="J37" s="28">
        <f>Input!$I$24</f>
        <v>0</v>
      </c>
      <c r="K37" s="28">
        <f>Input!$W$24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ROUND((D37*Input!$C$24),2)</f>
        <v>15995.78</v>
      </c>
      <c r="P37" s="28">
        <f>ROUND((D37*Input!$Q$24),2)</f>
        <v>15995.78</v>
      </c>
      <c r="Q37" s="28">
        <f>P37-O37</f>
        <v>0</v>
      </c>
      <c r="R37" s="29">
        <f t="shared" si="7"/>
        <v>0</v>
      </c>
      <c r="S37" s="28">
        <f t="shared" si="8"/>
        <v>16251.68</v>
      </c>
      <c r="T37" s="28">
        <f t="shared" si="9"/>
        <v>16251.68</v>
      </c>
      <c r="U37" s="29">
        <f t="shared" si="10"/>
        <v>0</v>
      </c>
      <c r="V37" s="31"/>
      <c r="W37" s="47">
        <f t="shared" si="0"/>
        <v>16251.68</v>
      </c>
      <c r="X37" s="47">
        <f t="shared" si="1"/>
        <v>16251.68</v>
      </c>
      <c r="Y37" s="47">
        <f>X37-W37</f>
        <v>0</v>
      </c>
      <c r="Z37" s="29">
        <f>(X37-W37)/W37</f>
        <v>0</v>
      </c>
      <c r="AA37" s="47">
        <v>0</v>
      </c>
      <c r="AB37" s="47">
        <f>W37+AA37</f>
        <v>16251.68</v>
      </c>
      <c r="AC37" s="47">
        <f>X37+AA37</f>
        <v>16251.68</v>
      </c>
      <c r="AD37" s="29">
        <f>(AC37-AB37)/AB37</f>
        <v>0</v>
      </c>
    </row>
    <row r="38" spans="1:30" x14ac:dyDescent="0.3">
      <c r="A38" s="69"/>
      <c r="U38" s="41"/>
    </row>
    <row r="39" spans="1:30" x14ac:dyDescent="0.3">
      <c r="A39" s="69"/>
      <c r="B39" s="8" t="s">
        <v>98</v>
      </c>
      <c r="D39" s="53">
        <f>ROUND(Input!AS24,0)</f>
        <v>186431</v>
      </c>
    </row>
    <row r="40" spans="1:30" x14ac:dyDescent="0.3">
      <c r="A40" s="69"/>
    </row>
    <row r="41" spans="1:30" x14ac:dyDescent="0.3">
      <c r="A41" s="69"/>
    </row>
    <row r="42" spans="1:30" x14ac:dyDescent="0.3">
      <c r="A42" s="6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Input</vt:lpstr>
      <vt:lpstr>GTR</vt:lpstr>
      <vt:lpstr>GTO</vt:lpstr>
      <vt:lpstr>DS</vt:lpstr>
      <vt:lpstr>GDS</vt:lpstr>
      <vt:lpstr>DS3</vt:lpstr>
      <vt:lpstr>FX1</vt:lpstr>
      <vt:lpstr>FX2</vt:lpstr>
      <vt:lpstr>FX5</vt:lpstr>
      <vt:lpstr>FX7</vt:lpstr>
      <vt:lpstr>SAS</vt:lpstr>
      <vt:lpstr>SC3</vt:lpstr>
      <vt:lpstr>DS!Print_Area</vt:lpstr>
      <vt:lpstr>'DS3'!Print_Area</vt:lpstr>
      <vt:lpstr>'FX1'!Print_Area</vt:lpstr>
      <vt:lpstr>'FX2'!Print_Area</vt:lpstr>
      <vt:lpstr>'FX5'!Print_Area</vt:lpstr>
      <vt:lpstr>'FX7'!Print_Area</vt:lpstr>
      <vt:lpstr>GDS!Print_Area</vt:lpstr>
      <vt:lpstr>GTO!Print_Area</vt:lpstr>
      <vt:lpstr>GTR!Print_Area</vt:lpstr>
      <vt:lpstr>Input!Print_Area</vt:lpstr>
      <vt:lpstr>SAS!Print_Area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Ryan \ John</cp:lastModifiedBy>
  <cp:lastPrinted>2016-04-29T13:17:58Z</cp:lastPrinted>
  <dcterms:created xsi:type="dcterms:W3CDTF">2002-03-01T19:27:07Z</dcterms:created>
  <dcterms:modified xsi:type="dcterms:W3CDTF">2021-06-11T19:51:57Z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